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heckout\CMI\b2d2a3f7ac6548f78f5206b824a62b67\"/>
    </mc:Choice>
  </mc:AlternateContent>
  <workbookProtection lockStructure="1"/>
  <bookViews>
    <workbookView xWindow="0" yWindow="0" windowWidth="23010" windowHeight="11775"/>
  </bookViews>
  <sheets>
    <sheet name="Modellrechner" sheetId="5" r:id="rId1"/>
    <sheet name="Vorgaben gemäss FöPV" sheetId="4" state="hidden" r:id="rId2"/>
    <sheet name="Tabelle mit mehreren Fällen" sheetId="1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5" l="1"/>
  <c r="D30" i="5" l="1"/>
  <c r="E20" i="5" l="1"/>
  <c r="C22" i="5" l="1"/>
  <c r="C23" i="5"/>
  <c r="E31" i="5"/>
  <c r="C5" i="5" l="1"/>
  <c r="C3" i="5"/>
  <c r="D15" i="5"/>
  <c r="C15" i="5"/>
  <c r="C4" i="5" l="1"/>
  <c r="C7" i="5"/>
  <c r="C6" i="5"/>
  <c r="D8" i="5" l="1"/>
  <c r="O6" i="1" l="1"/>
  <c r="P6" i="1" s="1"/>
  <c r="Q6" i="1" s="1"/>
  <c r="O7" i="1"/>
  <c r="P7" i="1"/>
  <c r="Q7" i="1" s="1"/>
  <c r="S7" i="1"/>
  <c r="T7" i="1" s="1"/>
  <c r="O8" i="1"/>
  <c r="P8" i="1" s="1"/>
  <c r="Q8" i="1" s="1"/>
  <c r="O9" i="1"/>
  <c r="P9" i="1" s="1"/>
  <c r="Q9" i="1" s="1"/>
  <c r="O10" i="1"/>
  <c r="P10" i="1" s="1"/>
  <c r="Q10" i="1" s="1"/>
  <c r="O11" i="1"/>
  <c r="P11" i="1"/>
  <c r="Q11" i="1" s="1"/>
  <c r="O12" i="1"/>
  <c r="P12" i="1" s="1"/>
  <c r="Q12" i="1" s="1"/>
  <c r="O13" i="1"/>
  <c r="P13" i="1" s="1"/>
  <c r="Q13" i="1" s="1"/>
  <c r="O14" i="1"/>
  <c r="P14" i="1" s="1"/>
  <c r="Q14" i="1" s="1"/>
  <c r="O15" i="1"/>
  <c r="P15" i="1"/>
  <c r="Q15" i="1" s="1"/>
  <c r="O16" i="1"/>
  <c r="P16" i="1" s="1"/>
  <c r="Q16" i="1" s="1"/>
  <c r="O17" i="1"/>
  <c r="P17" i="1" s="1"/>
  <c r="Q17" i="1" s="1"/>
  <c r="O18" i="1"/>
  <c r="P18" i="1" s="1"/>
  <c r="Q18" i="1" s="1"/>
  <c r="O19" i="1"/>
  <c r="P19" i="1"/>
  <c r="Q19" i="1" s="1"/>
  <c r="O20" i="1"/>
  <c r="P20" i="1" s="1"/>
  <c r="Q20" i="1" s="1"/>
  <c r="O21" i="1"/>
  <c r="P21" i="1" s="1"/>
  <c r="Q21" i="1" s="1"/>
  <c r="O22" i="1"/>
  <c r="P22" i="1" s="1"/>
  <c r="Q22" i="1" s="1"/>
  <c r="O23" i="1"/>
  <c r="P23" i="1"/>
  <c r="Q23" i="1" s="1"/>
  <c r="O24" i="1"/>
  <c r="P24" i="1" s="1"/>
  <c r="Q24" i="1" s="1"/>
  <c r="O25" i="1"/>
  <c r="P25" i="1" s="1"/>
  <c r="Q25" i="1" s="1"/>
  <c r="O26" i="1"/>
  <c r="P26" i="1" s="1"/>
  <c r="Q26" i="1" s="1"/>
  <c r="O27" i="1"/>
  <c r="P27" i="1"/>
  <c r="Q27" i="1" s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D6" i="1"/>
  <c r="D7" i="1"/>
  <c r="D8" i="1"/>
  <c r="D9" i="1"/>
  <c r="I9" i="1" s="1"/>
  <c r="D10" i="1"/>
  <c r="I10" i="1" s="1"/>
  <c r="D11" i="1"/>
  <c r="D12" i="1"/>
  <c r="D13" i="1"/>
  <c r="D14" i="1"/>
  <c r="D15" i="1"/>
  <c r="D16" i="1"/>
  <c r="D17" i="1"/>
  <c r="I17" i="1" s="1"/>
  <c r="D18" i="1"/>
  <c r="D19" i="1"/>
  <c r="D20" i="1"/>
  <c r="D21" i="1"/>
  <c r="D22" i="1"/>
  <c r="D23" i="1"/>
  <c r="D24" i="1"/>
  <c r="D25" i="1"/>
  <c r="D26" i="1"/>
  <c r="D27" i="1"/>
  <c r="C18" i="5"/>
  <c r="D13" i="5"/>
  <c r="H5" i="1"/>
  <c r="D5" i="1"/>
  <c r="Q5" i="1"/>
  <c r="C25" i="5"/>
  <c r="C20" i="5"/>
  <c r="C21" i="5" s="1"/>
  <c r="C17" i="5"/>
  <c r="D10" i="5"/>
  <c r="D11" i="5" s="1"/>
  <c r="F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E14" i="5" l="1"/>
  <c r="D14" i="5"/>
  <c r="I20" i="1"/>
  <c r="I12" i="1"/>
  <c r="R12" i="1" s="1"/>
  <c r="S12" i="1" s="1"/>
  <c r="T12" i="1" s="1"/>
  <c r="I8" i="1"/>
  <c r="R8" i="1" s="1"/>
  <c r="S8" i="1" s="1"/>
  <c r="T8" i="1" s="1"/>
  <c r="R10" i="1"/>
  <c r="S10" i="1" s="1"/>
  <c r="T10" i="1" s="1"/>
  <c r="I11" i="1"/>
  <c r="I14" i="1"/>
  <c r="R14" i="1" s="1"/>
  <c r="S14" i="1" s="1"/>
  <c r="T14" i="1" s="1"/>
  <c r="I13" i="1"/>
  <c r="I22" i="1"/>
  <c r="R22" i="1" s="1"/>
  <c r="S22" i="1" s="1"/>
  <c r="T22" i="1" s="1"/>
  <c r="I6" i="1"/>
  <c r="R6" i="1" s="1"/>
  <c r="S6" i="1" s="1"/>
  <c r="T6" i="1" s="1"/>
  <c r="I21" i="1"/>
  <c r="R21" i="1" s="1"/>
  <c r="S21" i="1" s="1"/>
  <c r="T21" i="1" s="1"/>
  <c r="I7" i="1"/>
  <c r="R7" i="1" s="1"/>
  <c r="R9" i="1"/>
  <c r="S9" i="1" s="1"/>
  <c r="T9" i="1" s="1"/>
  <c r="I18" i="1"/>
  <c r="R13" i="1"/>
  <c r="S13" i="1" s="1"/>
  <c r="T13" i="1" s="1"/>
  <c r="R11" i="1"/>
  <c r="S11" i="1" s="1"/>
  <c r="T11" i="1" s="1"/>
  <c r="I19" i="1"/>
  <c r="R19" i="1" s="1"/>
  <c r="S19" i="1" s="1"/>
  <c r="T19" i="1" s="1"/>
  <c r="I26" i="1"/>
  <c r="I25" i="1"/>
  <c r="R25" i="1" s="1"/>
  <c r="S25" i="1" s="1"/>
  <c r="T25" i="1" s="1"/>
  <c r="I24" i="1"/>
  <c r="R24" i="1" s="1"/>
  <c r="S24" i="1" s="1"/>
  <c r="T24" i="1" s="1"/>
  <c r="I27" i="1"/>
  <c r="R27" i="1" s="1"/>
  <c r="S27" i="1" s="1"/>
  <c r="T27" i="1" s="1"/>
  <c r="R26" i="1"/>
  <c r="S26" i="1" s="1"/>
  <c r="T26" i="1" s="1"/>
  <c r="I23" i="1"/>
  <c r="R23" i="1" s="1"/>
  <c r="S23" i="1" s="1"/>
  <c r="T23" i="1" s="1"/>
  <c r="R20" i="1"/>
  <c r="S20" i="1" s="1"/>
  <c r="T20" i="1" s="1"/>
  <c r="R18" i="1"/>
  <c r="S18" i="1" s="1"/>
  <c r="T18" i="1" s="1"/>
  <c r="I16" i="1"/>
  <c r="R16" i="1" s="1"/>
  <c r="S16" i="1" s="1"/>
  <c r="T16" i="1" s="1"/>
  <c r="R17" i="1"/>
  <c r="S17" i="1" s="1"/>
  <c r="T17" i="1" s="1"/>
  <c r="I15" i="1"/>
  <c r="R15" i="1" s="1"/>
  <c r="S15" i="1" s="1"/>
  <c r="T15" i="1" s="1"/>
  <c r="C24" i="5" l="1"/>
  <c r="C26" i="5" s="1"/>
  <c r="C27" i="5" s="1"/>
  <c r="D28" i="5" l="1"/>
  <c r="D29" i="5" s="1"/>
  <c r="E28" i="5"/>
  <c r="D31" i="5" l="1"/>
  <c r="D32" i="5" s="1"/>
  <c r="D8" i="4"/>
  <c r="O5" i="1"/>
  <c r="M5" i="1"/>
  <c r="C8" i="4"/>
  <c r="B8" i="4"/>
  <c r="P5" i="1" l="1"/>
  <c r="I5" i="1"/>
  <c r="Q28" i="1" l="1"/>
  <c r="P28" i="1" l="1"/>
  <c r="R5" i="1" l="1"/>
  <c r="S5" i="1" s="1"/>
  <c r="T5" i="1" l="1"/>
</calcChain>
</file>

<file path=xl/sharedStrings.xml><?xml version="1.0" encoding="utf-8"?>
<sst xmlns="http://schemas.openxmlformats.org/spreadsheetml/2006/main" count="208" uniqueCount="130">
  <si>
    <t>Zuschlag 1. Kind</t>
  </si>
  <si>
    <t>Zuschlag pro weiterem Kind</t>
  </si>
  <si>
    <t>"Gesamt-Nettoeinkommen" pro Jahr</t>
  </si>
  <si>
    <t>Wohn-Situation</t>
  </si>
  <si>
    <t>HF</t>
  </si>
  <si>
    <t>20-24</t>
  </si>
  <si>
    <t>25-29</t>
  </si>
  <si>
    <t>Anspruch nach Berück-sichtigung Obergrenze</t>
  </si>
  <si>
    <t>Individual-bedarf</t>
  </si>
  <si>
    <r>
      <rPr>
        <b/>
        <sz val="8"/>
        <color theme="1"/>
        <rFont val="Arial"/>
        <family val="2"/>
      </rPr>
      <t>Angerechneter</t>
    </r>
    <r>
      <rPr>
        <sz val="8"/>
        <color theme="1"/>
        <rFont val="Arial"/>
        <family val="2"/>
      </rPr>
      <t xml:space="preserve"> Netto-</t>
    </r>
    <r>
      <rPr>
        <b/>
        <sz val="8"/>
        <color theme="1"/>
        <rFont val="Arial"/>
        <family val="2"/>
      </rPr>
      <t>Ausbildungs-loh</t>
    </r>
    <r>
      <rPr>
        <sz val="8"/>
        <color theme="1"/>
        <rFont val="Arial"/>
        <family val="2"/>
      </rPr>
      <t>n (ohne Kinderzulage)</t>
    </r>
  </si>
  <si>
    <r>
      <t xml:space="preserve">Tatsächlicher </t>
    </r>
    <r>
      <rPr>
        <b/>
        <sz val="8"/>
        <color theme="1"/>
        <rFont val="Arial"/>
        <family val="2"/>
      </rPr>
      <t>Ausbildungs</t>
    </r>
    <r>
      <rPr>
        <sz val="8"/>
        <color theme="1"/>
        <rFont val="Arial"/>
        <family val="2"/>
      </rPr>
      <t>-Netto-</t>
    </r>
    <r>
      <rPr>
        <b/>
        <sz val="8"/>
        <color theme="1"/>
        <rFont val="Arial"/>
        <family val="2"/>
      </rPr>
      <t>Jahreslohn</t>
    </r>
    <r>
      <rPr>
        <sz val="8"/>
        <color theme="1"/>
        <rFont val="Arial"/>
        <family val="2"/>
      </rPr>
      <t xml:space="preserve"> (ohne Kinderzulage)</t>
    </r>
  </si>
  <si>
    <r>
      <rPr>
        <b/>
        <sz val="8"/>
        <color theme="1"/>
        <rFont val="Arial"/>
        <family val="2"/>
      </rPr>
      <t>Kinder-zuschlag</t>
    </r>
    <r>
      <rPr>
        <sz val="8"/>
        <color theme="1"/>
        <rFont val="Arial"/>
        <family val="2"/>
      </rPr>
      <t xml:space="preserve"> zu Individualbedarf</t>
    </r>
  </si>
  <si>
    <r>
      <rPr>
        <b/>
        <sz val="8"/>
        <color theme="1"/>
        <rFont val="Arial"/>
        <family val="2"/>
      </rPr>
      <t>Förderbeitrag netto</t>
    </r>
    <r>
      <rPr>
        <sz val="8"/>
        <color theme="1"/>
        <rFont val="Arial"/>
        <family val="2"/>
      </rPr>
      <t xml:space="preserve"> pro Jahr</t>
    </r>
  </si>
  <si>
    <r>
      <rPr>
        <b/>
        <sz val="8"/>
        <color theme="1"/>
        <rFont val="Arial"/>
        <family val="2"/>
      </rPr>
      <t>Förderbeitrag brutto</t>
    </r>
    <r>
      <rPr>
        <sz val="8"/>
        <color theme="1"/>
        <rFont val="Arial"/>
        <family val="2"/>
      </rPr>
      <t xml:space="preserve"> pro Jahr</t>
    </r>
  </si>
  <si>
    <r>
      <rPr>
        <b/>
        <sz val="8"/>
        <color theme="1"/>
        <rFont val="Arial"/>
        <family val="2"/>
      </rPr>
      <t>Prozentualer Abzug</t>
    </r>
    <r>
      <rPr>
        <sz val="8"/>
        <color theme="1"/>
        <rFont val="Arial"/>
        <family val="2"/>
      </rPr>
      <t xml:space="preserve"> vom Förderbeitrag brutto</t>
    </r>
  </si>
  <si>
    <t>Verzinsung Vermögen</t>
  </si>
  <si>
    <r>
      <t xml:space="preserve">HF mindestens angerechneter </t>
    </r>
    <r>
      <rPr>
        <b/>
        <sz val="11"/>
        <color theme="1"/>
        <rFont val="Arial"/>
        <family val="2"/>
      </rPr>
      <t>Netto</t>
    </r>
    <r>
      <rPr>
        <sz val="11"/>
        <color theme="1"/>
        <rFont val="Arial"/>
        <family val="2"/>
      </rPr>
      <t xml:space="preserve"> Ausbildungs-Jahreslohn</t>
    </r>
  </si>
  <si>
    <r>
      <t xml:space="preserve">EFZ und EBA mindestens angerechneter </t>
    </r>
    <r>
      <rPr>
        <b/>
        <sz val="11"/>
        <color theme="1"/>
        <rFont val="Arial"/>
        <family val="2"/>
      </rPr>
      <t>Netto</t>
    </r>
    <r>
      <rPr>
        <sz val="11"/>
        <color theme="1"/>
        <rFont val="Arial"/>
        <family val="2"/>
      </rPr>
      <t xml:space="preserve"> Ausbildungs-Jahreslohn</t>
    </r>
  </si>
  <si>
    <t>Ausbildung</t>
  </si>
  <si>
    <t>Für Abzug relevantes Haushaltseinkommen</t>
  </si>
  <si>
    <t>Netto-Lohn Partner, falls zusammen (minus Ehegatten und Kinder-Unterhalt an extern) plus Alimente plus Unterhalt plus Kinderzulage</t>
  </si>
  <si>
    <t>Abzug auf Netto-Einkommen pro Kind</t>
  </si>
  <si>
    <t>Zinssatz auf Vermögen</t>
  </si>
  <si>
    <r>
      <rPr>
        <b/>
        <sz val="8"/>
        <color theme="1"/>
        <rFont val="Arial"/>
        <family val="2"/>
      </rPr>
      <t>Unterhalt an GesuchstellerIn</t>
    </r>
    <r>
      <rPr>
        <sz val="8"/>
        <color theme="1"/>
        <rFont val="Arial"/>
        <family val="2"/>
      </rPr>
      <t xml:space="preserve"> plus (falls zusammen mit PartnerIn wohnend) </t>
    </r>
    <r>
      <rPr>
        <b/>
        <sz val="8"/>
        <color theme="1"/>
        <rFont val="Arial"/>
        <family val="2"/>
      </rPr>
      <t>Netto-Lohn Partner</t>
    </r>
  </si>
  <si>
    <r>
      <rPr>
        <b/>
        <sz val="8"/>
        <color theme="1"/>
        <rFont val="Arial"/>
        <family val="2"/>
      </rPr>
      <t>Unterhaltszahlungen</t>
    </r>
    <r>
      <rPr>
        <sz val="8"/>
        <color theme="1"/>
        <rFont val="Arial"/>
        <family val="2"/>
      </rPr>
      <t xml:space="preserve">  GesuchstellerIn an Extern plus (falls zusammen mit Partner wohnend) Unterhaltszahlungen PartnerIn </t>
    </r>
    <r>
      <rPr>
        <b/>
        <sz val="8"/>
        <color theme="1"/>
        <rFont val="Arial"/>
        <family val="2"/>
      </rPr>
      <t>an extern</t>
    </r>
  </si>
  <si>
    <r>
      <rPr>
        <sz val="8"/>
        <color theme="1"/>
        <rFont val="Arial"/>
        <family val="2"/>
      </rPr>
      <t>Anzahl eigene</t>
    </r>
    <r>
      <rPr>
        <b/>
        <sz val="8"/>
        <color theme="1"/>
        <rFont val="Arial"/>
        <family val="2"/>
      </rPr>
      <t xml:space="preserve"> Kinder unter 18 der GesuchstellerIn</t>
    </r>
  </si>
  <si>
    <r>
      <t xml:space="preserve">Anzahl </t>
    </r>
    <r>
      <rPr>
        <b/>
        <sz val="8"/>
        <color theme="1"/>
        <rFont val="Arial"/>
        <family val="2"/>
      </rPr>
      <t>Kinder</t>
    </r>
    <r>
      <rPr>
        <sz val="8"/>
        <color theme="1"/>
        <rFont val="Arial"/>
        <family val="2"/>
      </rPr>
      <t xml:space="preserve"> (in Ausbildung) im </t>
    </r>
    <r>
      <rPr>
        <b/>
        <sz val="8"/>
        <color theme="1"/>
        <rFont val="Arial"/>
        <family val="2"/>
      </rPr>
      <t>Haushalt</t>
    </r>
  </si>
  <si>
    <t>Einkommensfreibetrag (Kinder)</t>
  </si>
  <si>
    <r>
      <t>Steuer</t>
    </r>
    <r>
      <rPr>
        <b/>
        <sz val="8"/>
        <color theme="1"/>
        <rFont val="Arial"/>
        <family val="2"/>
      </rPr>
      <t>vermögen</t>
    </r>
  </si>
  <si>
    <t>Alter bei Beginn Ausbildungsjahr</t>
  </si>
  <si>
    <r>
      <t xml:space="preserve">FH mindestens angerechneter </t>
    </r>
    <r>
      <rPr>
        <b/>
        <sz val="11"/>
        <color theme="1"/>
        <rFont val="Arial"/>
        <family val="2"/>
      </rPr>
      <t>Netto</t>
    </r>
    <r>
      <rPr>
        <sz val="11"/>
        <color theme="1"/>
        <rFont val="Arial"/>
        <family val="2"/>
      </rPr>
      <t xml:space="preserve"> Ausbildungs-Jahreslohn</t>
    </r>
  </si>
  <si>
    <t>nur HF und EFZ/EBA</t>
  </si>
  <si>
    <t>Werte gemäss FöPV</t>
  </si>
  <si>
    <t>alle Ausbildungen</t>
  </si>
  <si>
    <t>ab 30</t>
  </si>
  <si>
    <t>Wohnsituation</t>
  </si>
  <si>
    <t>Ausserhalb Ehe/Konkubinat alleinelebend/alleinerziehend</t>
  </si>
  <si>
    <t>verheiratet, in eigetragener Partnerschaft, in Konkubinat lebend</t>
  </si>
  <si>
    <t>bei Eltern lebend (ohne Lebenspartner)</t>
  </si>
  <si>
    <t>HF Pflege</t>
  </si>
  <si>
    <t>EFZ/EBA (FaGe, AGS, FaBe MiA, FaBe Generalistisch)</t>
  </si>
  <si>
    <t>FH Pflege (Bachelorausbildung)</t>
  </si>
  <si>
    <t>Erklärung</t>
  </si>
  <si>
    <t>Verweis auf FöPV</t>
  </si>
  <si>
    <t>zu sichernde Lebenshaltungskosten</t>
  </si>
  <si>
    <t>Zuschlag zum Individualbedarf</t>
  </si>
  <si>
    <t>Art. 18 Abs. 2 und 3</t>
  </si>
  <si>
    <t>Art. 18  Abs. 1 und 3</t>
  </si>
  <si>
    <t>Individualbedarf total</t>
  </si>
  <si>
    <t>Individualbedarf (ohne Kinderzuschlag)</t>
  </si>
  <si>
    <t>Kinderzuschlag zum Individualbedarf</t>
  </si>
  <si>
    <t>Förderbeitrag brutto</t>
  </si>
  <si>
    <t>Art. 20</t>
  </si>
  <si>
    <t>Art. 21 Abs. 1 lit. a</t>
  </si>
  <si>
    <t xml:space="preserve">Art. 21 Abs. 1 lit. b  </t>
  </si>
  <si>
    <t xml:space="preserve">Art. 21 Abs. 1 lit. c </t>
  </si>
  <si>
    <t xml:space="preserve">Art. 21 Abs. 1 lit. d  </t>
  </si>
  <si>
    <t>Als Einkommen angerechneter Vermögensverzehr</t>
  </si>
  <si>
    <t xml:space="preserve">Haushaltseinnahmen </t>
  </si>
  <si>
    <t>Eigene Kinder im Haushalt plus Kinder der Partnerin / des Partners die ebenfalls im Haushalt wohnen (keine Altersbeschränkung)</t>
  </si>
  <si>
    <t xml:space="preserve">Art. 21 Abs. 2 </t>
  </si>
  <si>
    <t>Art. 21</t>
  </si>
  <si>
    <t>Art. 21 Abs. 3</t>
  </si>
  <si>
    <t xml:space="preserve">Art. 21 Abs. 3 </t>
  </si>
  <si>
    <t>Abzug vom Förderbeitrag brutto</t>
  </si>
  <si>
    <t>Förderbeitrag netto</t>
  </si>
  <si>
    <t>Art. A2-1 und A2-2</t>
  </si>
  <si>
    <t>Art. 22</t>
  </si>
  <si>
    <t>Art. 23</t>
  </si>
  <si>
    <t>FH:</t>
  </si>
  <si>
    <t xml:space="preserve">Maximale Auszahlung pro Jahr
</t>
  </si>
  <si>
    <t>Förderbeitrag brutto minus Abzug</t>
  </si>
  <si>
    <t>Die Wohnsituation spielt eine Rolle bei der Festsetzung des Individualbedarfes und bei der Ermittlung des Abzuges vom Förderbeitrag brutto.</t>
  </si>
  <si>
    <t>Art. 18 Abs. 1 und Art. A2-1 sowie A 2-1</t>
  </si>
  <si>
    <r>
      <t xml:space="preserve">Eingabe 
</t>
    </r>
    <r>
      <rPr>
        <sz val="11"/>
        <color theme="1"/>
        <rFont val="Arial"/>
        <family val="2"/>
      </rPr>
      <t>(Bitte alle weissen Felder ausfüllen)</t>
    </r>
  </si>
  <si>
    <t>Steuerbares Vermögen im Haushalt (in Franken)</t>
  </si>
  <si>
    <t>Departement Bildung und Kultur</t>
  </si>
  <si>
    <t>Stipendienstelle</t>
  </si>
  <si>
    <t>8750 Glarus</t>
  </si>
  <si>
    <t xml:space="preserve">055 646 62 03 </t>
  </si>
  <si>
    <t>stipendien@gl.ch</t>
  </si>
  <si>
    <t>Melden Sie sich für eine genaue Abklärung bei der Stipendienstelle Glarus:</t>
  </si>
  <si>
    <t>Die Berechnungen sind ohne Gewähr.</t>
  </si>
  <si>
    <t xml:space="preserve">Art. 15 Abs. 1 lit. b </t>
  </si>
  <si>
    <t>Wohnsitz/Bewilligung</t>
  </si>
  <si>
    <t>Musterrechner für Beiträge an Studierende HF Pflege, FH Pflege (Bachelor) und FaGe, AGS sowie FaBe (MiA und Generalistisch) lernende Erwachsene</t>
  </si>
  <si>
    <t>zivilrechtlicher Wohnsitz in GL</t>
  </si>
  <si>
    <t>Anzahl insgesamt im Haushalt wohnende Kinder der gesuchstellenden Person und des Partners/ der Partnerin</t>
  </si>
  <si>
    <t>Berechnung</t>
  </si>
  <si>
    <t>Art. 18 und 19</t>
  </si>
  <si>
    <t>Alter bei Beginn des Ausbildungsjahres</t>
  </si>
  <si>
    <t>Alter bei Beginn der Ausbildung</t>
  </si>
  <si>
    <t>Alter bei Ausbildungsbeginn muss unter 55 sein.</t>
  </si>
  <si>
    <t>Art. 15 Abs.1 lit c</t>
  </si>
  <si>
    <t>20 bis 54</t>
  </si>
  <si>
    <t>Alter jeweils bei Start des Ausbildungsjahres (in der Regel im September des Jahres). Das kann auch 55, 56 oder 57 sein bei bereits laufender Ausbildung.</t>
  </si>
  <si>
    <t>Art. 15 Abs.1 lit a und Abs. 2</t>
  </si>
  <si>
    <t>Nettoeinkommen oder Versicherungsleistungen Partner (in Franken pro Jahr)</t>
  </si>
  <si>
    <t>eigene Kinder unter 18 Jahren (bei Beginn Ausbildungsperiode), für welche die Person aufkommen muss (unabhängig vom Wohnort dieser Kinder);</t>
  </si>
  <si>
    <t>Freibetrag auf Haushaltseinnahmen</t>
  </si>
  <si>
    <t>Kinder-/Ausbildungszulagen für eigene Kinder im Haushalt (in Franken pro Jahr)</t>
  </si>
  <si>
    <t>Haushaltseinnahmen minus Freibetrag</t>
  </si>
  <si>
    <t>Freibetrag auf Haushaltseinnahmen aufgrund im Haushalt wohnender Kinder der gesuchstellenden Person und des Ehepartners, Konkubinatspartners oder eingetragenen Partners / eingetragener Partnerin</t>
  </si>
  <si>
    <t>Jährliche Unterhaltszahlungen zugunsten gesuchstellende Person, eigener Kinder oder zugunsten Ehepartner, Konkubinatspartner oder eigentragenem Partner / eingetragener Partnerin. Nur relevant, wenn zusammenlebend.</t>
  </si>
  <si>
    <t>Jährliche Zulagen (z.B. 200 Franken x 12 =2'400 Franken bei einem Kind und einer monatlichen Zulage von 200 Franken), für im Haushalt lebende eigene Kinder.</t>
  </si>
  <si>
    <t>Für prozentualen Abzug relevantes Total der Haushaltseinnahmen</t>
  </si>
  <si>
    <t>prozentuale Kürzung des Förderbeitrags brutto</t>
  </si>
  <si>
    <t>Von der gesuchstellenden Person zu leistende Unterhaltszahlungen (in Franken pro Jahr; exkl. KZ/AZ)</t>
  </si>
  <si>
    <t>Anrechenbare Jahreseinnahmen</t>
  </si>
  <si>
    <t>Tatsächlicher netto Ausbildungslohn (in Franken pro Jahr)</t>
  </si>
  <si>
    <t>Art. 19 Abs. 1</t>
  </si>
  <si>
    <t>Art. 19 Abs. 2 und 3</t>
  </si>
  <si>
    <t>Anzahl eigener Kinder unter 18</t>
  </si>
  <si>
    <t>Anspruch nur mit zivilrechtlichem Wohnsitz im Kanton Glarus oder als Grenzgänger/Grenzgängerin mit Arbeitsort im Kanton Glarus.</t>
  </si>
  <si>
    <r>
      <t xml:space="preserve">Jährliche Auszahlung 
</t>
    </r>
    <r>
      <rPr>
        <b/>
        <sz val="11"/>
        <color theme="1"/>
        <rFont val="Arial"/>
        <family val="2"/>
      </rPr>
      <t>(bei 12 Monaten Anspruch)</t>
    </r>
  </si>
  <si>
    <t>Art. 17 Abs. 1</t>
  </si>
  <si>
    <t>Jährliche Auszahlung 
(im ersten Ausbildungsjahr)</t>
  </si>
  <si>
    <t>Im ersten Ausbildungsjahr ist der erste Monat nicht anspruchsberechtigt.</t>
  </si>
  <si>
    <t>Ausserkantonale Beiträge für dieselbe Periode</t>
  </si>
  <si>
    <t>Art. 16 Abs. 2</t>
  </si>
  <si>
    <t>Besteht bei einem Wohnsitzwechsel für gewisse Monate noch Anrecht auf ausserkantonale Beiträge, so sind diese Beiträge anzurechnen.</t>
  </si>
  <si>
    <t>Entspricht den Zahlen gemäss Art. 19 FöPV sofern der tatsächliche Ausbildungslohn tiefer ist, sonst dem tatsächlichen Ausbildungslohn.</t>
  </si>
  <si>
    <t>Gemeint ist hier das steuerbare Vermögen gemäss Ziffer 480 der Steuererklärung (Vermögen nach Abzügen für Partner, Kinder etc.) der gesuchstellenden Person und des Ehe- oder Konkubinatpartners, resp. der eigentragenen Partnerin / des eigetragenen Partners.</t>
  </si>
  <si>
    <t>Jährliches Nettoeinkommen oder Verischerungsleistungen des Ehe- oder Konkubinatpartners, resp. der eigentragenen Partnerin / des eigetragenen Partners. Nur relevant, wenn zusammenlebend.</t>
  </si>
  <si>
    <t xml:space="preserve">Vom Nettoeinkommen des Partners / der Partnerin können von diesem nach extern zu leistende Unterhaltszahlungen  abgezogen werden. </t>
  </si>
  <si>
    <t>Vom Partner zu leistende Unterhaltszahlungen</t>
  </si>
  <si>
    <t>Zufliessende Unterhaltszahlungen (in Franken pro Jahr)</t>
  </si>
  <si>
    <t>Art. 18</t>
  </si>
  <si>
    <t>Art. 21 Abs. 1</t>
  </si>
  <si>
    <t>Berechtigt sind: HF Pflege, FH Pflege Bachelorstudiengänge, Fachmann/-frau EFZ (FaGe), Assistent/-in Gesundheit und Soziales EBA (AGS), Fachman/-frau Betreuung EFZ Menschen im Alter und Generalistisch (FaBe MiA und FaBe Generalistisch).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</si>
</sst>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CHF&quot;\ #,##0.00;&quot;CHF&quot;\ \-#,##0.00"/>
    <numFmt numFmtId="43" formatCode="_ * #,##0.00_ ;_ * \-#,##0.00_ ;_ * &quot;-&quot;??_ ;_ @_ "/>
    <numFmt numFmtId="164" formatCode="_ * #,##0_ ;_ * \-#,##0_ ;_ * &quot;-&quot;??_ ;_ @_ "/>
    <numFmt numFmtId="165" formatCode="&quot;CHF&quot;\ #,##0.00"/>
  </numFmts>
  <fonts count="15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  <font>
      <b/>
      <sz val="13"/>
      <color theme="1"/>
      <name val="Arial"/>
      <family val="2"/>
    </font>
    <font>
      <sz val="9"/>
      <color theme="1"/>
      <name val="Arial"/>
      <family val="2"/>
    </font>
    <font>
      <b/>
      <sz val="17"/>
      <color theme="1"/>
      <name val="Arial"/>
      <family val="2"/>
    </font>
    <font>
      <b/>
      <sz val="11"/>
      <color rgb="FFFF0000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  <xf numFmtId="9" fontId="0" fillId="0" borderId="1" xfId="0" applyNumberFormat="1" applyBorder="1"/>
    <xf numFmtId="0" fontId="0" fillId="2" borderId="1" xfId="0" applyFill="1" applyBorder="1"/>
    <xf numFmtId="0" fontId="1" fillId="0" borderId="0" xfId="3"/>
    <xf numFmtId="164" fontId="0" fillId="0" borderId="0" xfId="0" applyNumberFormat="1"/>
    <xf numFmtId="164" fontId="1" fillId="0" borderId="0" xfId="1" applyNumberFormat="1" applyFont="1"/>
    <xf numFmtId="0" fontId="4" fillId="4" borderId="1" xfId="0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0" fontId="5" fillId="5" borderId="6" xfId="0" applyFont="1" applyFill="1" applyBorder="1" applyAlignment="1">
      <alignment wrapText="1"/>
    </xf>
    <xf numFmtId="0" fontId="4" fillId="3" borderId="1" xfId="0" applyFont="1" applyFill="1" applyBorder="1" applyAlignment="1" applyProtection="1">
      <alignment wrapText="1"/>
      <protection locked="0"/>
    </xf>
    <xf numFmtId="0" fontId="4" fillId="3" borderId="1" xfId="0" applyFont="1" applyFill="1" applyBorder="1" applyProtection="1">
      <protection locked="0"/>
    </xf>
    <xf numFmtId="0" fontId="4" fillId="0" borderId="1" xfId="0" applyFont="1" applyFill="1" applyBorder="1" applyProtection="1"/>
    <xf numFmtId="164" fontId="4" fillId="4" borderId="1" xfId="1" applyNumberFormat="1" applyFont="1" applyFill="1" applyBorder="1"/>
    <xf numFmtId="164" fontId="4" fillId="3" borderId="1" xfId="1" applyNumberFormat="1" applyFont="1" applyFill="1" applyBorder="1" applyProtection="1">
      <protection locked="0"/>
    </xf>
    <xf numFmtId="9" fontId="4" fillId="4" borderId="1" xfId="2" applyFont="1" applyFill="1" applyBorder="1"/>
    <xf numFmtId="164" fontId="4" fillId="4" borderId="5" xfId="1" applyNumberFormat="1" applyFont="1" applyFill="1" applyBorder="1"/>
    <xf numFmtId="164" fontId="5" fillId="5" borderId="7" xfId="1" applyNumberFormat="1" applyFont="1" applyFill="1" applyBorder="1"/>
    <xf numFmtId="9" fontId="1" fillId="0" borderId="0" xfId="2" applyFont="1"/>
    <xf numFmtId="43" fontId="0" fillId="0" borderId="0" xfId="1" applyFont="1"/>
    <xf numFmtId="0" fontId="5" fillId="4" borderId="1" xfId="0" applyFont="1" applyFill="1" applyBorder="1" applyAlignment="1">
      <alignment wrapText="1"/>
    </xf>
    <xf numFmtId="0" fontId="0" fillId="0" borderId="0" xfId="0" applyBorder="1"/>
    <xf numFmtId="164" fontId="4" fillId="6" borderId="1" xfId="1" applyNumberFormat="1" applyFont="1" applyFill="1" applyBorder="1" applyProtection="1">
      <protection locked="0"/>
    </xf>
    <xf numFmtId="164" fontId="0" fillId="0" borderId="1" xfId="1" applyNumberFormat="1" applyFont="1" applyBorder="1"/>
    <xf numFmtId="9" fontId="0" fillId="2" borderId="1" xfId="0" applyNumberForma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" fillId="0" borderId="1" xfId="3" applyBorder="1"/>
    <xf numFmtId="0" fontId="1" fillId="0" borderId="10" xfId="3" applyBorder="1" applyAlignment="1"/>
    <xf numFmtId="0" fontId="3" fillId="0" borderId="0" xfId="0" applyFont="1"/>
    <xf numFmtId="0" fontId="6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164" fontId="0" fillId="5" borderId="12" xfId="1" applyNumberFormat="1" applyFont="1" applyFill="1" applyBorder="1"/>
    <xf numFmtId="164" fontId="0" fillId="5" borderId="5" xfId="1" applyNumberFormat="1" applyFont="1" applyFill="1" applyBorder="1"/>
    <xf numFmtId="164" fontId="0" fillId="5" borderId="11" xfId="1" applyNumberFormat="1" applyFont="1" applyFill="1" applyBorder="1"/>
    <xf numFmtId="165" fontId="0" fillId="5" borderId="11" xfId="0" applyNumberFormat="1" applyFill="1" applyBorder="1" applyAlignment="1">
      <alignment wrapText="1"/>
    </xf>
    <xf numFmtId="164" fontId="0" fillId="5" borderId="8" xfId="1" applyNumberFormat="1" applyFont="1" applyFill="1" applyBorder="1"/>
    <xf numFmtId="164" fontId="0" fillId="5" borderId="10" xfId="1" applyNumberFormat="1" applyFont="1" applyFill="1" applyBorder="1" applyAlignment="1"/>
    <xf numFmtId="165" fontId="3" fillId="5" borderId="11" xfId="0" applyNumberFormat="1" applyFont="1" applyFill="1" applyBorder="1" applyAlignment="1">
      <alignment wrapText="1"/>
    </xf>
    <xf numFmtId="165" fontId="0" fillId="5" borderId="11" xfId="0" applyNumberFormat="1" applyFont="1" applyFill="1" applyBorder="1" applyAlignment="1">
      <alignment wrapText="1"/>
    </xf>
    <xf numFmtId="165" fontId="7" fillId="5" borderId="11" xfId="0" applyNumberFormat="1" applyFont="1" applyFill="1" applyBorder="1" applyAlignment="1">
      <alignment wrapText="1"/>
    </xf>
    <xf numFmtId="7" fontId="0" fillId="5" borderId="5" xfId="1" applyNumberFormat="1" applyFont="1" applyFill="1" applyBorder="1"/>
    <xf numFmtId="7" fontId="3" fillId="5" borderId="5" xfId="1" applyNumberFormat="1" applyFont="1" applyFill="1" applyBorder="1"/>
    <xf numFmtId="9" fontId="0" fillId="5" borderId="5" xfId="2" applyFont="1" applyFill="1" applyBorder="1"/>
    <xf numFmtId="7" fontId="7" fillId="5" borderId="5" xfId="1" applyNumberFormat="1" applyFont="1" applyFill="1" applyBorder="1"/>
    <xf numFmtId="0" fontId="0" fillId="6" borderId="12" xfId="0" applyFill="1" applyBorder="1" applyAlignment="1" applyProtection="1">
      <alignment wrapText="1"/>
      <protection locked="0"/>
    </xf>
    <xf numFmtId="3" fontId="0" fillId="6" borderId="5" xfId="0" applyNumberFormat="1" applyFill="1" applyBorder="1" applyAlignment="1" applyProtection="1">
      <alignment wrapText="1"/>
      <protection locked="0"/>
    </xf>
    <xf numFmtId="165" fontId="0" fillId="6" borderId="5" xfId="0" applyNumberFormat="1" applyFill="1" applyBorder="1" applyAlignment="1" applyProtection="1">
      <alignment wrapText="1"/>
      <protection locked="0"/>
    </xf>
    <xf numFmtId="0" fontId="0" fillId="5" borderId="1" xfId="0" applyFill="1" applyBorder="1" applyAlignment="1">
      <alignment wrapText="1"/>
    </xf>
    <xf numFmtId="0" fontId="0" fillId="5" borderId="0" xfId="0" applyFill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0" fillId="2" borderId="10" xfId="0" applyFont="1" applyFill="1" applyBorder="1" applyAlignment="1">
      <alignment wrapText="1"/>
    </xf>
    <xf numFmtId="0" fontId="10" fillId="2" borderId="11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0" fillId="0" borderId="0" xfId="0" applyAlignment="1"/>
    <xf numFmtId="0" fontId="3" fillId="0" borderId="0" xfId="0" applyFont="1" applyAlignment="1">
      <alignment wrapText="1"/>
    </xf>
    <xf numFmtId="0" fontId="3" fillId="5" borderId="13" xfId="0" applyFont="1" applyFill="1" applyBorder="1" applyAlignment="1">
      <alignment horizontal="center"/>
    </xf>
    <xf numFmtId="0" fontId="9" fillId="7" borderId="1" xfId="0" applyFont="1" applyFill="1" applyBorder="1" applyAlignment="1">
      <alignment wrapText="1"/>
    </xf>
    <xf numFmtId="0" fontId="0" fillId="7" borderId="5" xfId="0" applyFill="1" applyBorder="1" applyAlignment="1">
      <alignment wrapText="1"/>
    </xf>
    <xf numFmtId="164" fontId="0" fillId="7" borderId="5" xfId="1" applyNumberFormat="1" applyFont="1" applyFill="1" applyBorder="1"/>
    <xf numFmtId="165" fontId="9" fillId="7" borderId="11" xfId="0" applyNumberFormat="1" applyFont="1" applyFill="1" applyBorder="1" applyAlignment="1">
      <alignment wrapText="1"/>
    </xf>
    <xf numFmtId="0" fontId="3" fillId="0" borderId="0" xfId="0" applyFont="1" applyAlignment="1"/>
    <xf numFmtId="164" fontId="8" fillId="5" borderId="5" xfId="1" applyNumberFormat="1" applyFont="1" applyFill="1" applyBorder="1"/>
    <xf numFmtId="0" fontId="0" fillId="6" borderId="12" xfId="0" applyFill="1" applyBorder="1" applyAlignment="1" applyProtection="1">
      <alignment vertical="top" wrapText="1"/>
      <protection locked="0"/>
    </xf>
    <xf numFmtId="0" fontId="0" fillId="6" borderId="1" xfId="0" applyFill="1" applyBorder="1" applyAlignment="1" applyProtection="1">
      <alignment vertical="top" wrapText="1"/>
      <protection locked="0"/>
    </xf>
    <xf numFmtId="0" fontId="12" fillId="5" borderId="12" xfId="0" applyFont="1" applyFill="1" applyBorder="1" applyAlignment="1">
      <alignment horizontal="left"/>
    </xf>
    <xf numFmtId="164" fontId="8" fillId="5" borderId="11" xfId="1" applyNumberFormat="1" applyFont="1" applyFill="1" applyBorder="1" applyAlignment="1">
      <alignment wrapText="1"/>
    </xf>
    <xf numFmtId="164" fontId="13" fillId="5" borderId="5" xfId="1" applyNumberFormat="1" applyFont="1" applyFill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14" fillId="2" borderId="11" xfId="0" applyFont="1" applyFill="1" applyBorder="1" applyAlignment="1">
      <alignment vertical="top" wrapText="1"/>
    </xf>
    <xf numFmtId="0" fontId="0" fillId="6" borderId="5" xfId="0" applyFill="1" applyBorder="1" applyAlignment="1" applyProtection="1">
      <alignment vertical="top" wrapText="1"/>
      <protection locked="0"/>
    </xf>
    <xf numFmtId="0" fontId="0" fillId="6" borderId="5" xfId="0" applyFill="1" applyBorder="1" applyAlignment="1" applyProtection="1">
      <alignment horizontal="left" wrapText="1"/>
      <protection locked="0"/>
    </xf>
    <xf numFmtId="0" fontId="3" fillId="7" borderId="1" xfId="0" applyFont="1" applyFill="1" applyBorder="1" applyAlignment="1">
      <alignment wrapText="1"/>
    </xf>
    <xf numFmtId="0" fontId="0" fillId="7" borderId="5" xfId="0" applyFont="1" applyFill="1" applyBorder="1" applyAlignment="1">
      <alignment wrapText="1"/>
    </xf>
    <xf numFmtId="165" fontId="3" fillId="7" borderId="11" xfId="0" applyNumberFormat="1" applyFont="1" applyFill="1" applyBorder="1" applyAlignment="1">
      <alignment wrapText="1"/>
    </xf>
    <xf numFmtId="0" fontId="0" fillId="0" borderId="0" xfId="0" applyFont="1"/>
    <xf numFmtId="0" fontId="3" fillId="5" borderId="5" xfId="0" applyFont="1" applyFill="1" applyBorder="1" applyAlignment="1">
      <alignment horizontal="left" vertical="top"/>
    </xf>
    <xf numFmtId="0" fontId="3" fillId="5" borderId="11" xfId="0" applyFont="1" applyFill="1" applyBorder="1" applyAlignment="1">
      <alignment horizontal="left" vertical="top"/>
    </xf>
    <xf numFmtId="0" fontId="11" fillId="0" borderId="9" xfId="0" applyFont="1" applyBorder="1" applyAlignment="1">
      <alignment horizontal="left" vertical="center" wrapText="1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8" xfId="3" applyBorder="1" applyAlignment="1">
      <alignment horizontal="center"/>
    </xf>
    <xf numFmtId="0" fontId="1" fillId="0" borderId="9" xfId="3" applyBorder="1" applyAlignment="1">
      <alignment horizontal="center"/>
    </xf>
  </cellXfs>
  <cellStyles count="4">
    <cellStyle name="Komma" xfId="1" builtinId="3"/>
    <cellStyle name="Prozent" xfId="2" builtinId="5"/>
    <cellStyle name="Standard" xfId="0" builtinId="0"/>
    <cellStyle name="Standard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127001</xdr:colOff>
      <xdr:row>33</xdr:row>
      <xdr:rowOff>31749</xdr:rowOff>
    </xdr:from>
    <xdr:to>
      <xdr:col>3</xdr:col>
      <xdr:colOff>127001</xdr:colOff>
      <xdr:row>48</xdr:row>
      <xdr:rowOff>71751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1" y="13832416"/>
          <a:ext cx="5312833" cy="2971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zoomScale="90" zoomScaleNormal="90" workbookViewId="0">
      <selection activeCell="B3" sqref="B3"/>
    </sheetView>
  </sheetViews>
  <sheetFormatPr baseColWidth="10" defaultRowHeight="14.25" x14ac:dyDescent="0.2"/>
  <cols>
    <col min="1" max="1" width="30.375" style="1" customWidth="1"/>
    <col min="2" max="2" width="23.75" style="1" customWidth="1"/>
    <col min="3" max="3" width="15.5" customWidth="1"/>
    <col min="4" max="4" width="16.5" customWidth="1"/>
    <col min="5" max="5" width="46.375" style="32" customWidth="1"/>
    <col min="6" max="6" width="10.25" style="32" customWidth="1"/>
  </cols>
  <sheetData>
    <row r="1" spans="1:6" ht="66.75" customHeight="1" x14ac:dyDescent="0.2">
      <c r="A1" s="88" t="s">
        <v>85</v>
      </c>
      <c r="B1" s="88"/>
      <c r="C1" s="88"/>
      <c r="D1" s="88"/>
      <c r="E1" s="88"/>
      <c r="F1" s="88"/>
    </row>
    <row r="2" spans="1:6" s="31" customFormat="1" ht="44.25" x14ac:dyDescent="0.25">
      <c r="A2" s="35"/>
      <c r="B2" s="33" t="s">
        <v>74</v>
      </c>
      <c r="C2" s="86" t="s">
        <v>88</v>
      </c>
      <c r="D2" s="87"/>
      <c r="E2" s="78" t="s">
        <v>42</v>
      </c>
      <c r="F2" s="79" t="s">
        <v>43</v>
      </c>
    </row>
    <row r="3" spans="1:6" s="31" customFormat="1" ht="30.75" customHeight="1" x14ac:dyDescent="0.25">
      <c r="A3" s="38" t="s">
        <v>84</v>
      </c>
      <c r="B3" s="73" t="s">
        <v>86</v>
      </c>
      <c r="C3" s="75" t="str">
        <f>IF(B3="","weisse Zellen bitte ausfüllen!",IF(B3="zivilrechtlicher Wohnsitz in einem anderen Kanton","Ausserkantonal: kein Anspruch!",""))</f>
        <v/>
      </c>
      <c r="D3" s="66"/>
      <c r="E3" s="60" t="s">
        <v>113</v>
      </c>
      <c r="F3" s="63" t="s">
        <v>83</v>
      </c>
    </row>
    <row r="4" spans="1:6" ht="42.75" customHeight="1" x14ac:dyDescent="0.2">
      <c r="A4" s="38" t="s">
        <v>35</v>
      </c>
      <c r="B4" s="74" t="s">
        <v>36</v>
      </c>
      <c r="C4" s="72" t="str">
        <f>IF(B4="","weisse Zellen bitte ausfüllen!","")</f>
        <v/>
      </c>
      <c r="D4" s="42"/>
      <c r="E4" s="60" t="s">
        <v>72</v>
      </c>
      <c r="F4" s="63" t="s">
        <v>73</v>
      </c>
    </row>
    <row r="5" spans="1:6" ht="15.75" customHeight="1" x14ac:dyDescent="0.2">
      <c r="A5" s="38" t="s">
        <v>91</v>
      </c>
      <c r="B5" s="80" t="s">
        <v>94</v>
      </c>
      <c r="C5" s="72" t="str">
        <f>IF(B5="","weisse Zellen bitte ausfüllen!",IF(B5="unter 20 oder 55 und älter","kein Anspruch!",""))</f>
        <v/>
      </c>
      <c r="D5" s="42"/>
      <c r="E5" s="60" t="s">
        <v>92</v>
      </c>
      <c r="F5" s="63" t="s">
        <v>93</v>
      </c>
    </row>
    <row r="6" spans="1:6" ht="36" x14ac:dyDescent="0.2">
      <c r="A6" s="39" t="s">
        <v>90</v>
      </c>
      <c r="B6" s="81" t="s">
        <v>5</v>
      </c>
      <c r="C6" s="72" t="str">
        <f>IF(B6="","weisse Zellen bitte ausfüllen!","")</f>
        <v/>
      </c>
      <c r="D6" s="42"/>
      <c r="E6" s="60" t="s">
        <v>95</v>
      </c>
      <c r="F6" s="34" t="s">
        <v>89</v>
      </c>
    </row>
    <row r="7" spans="1:6" ht="48" x14ac:dyDescent="0.2">
      <c r="A7" s="39" t="s">
        <v>18</v>
      </c>
      <c r="B7" s="53" t="s">
        <v>39</v>
      </c>
      <c r="C7" s="72" t="str">
        <f>IF(B7="","weisse Zellen bitte ausfüllen!","")</f>
        <v/>
      </c>
      <c r="D7" s="42"/>
      <c r="E7" s="61" t="s">
        <v>129</v>
      </c>
      <c r="F7" s="36" t="s">
        <v>96</v>
      </c>
    </row>
    <row r="8" spans="1:6" ht="28.5" x14ac:dyDescent="0.2">
      <c r="A8" s="56" t="s">
        <v>49</v>
      </c>
      <c r="B8" s="37"/>
      <c r="C8" s="41"/>
      <c r="D8" s="43">
        <f>IF(B7='Vorgaben gemäss FöPV'!J2,0,VLOOKUP($B6,'Vorgaben gemäss FöPV'!$A$4:$D$6,IF($B4='Vorgaben gemäss FöPV'!$B$3,2,IF($B4='Vorgaben gemäss FöPV'!$C$3,3,IF($B4='Vorgaben gemäss FöPV'!$D$3,4,1)))))</f>
        <v>21600</v>
      </c>
      <c r="E8" s="62" t="s">
        <v>44</v>
      </c>
      <c r="F8" s="34" t="s">
        <v>47</v>
      </c>
    </row>
    <row r="9" spans="1:6" ht="36" x14ac:dyDescent="0.2">
      <c r="A9" s="39" t="s">
        <v>112</v>
      </c>
      <c r="B9" s="54">
        <v>0</v>
      </c>
      <c r="C9" s="44"/>
      <c r="D9" s="45"/>
      <c r="E9" s="62" t="s">
        <v>98</v>
      </c>
      <c r="F9" s="34" t="s">
        <v>46</v>
      </c>
    </row>
    <row r="10" spans="1:6" ht="28.5" x14ac:dyDescent="0.2">
      <c r="A10" s="56" t="s">
        <v>50</v>
      </c>
      <c r="B10" s="37"/>
      <c r="C10" s="41"/>
      <c r="D10" s="43">
        <f>IF(B9&gt;0,'Vorgaben gemäss FöPV'!$E$4+(B9-1)*'Vorgaben gemäss FöPV'!$F$4,0)</f>
        <v>0</v>
      </c>
      <c r="E10" s="62" t="s">
        <v>45</v>
      </c>
      <c r="F10" s="34" t="s">
        <v>46</v>
      </c>
    </row>
    <row r="11" spans="1:6" ht="15" x14ac:dyDescent="0.25">
      <c r="A11" s="59" t="s">
        <v>48</v>
      </c>
      <c r="B11" s="37"/>
      <c r="C11" s="41"/>
      <c r="D11" s="46">
        <f>IF(OR(B3="zivilrechtlicher Wohnsitz in einem anderen Kanton",B5="unter 20 oder 55 und älter"),"kein Anspruch",D8+D10)</f>
        <v>21600</v>
      </c>
      <c r="E11" s="62"/>
      <c r="F11" s="34" t="s">
        <v>127</v>
      </c>
    </row>
    <row r="12" spans="1:6" ht="42.75" x14ac:dyDescent="0.2">
      <c r="A12" s="39" t="s">
        <v>109</v>
      </c>
      <c r="B12" s="55">
        <v>0</v>
      </c>
      <c r="C12" s="41"/>
      <c r="D12" s="42"/>
      <c r="E12" s="62"/>
      <c r="F12" s="34" t="s">
        <v>110</v>
      </c>
    </row>
    <row r="13" spans="1:6" ht="36" x14ac:dyDescent="0.2">
      <c r="A13" s="56" t="s">
        <v>108</v>
      </c>
      <c r="B13" s="37"/>
      <c r="C13" s="41"/>
      <c r="D13" s="47">
        <f>-IF(B7='Vorgaben gemäss FöPV'!$J$2,0,IF(B12&gt;VLOOKUP($B6,'Vorgaben gemäss FöPV'!$A$4:$I$6,IF(B7='Vorgaben gemäss FöPV'!$H$2,8,IF(B7='Vorgaben gemäss FöPV'!$I$2,9,1))),B12,VLOOKUP($B6,'Vorgaben gemäss FöPV'!$A$4:$I$6,IF(B7='Vorgaben gemäss FöPV'!$H$2,8,IF(B7='Vorgaben gemäss FöPV'!$I$2,9,1)))))</f>
        <v>-20600</v>
      </c>
      <c r="E13" s="62" t="s">
        <v>121</v>
      </c>
      <c r="F13" s="34" t="s">
        <v>111</v>
      </c>
    </row>
    <row r="14" spans="1:6" ht="24.75" x14ac:dyDescent="0.25">
      <c r="A14" s="58" t="s">
        <v>51</v>
      </c>
      <c r="B14" s="37"/>
      <c r="C14" s="41"/>
      <c r="D14" s="48">
        <f>IF(D11+D13&lt;0,0,D11+D13)</f>
        <v>1000</v>
      </c>
      <c r="E14" s="62" t="str">
        <f>CONCATENATE("Individualbedarf (",D11,".-) minus anrechenbare Jahreseinnahmen  (",D13,".-)")</f>
        <v>Individualbedarf (21600.-) minus anrechenbare Jahreseinnahmen  (-20600.-)</v>
      </c>
      <c r="F14" s="34" t="s">
        <v>52</v>
      </c>
    </row>
    <row r="15" spans="1:6" ht="48" x14ac:dyDescent="0.2">
      <c r="A15" s="39" t="s">
        <v>97</v>
      </c>
      <c r="B15" s="55">
        <v>0</v>
      </c>
      <c r="C15" s="49">
        <f>IF(B4='Vorgaben gemäss FöPV'!C3,B15,0)</f>
        <v>0</v>
      </c>
      <c r="D15" s="76" t="str">
        <f>IF(B4='Vorgaben gemäss FöPV'!C3,"",IF(B15&gt;0,"Nur relevant, falls mit Partner im gleichen Haushalt",""))</f>
        <v/>
      </c>
      <c r="E15" s="62" t="s">
        <v>123</v>
      </c>
      <c r="F15" s="34" t="s">
        <v>53</v>
      </c>
    </row>
    <row r="16" spans="1:6" ht="36" x14ac:dyDescent="0.2">
      <c r="A16" s="39" t="s">
        <v>125</v>
      </c>
      <c r="B16" s="55">
        <v>0</v>
      </c>
      <c r="C16" s="49">
        <f>-ABS(B16)</f>
        <v>0</v>
      </c>
      <c r="D16" s="76"/>
      <c r="E16" s="62" t="s">
        <v>124</v>
      </c>
      <c r="F16" s="34" t="s">
        <v>53</v>
      </c>
    </row>
    <row r="17" spans="1:6" ht="48" x14ac:dyDescent="0.2">
      <c r="A17" s="39" t="s">
        <v>126</v>
      </c>
      <c r="B17" s="55">
        <v>0</v>
      </c>
      <c r="C17" s="49">
        <f>B17</f>
        <v>0</v>
      </c>
      <c r="D17" s="42"/>
      <c r="E17" s="62" t="s">
        <v>103</v>
      </c>
      <c r="F17" s="34" t="s">
        <v>54</v>
      </c>
    </row>
    <row r="18" spans="1:6" ht="42.75" x14ac:dyDescent="0.2">
      <c r="A18" s="39" t="s">
        <v>100</v>
      </c>
      <c r="B18" s="55">
        <v>0</v>
      </c>
      <c r="C18" s="41">
        <f>B18</f>
        <v>0</v>
      </c>
      <c r="D18" s="42"/>
      <c r="E18" s="62" t="s">
        <v>104</v>
      </c>
      <c r="F18" s="34" t="s">
        <v>55</v>
      </c>
    </row>
    <row r="19" spans="1:6" ht="60" x14ac:dyDescent="0.2">
      <c r="A19" s="39" t="s">
        <v>75</v>
      </c>
      <c r="B19" s="55">
        <v>0</v>
      </c>
      <c r="C19" s="41"/>
      <c r="D19" s="42"/>
      <c r="E19" s="62" t="s">
        <v>122</v>
      </c>
      <c r="F19" s="34" t="s">
        <v>56</v>
      </c>
    </row>
    <row r="20" spans="1:6" ht="28.5" x14ac:dyDescent="0.2">
      <c r="A20" s="56" t="s">
        <v>57</v>
      </c>
      <c r="B20" s="37"/>
      <c r="C20" s="49">
        <f>B19*'Vorgaben gemäss FöPV'!B34</f>
        <v>0</v>
      </c>
      <c r="D20" s="42"/>
      <c r="E20" s="62" t="str">
        <f>CONCATENATE("Entspricht ",'Vorgaben gemäss FöPV'!B34*100," % vom Steuerbaren Vermögen (",B19,".-)")</f>
        <v>Entspricht 5 % vom Steuerbaren Vermögen (0.-)</v>
      </c>
      <c r="F20" s="34" t="s">
        <v>56</v>
      </c>
    </row>
    <row r="21" spans="1:6" ht="15" x14ac:dyDescent="0.25">
      <c r="A21" s="56" t="s">
        <v>58</v>
      </c>
      <c r="B21" s="37"/>
      <c r="C21" s="50">
        <f>SUM(C15:C20)</f>
        <v>0</v>
      </c>
      <c r="D21" s="42"/>
      <c r="E21" s="62"/>
      <c r="F21" s="34" t="s">
        <v>128</v>
      </c>
    </row>
    <row r="22" spans="1:6" ht="71.25" customHeight="1" x14ac:dyDescent="0.2">
      <c r="A22" s="39" t="s">
        <v>87</v>
      </c>
      <c r="B22" s="54">
        <v>0</v>
      </c>
      <c r="C22" s="77" t="str">
        <f>IF(B22&lt;B9,CONCATENATE("Anzahl angegebener eigener Kinder im Haushalt ist ",B9,", Anzahl insgesamt im Haushalt wohnende Kinder aber nur ",B22,"?"),"")</f>
        <v/>
      </c>
      <c r="D22" s="42"/>
      <c r="E22" s="62" t="s">
        <v>59</v>
      </c>
      <c r="F22" s="34" t="s">
        <v>60</v>
      </c>
    </row>
    <row r="23" spans="1:6" ht="48" x14ac:dyDescent="0.2">
      <c r="A23" s="37" t="s">
        <v>99</v>
      </c>
      <c r="B23" s="37"/>
      <c r="C23" s="49">
        <f>-B22*'Vorgaben gemäss FöPV'!B33</f>
        <v>0</v>
      </c>
      <c r="D23" s="42"/>
      <c r="E23" s="62" t="s">
        <v>102</v>
      </c>
      <c r="F23" s="34" t="s">
        <v>60</v>
      </c>
    </row>
    <row r="24" spans="1:6" ht="29.25" x14ac:dyDescent="0.25">
      <c r="A24" s="37" t="s">
        <v>101</v>
      </c>
      <c r="B24" s="37"/>
      <c r="C24" s="50">
        <f>IF(C21+C23&lt;0,0,C21+C23)</f>
        <v>0</v>
      </c>
      <c r="D24" s="42"/>
      <c r="E24" s="62"/>
      <c r="F24" s="34" t="s">
        <v>61</v>
      </c>
    </row>
    <row r="25" spans="1:6" ht="42.75" x14ac:dyDescent="0.2">
      <c r="A25" s="39" t="s">
        <v>107</v>
      </c>
      <c r="B25" s="55">
        <v>0</v>
      </c>
      <c r="C25" s="49">
        <f>-ABS(B25)</f>
        <v>0</v>
      </c>
      <c r="D25" s="42"/>
      <c r="E25" s="62"/>
      <c r="F25" s="34" t="s">
        <v>63</v>
      </c>
    </row>
    <row r="26" spans="1:6" ht="29.25" x14ac:dyDescent="0.25">
      <c r="A26" s="56" t="s">
        <v>105</v>
      </c>
      <c r="B26" s="37"/>
      <c r="C26" s="52">
        <f>C24+C25</f>
        <v>0</v>
      </c>
      <c r="D26" s="42"/>
      <c r="E26" s="62"/>
      <c r="F26" s="34" t="s">
        <v>62</v>
      </c>
    </row>
    <row r="27" spans="1:6" ht="28.5" x14ac:dyDescent="0.2">
      <c r="A27" s="56" t="s">
        <v>106</v>
      </c>
      <c r="B27" s="37"/>
      <c r="C27" s="51">
        <f>IF(C26&lt;'Vorgaben gemäss FöPV'!$A$9,0,VLOOKUP(C26,'Vorgaben gemäss FöPV'!$A$9:$D$31,IF(B4='Vorgaben gemäss FöPV'!$B$8,2,IF(B4='Vorgaben gemäss FöPV'!$C$8,3,IF(B4='Vorgaben gemäss FöPV'!$D$8,4,1)))))</f>
        <v>0</v>
      </c>
      <c r="D27" s="42"/>
      <c r="E27" s="62"/>
      <c r="F27" s="34" t="s">
        <v>66</v>
      </c>
    </row>
    <row r="28" spans="1:6" x14ac:dyDescent="0.2">
      <c r="A28" s="56" t="s">
        <v>64</v>
      </c>
      <c r="B28" s="57"/>
      <c r="C28" s="40"/>
      <c r="D28" s="43">
        <f>-D14*C27</f>
        <v>0</v>
      </c>
      <c r="E28" s="62" t="str">
        <f>CONCATENATE("Entspricht ",100*C27," % vom Förderbeitrag brutto (",D14,".-).")</f>
        <v>Entspricht 0 % vom Förderbeitrag brutto (1000.-).</v>
      </c>
      <c r="F28" s="34" t="s">
        <v>66</v>
      </c>
    </row>
    <row r="29" spans="1:6" ht="15.75" x14ac:dyDescent="0.25">
      <c r="A29" s="58" t="s">
        <v>65</v>
      </c>
      <c r="B29" s="37"/>
      <c r="C29" s="41"/>
      <c r="D29" s="48">
        <f>D14+D28</f>
        <v>1000</v>
      </c>
      <c r="E29" s="62" t="s">
        <v>71</v>
      </c>
      <c r="F29" s="34" t="s">
        <v>67</v>
      </c>
    </row>
    <row r="30" spans="1:6" ht="36" x14ac:dyDescent="0.2">
      <c r="A30" s="56" t="s">
        <v>118</v>
      </c>
      <c r="B30" s="55">
        <v>0</v>
      </c>
      <c r="C30" s="41"/>
      <c r="D30" s="43">
        <f>-B30</f>
        <v>0</v>
      </c>
      <c r="E30" s="62" t="s">
        <v>120</v>
      </c>
      <c r="F30" s="34" t="s">
        <v>119</v>
      </c>
    </row>
    <row r="31" spans="1:6" ht="36.75" x14ac:dyDescent="0.25">
      <c r="A31" s="67" t="s">
        <v>114</v>
      </c>
      <c r="B31" s="68"/>
      <c r="C31" s="69"/>
      <c r="D31" s="70">
        <f>ROUND(IF(B7='Vorgaben gemäss FöPV'!$J$2,IF(D29+D30&gt;'Vorgaben gemäss FöPV'!$G$7,'Vorgaben gemäss FöPV'!$G$7,D29+D30),IF(D29+D30&lt;'Vorgaben gemäss FöPV'!$G$4,D29+D30,'Vorgaben gemäss FöPV'!$G$4)),0)</f>
        <v>1000</v>
      </c>
      <c r="E31" s="62" t="str">
        <f>CONCATENATE("Für Auszubildende HF, EFZ und EBA werden maximal ",'Vorgaben gemäss FöPV'!G4,".- jährlich gewährt. Für Auszubildende Pflege FH maximal ",'Vorgaben gemäss FöPV'!G7,".- jährlich.")</f>
        <v>Für Auszubildende HF, EFZ und EBA werden maximal 30000.- jährlich gewährt. Für Auszubildende Pflege FH maximal 21600.- jährlich.</v>
      </c>
      <c r="F31" s="34" t="s">
        <v>68</v>
      </c>
    </row>
    <row r="32" spans="1:6" s="85" customFormat="1" ht="30" x14ac:dyDescent="0.25">
      <c r="A32" s="82" t="s">
        <v>116</v>
      </c>
      <c r="B32" s="83"/>
      <c r="C32" s="69"/>
      <c r="D32" s="84">
        <f>ROUND(D31/12*11,0)</f>
        <v>917</v>
      </c>
      <c r="E32" s="62" t="s">
        <v>117</v>
      </c>
      <c r="F32" s="34" t="s">
        <v>115</v>
      </c>
    </row>
    <row r="41" spans="5:5" x14ac:dyDescent="0.2">
      <c r="E41" s="64" t="s">
        <v>82</v>
      </c>
    </row>
    <row r="42" spans="5:5" ht="28.5" x14ac:dyDescent="0.2">
      <c r="E42" s="1" t="s">
        <v>81</v>
      </c>
    </row>
    <row r="43" spans="5:5" ht="15" x14ac:dyDescent="0.25">
      <c r="E43" s="71" t="s">
        <v>76</v>
      </c>
    </row>
    <row r="44" spans="5:5" ht="15" x14ac:dyDescent="0.25">
      <c r="E44" s="65" t="s">
        <v>77</v>
      </c>
    </row>
    <row r="45" spans="5:5" ht="15" x14ac:dyDescent="0.25">
      <c r="E45" s="65" t="s">
        <v>78</v>
      </c>
    </row>
    <row r="46" spans="5:5" ht="15" x14ac:dyDescent="0.25">
      <c r="E46" s="65" t="s">
        <v>79</v>
      </c>
    </row>
    <row r="47" spans="5:5" ht="15" x14ac:dyDescent="0.25">
      <c r="E47" s="65" t="s">
        <v>80</v>
      </c>
    </row>
  </sheetData>
  <sheetProtection sheet="1" selectLockedCells="1"/>
  <mergeCells count="2">
    <mergeCell ref="C2:D2"/>
    <mergeCell ref="A1:F1"/>
  </mergeCells>
  <dataValidations count="4">
    <dataValidation type="list" allowBlank="1" showInputMessage="1" showErrorMessage="1" sqref="B9">
      <formula1>"0,1,2,3,4,5,6,7,8,9,10"</formula1>
    </dataValidation>
    <dataValidation type="list" allowBlank="1" showInputMessage="1" showErrorMessage="1" sqref="B22">
      <formula1>"0,1,2,3,4,5,6,7,8,9,10,11,12"</formula1>
    </dataValidation>
    <dataValidation type="list" allowBlank="1" showInputMessage="1" showErrorMessage="1" sqref="B3">
      <formula1>"zivilrechtlicher Wohnsitz in GL, Grenzgänger in GL, zivilrechtlicher Wohnsitz in einem anderen Kanton"</formula1>
    </dataValidation>
    <dataValidation type="list" allowBlank="1" showInputMessage="1" showErrorMessage="1" sqref="B5">
      <formula1>"20 bis 54, unter 20 oder 55 und älter"</formula1>
    </dataValidation>
  </dataValidations>
  <pageMargins left="0.7" right="0.7" top="0.78740157499999996" bottom="0.78740157499999996" header="0.3" footer="0.3"/>
  <pageSetup paperSize="9" scale="55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'Vorgaben gemäss FöPV'!$B$3:$D$3</xm:f>
          </x14:formula1>
          <xm:sqref>B4</xm:sqref>
        </x14:dataValidation>
        <x14:dataValidation type="list" allowBlank="1" showInputMessage="1" showErrorMessage="1">
          <x14:formula1>
            <xm:f>'Vorgaben gemäss FöPV'!$A$4:$A$6</xm:f>
          </x14:formula1>
          <xm:sqref>B6</xm:sqref>
        </x14:dataValidation>
        <x14:dataValidation type="list" allowBlank="1" showInputMessage="1" showErrorMessage="1">
          <x14:formula1>
            <xm:f>'Vorgaben gemäss FöPV'!$H$2:$J$2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G8" sqref="G8"/>
    </sheetView>
  </sheetViews>
  <sheetFormatPr baseColWidth="10" defaultColWidth="11" defaultRowHeight="15" x14ac:dyDescent="0.25"/>
  <cols>
    <col min="1" max="5" width="11" style="7"/>
    <col min="6" max="6" width="10.75" style="7" bestFit="1" customWidth="1"/>
    <col min="7" max="8" width="11" style="7"/>
    <col min="9" max="9" width="11.625" style="7" bestFit="1" customWidth="1"/>
    <col min="10" max="11" width="11" style="7"/>
    <col min="12" max="12" width="25.75" style="7" bestFit="1" customWidth="1"/>
    <col min="13" max="16384" width="11" style="7"/>
  </cols>
  <sheetData>
    <row r="1" spans="1:16" x14ac:dyDescent="0.25">
      <c r="A1" s="7" t="s">
        <v>32</v>
      </c>
    </row>
    <row r="2" spans="1:16" x14ac:dyDescent="0.25">
      <c r="B2" s="95" t="s">
        <v>31</v>
      </c>
      <c r="C2" s="96"/>
      <c r="D2" s="96"/>
      <c r="E2" s="96" t="s">
        <v>33</v>
      </c>
      <c r="F2" s="96"/>
      <c r="G2" s="30" t="s">
        <v>4</v>
      </c>
      <c r="H2" s="29" t="s">
        <v>39</v>
      </c>
      <c r="I2" s="29" t="s">
        <v>40</v>
      </c>
      <c r="J2" s="29" t="s">
        <v>41</v>
      </c>
    </row>
    <row r="3" spans="1:16" ht="101.25" x14ac:dyDescent="0.25">
      <c r="A3" s="28"/>
      <c r="B3" s="28" t="s">
        <v>36</v>
      </c>
      <c r="C3" s="28" t="s">
        <v>37</v>
      </c>
      <c r="D3" s="28" t="s">
        <v>38</v>
      </c>
      <c r="E3" s="28" t="s">
        <v>0</v>
      </c>
      <c r="F3" s="28" t="s">
        <v>1</v>
      </c>
      <c r="G3" s="28" t="s">
        <v>70</v>
      </c>
      <c r="H3" s="28" t="s">
        <v>16</v>
      </c>
      <c r="I3" s="28" t="s">
        <v>17</v>
      </c>
      <c r="J3" s="28" t="s">
        <v>30</v>
      </c>
    </row>
    <row r="4" spans="1:16" x14ac:dyDescent="0.25">
      <c r="A4" s="6" t="s">
        <v>5</v>
      </c>
      <c r="B4" s="4">
        <v>21600</v>
      </c>
      <c r="C4" s="4">
        <v>18000</v>
      </c>
      <c r="D4" s="4">
        <v>18000</v>
      </c>
      <c r="E4" s="89">
        <v>9600</v>
      </c>
      <c r="F4" s="89">
        <v>6000</v>
      </c>
      <c r="G4" s="92">
        <v>30000</v>
      </c>
      <c r="H4" s="4">
        <v>20600</v>
      </c>
      <c r="I4" s="4">
        <v>30000</v>
      </c>
      <c r="J4" s="4">
        <v>0</v>
      </c>
    </row>
    <row r="5" spans="1:16" x14ac:dyDescent="0.25">
      <c r="A5" s="6" t="s">
        <v>6</v>
      </c>
      <c r="B5" s="4">
        <v>30000</v>
      </c>
      <c r="C5" s="4">
        <v>24000</v>
      </c>
      <c r="D5" s="4">
        <v>24000</v>
      </c>
      <c r="E5" s="90"/>
      <c r="F5" s="90"/>
      <c r="G5" s="93"/>
      <c r="H5" s="4">
        <v>23200</v>
      </c>
      <c r="I5" s="4">
        <v>30000</v>
      </c>
      <c r="J5" s="4">
        <v>0</v>
      </c>
      <c r="P5" s="9"/>
    </row>
    <row r="6" spans="1:16" x14ac:dyDescent="0.25">
      <c r="A6" s="6" t="s">
        <v>34</v>
      </c>
      <c r="B6" s="4">
        <v>32400</v>
      </c>
      <c r="C6" s="4">
        <v>26400</v>
      </c>
      <c r="D6" s="4">
        <v>26400</v>
      </c>
      <c r="E6" s="91"/>
      <c r="F6" s="91"/>
      <c r="G6" s="94"/>
      <c r="H6" s="4">
        <v>23200</v>
      </c>
      <c r="I6" s="4">
        <v>30000</v>
      </c>
      <c r="J6" s="4">
        <v>0</v>
      </c>
    </row>
    <row r="7" spans="1:16" x14ac:dyDescent="0.25">
      <c r="F7" s="7" t="s">
        <v>69</v>
      </c>
      <c r="G7" s="7">
        <v>21600</v>
      </c>
    </row>
    <row r="8" spans="1:16" ht="214.5" x14ac:dyDescent="0.25">
      <c r="A8" s="3" t="s">
        <v>20</v>
      </c>
      <c r="B8" s="3" t="str">
        <f>$B$3</f>
        <v>Ausserhalb Ehe/Konkubinat alleinelebend/alleinerziehend</v>
      </c>
      <c r="C8" s="3" t="str">
        <f>$C$3</f>
        <v>verheiratet, in eigetragener Partnerschaft, in Konkubinat lebend</v>
      </c>
      <c r="D8" s="3" t="str">
        <f>$D$3</f>
        <v>bei Eltern lebend (ohne Lebenspartner)</v>
      </c>
    </row>
    <row r="9" spans="1:16" x14ac:dyDescent="0.25">
      <c r="A9" s="6">
        <v>0</v>
      </c>
      <c r="B9" s="5">
        <v>0</v>
      </c>
      <c r="C9" s="5">
        <v>0</v>
      </c>
      <c r="D9" s="5">
        <v>0</v>
      </c>
    </row>
    <row r="10" spans="1:16" x14ac:dyDescent="0.25">
      <c r="A10" s="6">
        <v>2500</v>
      </c>
      <c r="B10" s="5">
        <v>0.1</v>
      </c>
      <c r="C10" s="5">
        <v>0</v>
      </c>
      <c r="D10" s="5">
        <v>0.1</v>
      </c>
    </row>
    <row r="11" spans="1:16" x14ac:dyDescent="0.25">
      <c r="A11" s="6">
        <v>5000</v>
      </c>
      <c r="B11" s="5">
        <v>0.2</v>
      </c>
      <c r="C11" s="5">
        <v>0</v>
      </c>
      <c r="D11" s="5">
        <v>0.2</v>
      </c>
    </row>
    <row r="12" spans="1:16" x14ac:dyDescent="0.25">
      <c r="A12" s="6">
        <v>7500</v>
      </c>
      <c r="B12" s="5">
        <v>0.3</v>
      </c>
      <c r="C12" s="5">
        <v>0</v>
      </c>
      <c r="D12" s="5">
        <v>0.3</v>
      </c>
      <c r="E12" s="21"/>
      <c r="F12" s="21"/>
      <c r="G12" s="21"/>
    </row>
    <row r="13" spans="1:16" x14ac:dyDescent="0.25">
      <c r="A13" s="6">
        <v>10000</v>
      </c>
      <c r="B13" s="5">
        <v>0.4</v>
      </c>
      <c r="C13" s="5">
        <v>0</v>
      </c>
      <c r="D13" s="5">
        <v>0.4</v>
      </c>
    </row>
    <row r="14" spans="1:16" x14ac:dyDescent="0.25">
      <c r="A14" s="6">
        <v>12500</v>
      </c>
      <c r="B14" s="5">
        <v>0.5</v>
      </c>
      <c r="C14" s="5">
        <v>0</v>
      </c>
      <c r="D14" s="5">
        <v>0.5</v>
      </c>
    </row>
    <row r="15" spans="1:16" x14ac:dyDescent="0.25">
      <c r="A15" s="6">
        <v>15000</v>
      </c>
      <c r="B15" s="5">
        <v>0.6</v>
      </c>
      <c r="C15" s="5">
        <v>0</v>
      </c>
      <c r="D15" s="5">
        <v>0.6</v>
      </c>
    </row>
    <row r="16" spans="1:16" x14ac:dyDescent="0.25">
      <c r="A16" s="6">
        <v>17500</v>
      </c>
      <c r="B16" s="5">
        <v>0.7</v>
      </c>
      <c r="C16" s="5">
        <v>0</v>
      </c>
      <c r="D16" s="5">
        <v>0.7</v>
      </c>
    </row>
    <row r="17" spans="1:4" x14ac:dyDescent="0.25">
      <c r="A17" s="6">
        <v>20000</v>
      </c>
      <c r="B17" s="5">
        <v>0.8</v>
      </c>
      <c r="C17" s="5">
        <v>0</v>
      </c>
      <c r="D17" s="5">
        <v>0.8</v>
      </c>
    </row>
    <row r="18" spans="1:4" x14ac:dyDescent="0.25">
      <c r="A18" s="6">
        <v>22500</v>
      </c>
      <c r="B18" s="5">
        <v>0.9</v>
      </c>
      <c r="C18" s="5">
        <v>0</v>
      </c>
      <c r="D18" s="5">
        <v>0.9</v>
      </c>
    </row>
    <row r="19" spans="1:4" x14ac:dyDescent="0.25">
      <c r="A19" s="6">
        <v>25000</v>
      </c>
      <c r="B19" s="5">
        <v>1</v>
      </c>
      <c r="C19" s="5">
        <v>0</v>
      </c>
      <c r="D19" s="5">
        <v>1</v>
      </c>
    </row>
    <row r="20" spans="1:4" x14ac:dyDescent="0.25">
      <c r="A20" s="4"/>
      <c r="B20" s="5"/>
      <c r="C20" s="5"/>
      <c r="D20" s="5"/>
    </row>
    <row r="21" spans="1:4" x14ac:dyDescent="0.25">
      <c r="A21" s="6">
        <v>25000</v>
      </c>
      <c r="B21" s="5">
        <v>1</v>
      </c>
      <c r="C21" s="5">
        <v>0</v>
      </c>
      <c r="D21" s="5">
        <v>1</v>
      </c>
    </row>
    <row r="22" spans="1:4" x14ac:dyDescent="0.25">
      <c r="A22" s="6">
        <v>27500</v>
      </c>
      <c r="B22" s="5">
        <v>1</v>
      </c>
      <c r="C22" s="5">
        <v>0.1</v>
      </c>
      <c r="D22" s="5">
        <v>1</v>
      </c>
    </row>
    <row r="23" spans="1:4" x14ac:dyDescent="0.25">
      <c r="A23" s="6">
        <v>30000</v>
      </c>
      <c r="B23" s="5">
        <v>1</v>
      </c>
      <c r="C23" s="5">
        <v>0.2</v>
      </c>
      <c r="D23" s="5">
        <v>1</v>
      </c>
    </row>
    <row r="24" spans="1:4" x14ac:dyDescent="0.25">
      <c r="A24" s="6">
        <v>32500</v>
      </c>
      <c r="B24" s="5">
        <v>1</v>
      </c>
      <c r="C24" s="5">
        <v>0.3</v>
      </c>
      <c r="D24" s="5">
        <v>1</v>
      </c>
    </row>
    <row r="25" spans="1:4" x14ac:dyDescent="0.25">
      <c r="A25" s="6">
        <v>35000</v>
      </c>
      <c r="B25" s="5">
        <v>1</v>
      </c>
      <c r="C25" s="5">
        <v>0.4</v>
      </c>
      <c r="D25" s="5">
        <v>1</v>
      </c>
    </row>
    <row r="26" spans="1:4" x14ac:dyDescent="0.25">
      <c r="A26" s="6">
        <v>37500</v>
      </c>
      <c r="B26" s="5">
        <v>1</v>
      </c>
      <c r="C26" s="5">
        <v>0.5</v>
      </c>
      <c r="D26" s="5">
        <v>1</v>
      </c>
    </row>
    <row r="27" spans="1:4" x14ac:dyDescent="0.25">
      <c r="A27" s="6">
        <v>40000</v>
      </c>
      <c r="B27" s="5">
        <v>1</v>
      </c>
      <c r="C27" s="5">
        <v>0.6</v>
      </c>
      <c r="D27" s="5">
        <v>1</v>
      </c>
    </row>
    <row r="28" spans="1:4" x14ac:dyDescent="0.25">
      <c r="A28" s="6">
        <v>42500</v>
      </c>
      <c r="B28" s="5">
        <v>1</v>
      </c>
      <c r="C28" s="5">
        <v>0.7</v>
      </c>
      <c r="D28" s="5">
        <v>1</v>
      </c>
    </row>
    <row r="29" spans="1:4" x14ac:dyDescent="0.25">
      <c r="A29" s="6">
        <v>45000</v>
      </c>
      <c r="B29" s="5">
        <v>1</v>
      </c>
      <c r="C29" s="5">
        <v>0.8</v>
      </c>
      <c r="D29" s="5">
        <v>1</v>
      </c>
    </row>
    <row r="30" spans="1:4" x14ac:dyDescent="0.25">
      <c r="A30" s="6">
        <v>47500</v>
      </c>
      <c r="B30" s="5">
        <v>1</v>
      </c>
      <c r="C30" s="5">
        <v>0.9</v>
      </c>
      <c r="D30" s="5">
        <v>1</v>
      </c>
    </row>
    <row r="31" spans="1:4" x14ac:dyDescent="0.25">
      <c r="A31" s="6">
        <v>50000</v>
      </c>
      <c r="B31" s="5">
        <v>1</v>
      </c>
      <c r="C31" s="5">
        <v>1</v>
      </c>
      <c r="D31" s="5">
        <v>1</v>
      </c>
    </row>
    <row r="33" spans="1:2" ht="57.75" x14ac:dyDescent="0.25">
      <c r="A33" s="27" t="s">
        <v>21</v>
      </c>
      <c r="B33" s="26">
        <v>5000</v>
      </c>
    </row>
    <row r="34" spans="1:2" ht="29.25" x14ac:dyDescent="0.25">
      <c r="A34" s="27" t="s">
        <v>22</v>
      </c>
      <c r="B34" s="5">
        <v>0.05</v>
      </c>
    </row>
  </sheetData>
  <sheetProtection sheet="1" objects="1" scenarios="1"/>
  <mergeCells count="5">
    <mergeCell ref="E4:E6"/>
    <mergeCell ref="F4:F6"/>
    <mergeCell ref="G4:G6"/>
    <mergeCell ref="B2:D2"/>
    <mergeCell ref="E2:F2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zoomScale="90" zoomScaleNormal="90" workbookViewId="0">
      <selection activeCell="C13" sqref="C13"/>
    </sheetView>
  </sheetViews>
  <sheetFormatPr baseColWidth="10" defaultRowHeight="14.25" x14ac:dyDescent="0.2"/>
  <cols>
    <col min="1" max="1" width="17.5" customWidth="1"/>
    <col min="2" max="2" width="12.125" customWidth="1"/>
    <col min="3" max="3" width="9.625" customWidth="1"/>
    <col min="4" max="4" width="10.75" customWidth="1"/>
    <col min="5" max="5" width="10.5" customWidth="1"/>
    <col min="6" max="6" width="9.25" customWidth="1"/>
    <col min="7" max="7" width="10.5" customWidth="1"/>
    <col min="8" max="8" width="10.125" customWidth="1"/>
    <col min="9" max="9" width="12.25" customWidth="1"/>
    <col min="10" max="10" width="14.625" customWidth="1"/>
    <col min="11" max="11" width="12.25" customWidth="1"/>
    <col min="12" max="12" width="9.75" customWidth="1"/>
    <col min="14" max="14" width="8" customWidth="1"/>
    <col min="15" max="15" width="10.25" customWidth="1"/>
  </cols>
  <sheetData>
    <row r="1" spans="1:24" x14ac:dyDescent="0.2">
      <c r="M1" s="24"/>
      <c r="N1" s="24"/>
      <c r="O1" s="24"/>
      <c r="P1" s="24"/>
      <c r="Q1" s="24"/>
      <c r="R1" s="24"/>
    </row>
    <row r="2" spans="1:24" x14ac:dyDescent="0.2">
      <c r="B2" s="2"/>
      <c r="C2" s="2"/>
    </row>
    <row r="3" spans="1:24" ht="15" thickBot="1" x14ac:dyDescent="0.25"/>
    <row r="4" spans="1:24" s="1" customFormat="1" ht="101.25" x14ac:dyDescent="0.2">
      <c r="A4" s="23" t="s">
        <v>3</v>
      </c>
      <c r="B4" s="23" t="s">
        <v>18</v>
      </c>
      <c r="C4" s="23" t="s">
        <v>29</v>
      </c>
      <c r="D4" s="23" t="s">
        <v>8</v>
      </c>
      <c r="E4" s="23" t="s">
        <v>25</v>
      </c>
      <c r="F4" s="10" t="s">
        <v>11</v>
      </c>
      <c r="G4" s="10" t="s">
        <v>10</v>
      </c>
      <c r="H4" s="10" t="s">
        <v>9</v>
      </c>
      <c r="I4" s="10" t="s">
        <v>13</v>
      </c>
      <c r="J4" s="10" t="s">
        <v>23</v>
      </c>
      <c r="K4" s="10" t="s">
        <v>24</v>
      </c>
      <c r="L4" s="10" t="s">
        <v>28</v>
      </c>
      <c r="M4" s="10" t="s">
        <v>15</v>
      </c>
      <c r="N4" s="10" t="s">
        <v>26</v>
      </c>
      <c r="O4" s="10" t="s">
        <v>27</v>
      </c>
      <c r="P4" s="10" t="s">
        <v>19</v>
      </c>
      <c r="Q4" s="10" t="s">
        <v>14</v>
      </c>
      <c r="R4" s="11" t="s">
        <v>12</v>
      </c>
      <c r="S4" s="12" t="s">
        <v>7</v>
      </c>
      <c r="T4" s="10" t="s">
        <v>2</v>
      </c>
    </row>
    <row r="5" spans="1:24" ht="45" x14ac:dyDescent="0.2">
      <c r="A5" s="13" t="s">
        <v>36</v>
      </c>
      <c r="B5" s="13" t="s">
        <v>39</v>
      </c>
      <c r="C5" s="14" t="s">
        <v>5</v>
      </c>
      <c r="D5" s="15">
        <f>IF(B5='Vorgaben gemäss FöPV'!$J$2,0,VLOOKUP($C5,'Vorgaben gemäss FöPV'!$A$4:$D$6,IF($A5='Vorgaben gemäss FöPV'!$B$3,2,IF($A5='Vorgaben gemäss FöPV'!$C$3,3,IF($A5='Vorgaben gemäss FöPV'!$D$3,4,1)))))</f>
        <v>21600</v>
      </c>
      <c r="E5" s="14">
        <v>2</v>
      </c>
      <c r="F5" s="16">
        <f>IF(E5&gt;0,'Vorgaben gemäss FöPV'!$E$4+(E5-1)*'Vorgaben gemäss FöPV'!$F$4,0)</f>
        <v>15600</v>
      </c>
      <c r="G5" s="17">
        <v>0</v>
      </c>
      <c r="H5" s="16">
        <f>IF(B5='Vorgaben gemäss FöPV'!$J$2,0,IF(G5&gt;VLOOKUP($C5,'Vorgaben gemäss FöPV'!$A$4:$I$6,IF(B5='Vorgaben gemäss FöPV'!$H$2,8,IF(B5='Vorgaben gemäss FöPV'!$I$2,9,1))),G5,VLOOKUP($C5,'Vorgaben gemäss FöPV'!$A$4:$I$6,IF(B5='Vorgaben gemäss FöPV'!$H$2,8,IF(B5='Vorgaben gemäss FöPV'!$I$2,9,1)))))</f>
        <v>20600</v>
      </c>
      <c r="I5" s="16">
        <f>IF(D5+F5-H5&lt;0,0,D5+F5-H5)</f>
        <v>16600</v>
      </c>
      <c r="J5" s="17">
        <v>10000</v>
      </c>
      <c r="K5" s="17"/>
      <c r="L5" s="17">
        <v>100000</v>
      </c>
      <c r="M5" s="25">
        <f>L5*'Vorgaben gemäss FöPV'!$B$34</f>
        <v>5000</v>
      </c>
      <c r="N5" s="17">
        <v>2</v>
      </c>
      <c r="O5" s="25">
        <f>N5*'Vorgaben gemäss FöPV'!$B$33</f>
        <v>10000</v>
      </c>
      <c r="P5" s="25">
        <f>IF(J5-K5+M5-O5&lt;0,0,J5-K5+M5-O5)</f>
        <v>5000</v>
      </c>
      <c r="Q5" s="18">
        <f>IF(P5&lt;'Vorgaben gemäss FöPV'!$A$9,0,VLOOKUP(P5,'Vorgaben gemäss FöPV'!$A$9:$D$31,IF(A5='Vorgaben gemäss FöPV'!$B$8,2,IF(A5='Vorgaben gemäss FöPV'!$C$8,3,IF(A5='Vorgaben gemäss FöPV'!$D$8,4,1)))))</f>
        <v>0.2</v>
      </c>
      <c r="R5" s="19">
        <f t="shared" ref="R5" si="0">I5*(1-Q5)</f>
        <v>13280</v>
      </c>
      <c r="S5" s="20">
        <f>IF(B5='Vorgaben gemäss FöPV'!$J$2,'Vorgaben gemäss FöPV'!$G$7,IF(R5&lt;'Vorgaben gemäss FöPV'!$G$4,R5,'Vorgaben gemäss FöPV'!$G$4))</f>
        <v>13280</v>
      </c>
      <c r="T5" s="16">
        <f t="shared" ref="T5" si="1">J5+S5+G5</f>
        <v>23280</v>
      </c>
      <c r="W5" s="8"/>
      <c r="X5" s="8"/>
    </row>
    <row r="6" spans="1:24" ht="33.75" x14ac:dyDescent="0.2">
      <c r="A6" s="13" t="s">
        <v>37</v>
      </c>
      <c r="B6" s="13" t="s">
        <v>39</v>
      </c>
      <c r="C6" s="14" t="s">
        <v>6</v>
      </c>
      <c r="D6" s="15">
        <f>IF(B6='Vorgaben gemäss FöPV'!$J$2,0,VLOOKUP($C6,'Vorgaben gemäss FöPV'!$A$4:$D$6,IF($A6='Vorgaben gemäss FöPV'!$B$3,2,IF($A6='Vorgaben gemäss FöPV'!$C$3,3,IF($A6='Vorgaben gemäss FöPV'!$D$3,4,1)))))</f>
        <v>24000</v>
      </c>
      <c r="E6" s="14">
        <v>2</v>
      </c>
      <c r="F6" s="16">
        <f>IF(E6&gt;0,'Vorgaben gemäss FöPV'!$E$4+(E6-1)*'Vorgaben gemäss FöPV'!$F$4,0)</f>
        <v>15600</v>
      </c>
      <c r="G6" s="17">
        <v>20401</v>
      </c>
      <c r="H6" s="16">
        <f>IF(B6='Vorgaben gemäss FöPV'!$J$2,0,IF(G6&gt;VLOOKUP($C6,'Vorgaben gemäss FöPV'!$A$4:$I$6,IF(B6='Vorgaben gemäss FöPV'!$H$2,8,IF(B6='Vorgaben gemäss FöPV'!$I$2,9,1))),G6,VLOOKUP($C6,'Vorgaben gemäss FöPV'!$A$4:$I$6,IF(B6='Vorgaben gemäss FöPV'!$H$2,8,IF(B6='Vorgaben gemäss FöPV'!$I$2,9,1)))))</f>
        <v>23200</v>
      </c>
      <c r="I6" s="16">
        <f t="shared" ref="I6:I27" si="2">IF(D6+F6-H6&lt;0,0,D6+F6-H6)</f>
        <v>16400</v>
      </c>
      <c r="J6" s="17">
        <v>40000</v>
      </c>
      <c r="K6" s="17"/>
      <c r="L6" s="17">
        <v>300000</v>
      </c>
      <c r="M6" s="25">
        <f>L6*'Vorgaben gemäss FöPV'!$B$34</f>
        <v>15000</v>
      </c>
      <c r="N6" s="17">
        <v>2</v>
      </c>
      <c r="O6" s="25">
        <f>N6*'Vorgaben gemäss FöPV'!$B$33</f>
        <v>10000</v>
      </c>
      <c r="P6" s="25">
        <f t="shared" ref="P6:P27" si="3">IF(J6-K6+M6-O6&lt;0,0,J6-K6+M6-O6)</f>
        <v>45000</v>
      </c>
      <c r="Q6" s="18">
        <f>IF(P6&lt;'Vorgaben gemäss FöPV'!$A$9,0,VLOOKUP(P6,'Vorgaben gemäss FöPV'!$A$9:$D$31,IF(A6='Vorgaben gemäss FöPV'!$B$8,2,IF(A6='Vorgaben gemäss FöPV'!$C$8,3,IF(A6='Vorgaben gemäss FöPV'!$D$8,4,1)))))</f>
        <v>0.8</v>
      </c>
      <c r="R6" s="19">
        <f t="shared" ref="R6:R27" si="4">I6*(1-Q6)</f>
        <v>3279.9999999999991</v>
      </c>
      <c r="S6" s="20">
        <f>IF(B6='Vorgaben gemäss FöPV'!$J$2,'Vorgaben gemäss FöPV'!$G$7,IF(R6&lt;'Vorgaben gemäss FöPV'!$G$4,R6,'Vorgaben gemäss FöPV'!$G$4))</f>
        <v>3279.9999999999991</v>
      </c>
      <c r="T6" s="16">
        <f t="shared" ref="T6:T27" si="5">J6+S6+G6</f>
        <v>63681</v>
      </c>
      <c r="W6" s="8"/>
      <c r="X6" s="8"/>
    </row>
    <row r="7" spans="1:24" ht="45" x14ac:dyDescent="0.2">
      <c r="A7" s="13" t="s">
        <v>36</v>
      </c>
      <c r="B7" s="13" t="s">
        <v>41</v>
      </c>
      <c r="C7" s="14" t="s">
        <v>6</v>
      </c>
      <c r="D7" s="15">
        <f>IF(B7='Vorgaben gemäss FöPV'!$J$2,0,VLOOKUP($C7,'Vorgaben gemäss FöPV'!$A$4:$D$6,IF($A7='Vorgaben gemäss FöPV'!$B$3,2,IF($A7='Vorgaben gemäss FöPV'!$C$3,3,IF($A7='Vorgaben gemäss FöPV'!$D$3,4,1)))))</f>
        <v>0</v>
      </c>
      <c r="E7" s="14">
        <v>2</v>
      </c>
      <c r="F7" s="16">
        <f>IF(E7&gt;0,'Vorgaben gemäss FöPV'!$E$4+(E7-1)*'Vorgaben gemäss FöPV'!$F$4,0)</f>
        <v>15600</v>
      </c>
      <c r="G7" s="17">
        <v>15000</v>
      </c>
      <c r="H7" s="16">
        <f>IF(B7='Vorgaben gemäss FöPV'!$J$2,0,IF(G7&gt;VLOOKUP($C7,'Vorgaben gemäss FöPV'!$A$4:$I$6,IF(B7='Vorgaben gemäss FöPV'!$H$2,8,IF(B7='Vorgaben gemäss FöPV'!$I$2,9,1))),G7,VLOOKUP($C7,'Vorgaben gemäss FöPV'!$A$4:$I$6,IF(B7='Vorgaben gemäss FöPV'!$H$2,8,IF(B7='Vorgaben gemäss FöPV'!$I$2,9,1)))))</f>
        <v>0</v>
      </c>
      <c r="I7" s="16">
        <f t="shared" si="2"/>
        <v>15600</v>
      </c>
      <c r="J7" s="17">
        <v>20000</v>
      </c>
      <c r="K7" s="17"/>
      <c r="L7" s="17">
        <v>300000</v>
      </c>
      <c r="M7" s="25">
        <f>L7*'Vorgaben gemäss FöPV'!$B$34</f>
        <v>15000</v>
      </c>
      <c r="N7" s="17">
        <v>2</v>
      </c>
      <c r="O7" s="25">
        <f>N7*'Vorgaben gemäss FöPV'!$B$33</f>
        <v>10000</v>
      </c>
      <c r="P7" s="25">
        <f t="shared" si="3"/>
        <v>25000</v>
      </c>
      <c r="Q7" s="18">
        <f>IF(P7&lt;'Vorgaben gemäss FöPV'!$A$9,0,VLOOKUP(P7,'Vorgaben gemäss FöPV'!$A$9:$D$31,IF(A7='Vorgaben gemäss FöPV'!$B$8,2,IF(A7='Vorgaben gemäss FöPV'!$C$8,3,IF(A7='Vorgaben gemäss FöPV'!$D$8,4,1)))))</f>
        <v>1</v>
      </c>
      <c r="R7" s="19">
        <f t="shared" si="4"/>
        <v>0</v>
      </c>
      <c r="S7" s="20">
        <f>IF(B7='Vorgaben gemäss FöPV'!$J$2,'Vorgaben gemäss FöPV'!$G$7,IF(R7&lt;'Vorgaben gemäss FöPV'!$G$4,R7,'Vorgaben gemäss FöPV'!$G$4))</f>
        <v>21600</v>
      </c>
      <c r="T7" s="16">
        <f t="shared" si="5"/>
        <v>56600</v>
      </c>
      <c r="W7" s="8"/>
      <c r="X7" s="8"/>
    </row>
    <row r="8" spans="1:24" ht="45" x14ac:dyDescent="0.2">
      <c r="A8" s="13" t="s">
        <v>36</v>
      </c>
      <c r="B8" s="13" t="s">
        <v>40</v>
      </c>
      <c r="C8" s="14" t="s">
        <v>5</v>
      </c>
      <c r="D8" s="15">
        <f>IF(B8='Vorgaben gemäss FöPV'!$J$2,0,VLOOKUP($C8,'Vorgaben gemäss FöPV'!$A$4:$D$6,IF($A8='Vorgaben gemäss FöPV'!$B$3,2,IF($A8='Vorgaben gemäss FöPV'!$C$3,3,IF($A8='Vorgaben gemäss FöPV'!$D$3,4,1)))))</f>
        <v>21600</v>
      </c>
      <c r="E8" s="14">
        <v>2</v>
      </c>
      <c r="F8" s="16">
        <f>IF(E8&gt;0,'Vorgaben gemäss FöPV'!$E$4+(E8-1)*'Vorgaben gemäss FöPV'!$F$4,0)</f>
        <v>15600</v>
      </c>
      <c r="G8" s="17">
        <v>23400</v>
      </c>
      <c r="H8" s="16">
        <f>IF(B8='Vorgaben gemäss FöPV'!$J$2,0,IF(G8&gt;VLOOKUP($C8,'Vorgaben gemäss FöPV'!$A$4:$I$6,IF(B8='Vorgaben gemäss FöPV'!$H$2,8,IF(B8='Vorgaben gemäss FöPV'!$I$2,9,1))),G8,VLOOKUP($C8,'Vorgaben gemäss FöPV'!$A$4:$I$6,IF(B8='Vorgaben gemäss FöPV'!$H$2,8,IF(B8='Vorgaben gemäss FöPV'!$I$2,9,1)))))</f>
        <v>30000</v>
      </c>
      <c r="I8" s="16">
        <f t="shared" si="2"/>
        <v>7200</v>
      </c>
      <c r="J8" s="17">
        <v>20000</v>
      </c>
      <c r="K8" s="17"/>
      <c r="L8" s="17"/>
      <c r="M8" s="25">
        <f>L8*'Vorgaben gemäss FöPV'!$B$34</f>
        <v>0</v>
      </c>
      <c r="N8" s="17">
        <v>2</v>
      </c>
      <c r="O8" s="25">
        <f>N8*'Vorgaben gemäss FöPV'!$B$33</f>
        <v>10000</v>
      </c>
      <c r="P8" s="25">
        <f t="shared" si="3"/>
        <v>10000</v>
      </c>
      <c r="Q8" s="18">
        <f>IF(P8&lt;'Vorgaben gemäss FöPV'!$A$9,0,VLOOKUP(P8,'Vorgaben gemäss FöPV'!$A$9:$D$31,IF(A8='Vorgaben gemäss FöPV'!$B$8,2,IF(A8='Vorgaben gemäss FöPV'!$C$8,3,IF(A8='Vorgaben gemäss FöPV'!$D$8,4,1)))))</f>
        <v>0.4</v>
      </c>
      <c r="R8" s="19">
        <f t="shared" si="4"/>
        <v>4320</v>
      </c>
      <c r="S8" s="20">
        <f>IF(B8='Vorgaben gemäss FöPV'!$J$2,'Vorgaben gemäss FöPV'!$G$7,IF(R8&lt;'Vorgaben gemäss FöPV'!$G$4,R8,'Vorgaben gemäss FöPV'!$G$4))</f>
        <v>4320</v>
      </c>
      <c r="T8" s="16">
        <f t="shared" si="5"/>
        <v>47720</v>
      </c>
      <c r="W8" s="8"/>
      <c r="X8" s="8"/>
    </row>
    <row r="9" spans="1:24" ht="33.75" x14ac:dyDescent="0.2">
      <c r="A9" s="13" t="s">
        <v>37</v>
      </c>
      <c r="B9" s="13" t="s">
        <v>39</v>
      </c>
      <c r="C9" s="14" t="s">
        <v>6</v>
      </c>
      <c r="D9" s="15">
        <f>IF(B9='Vorgaben gemäss FöPV'!$J$2,0,VLOOKUP($C9,'Vorgaben gemäss FöPV'!$A$4:$D$6,IF($A9='Vorgaben gemäss FöPV'!$B$3,2,IF($A9='Vorgaben gemäss FöPV'!$C$3,3,IF($A9='Vorgaben gemäss FöPV'!$D$3,4,1)))))</f>
        <v>24000</v>
      </c>
      <c r="E9" s="14">
        <v>2</v>
      </c>
      <c r="F9" s="16">
        <f>IF(E9&gt;0,'Vorgaben gemäss FöPV'!$E$4+(E9-1)*'Vorgaben gemäss FöPV'!$F$4,0)</f>
        <v>15600</v>
      </c>
      <c r="G9" s="17">
        <v>30000</v>
      </c>
      <c r="H9" s="16">
        <f>IF(B9='Vorgaben gemäss FöPV'!$J$2,0,IF(G9&gt;VLOOKUP($C9,'Vorgaben gemäss FöPV'!$A$4:$I$6,IF(B9='Vorgaben gemäss FöPV'!$H$2,8,IF(B9='Vorgaben gemäss FöPV'!$I$2,9,1))),G9,VLOOKUP($C9,'Vorgaben gemäss FöPV'!$A$4:$I$6,IF(B9='Vorgaben gemäss FöPV'!$H$2,8,IF(B9='Vorgaben gemäss FöPV'!$I$2,9,1)))))</f>
        <v>30000</v>
      </c>
      <c r="I9" s="16">
        <f t="shared" si="2"/>
        <v>9600</v>
      </c>
      <c r="J9" s="17">
        <v>30000</v>
      </c>
      <c r="K9" s="17"/>
      <c r="L9" s="17"/>
      <c r="M9" s="25">
        <f>L9*'Vorgaben gemäss FöPV'!$B$34</f>
        <v>0</v>
      </c>
      <c r="N9" s="17">
        <v>2</v>
      </c>
      <c r="O9" s="25">
        <f>N9*'Vorgaben gemäss FöPV'!$B$33</f>
        <v>10000</v>
      </c>
      <c r="P9" s="25">
        <f t="shared" si="3"/>
        <v>20000</v>
      </c>
      <c r="Q9" s="18">
        <f>IF(P9&lt;'Vorgaben gemäss FöPV'!$A$9,0,VLOOKUP(P9,'Vorgaben gemäss FöPV'!$A$9:$D$31,IF(A9='Vorgaben gemäss FöPV'!$B$8,2,IF(A9='Vorgaben gemäss FöPV'!$C$8,3,IF(A9='Vorgaben gemäss FöPV'!$D$8,4,1)))))</f>
        <v>0</v>
      </c>
      <c r="R9" s="19">
        <f t="shared" si="4"/>
        <v>9600</v>
      </c>
      <c r="S9" s="20">
        <f>IF(B9='Vorgaben gemäss FöPV'!$J$2,'Vorgaben gemäss FöPV'!$G$7,IF(R9&lt;'Vorgaben gemäss FöPV'!$G$4,R9,'Vorgaben gemäss FöPV'!$G$4))</f>
        <v>9600</v>
      </c>
      <c r="T9" s="16">
        <f t="shared" si="5"/>
        <v>69600</v>
      </c>
      <c r="W9" s="8"/>
      <c r="X9" s="8"/>
    </row>
    <row r="10" spans="1:24" ht="33.75" x14ac:dyDescent="0.2">
      <c r="A10" s="13" t="s">
        <v>37</v>
      </c>
      <c r="B10" s="13" t="s">
        <v>39</v>
      </c>
      <c r="C10" s="14" t="s">
        <v>34</v>
      </c>
      <c r="D10" s="15">
        <f>IF(B10='Vorgaben gemäss FöPV'!$J$2,0,VLOOKUP($C10,'Vorgaben gemäss FöPV'!$A$4:$D$6,IF($A10='Vorgaben gemäss FöPV'!$B$3,2,IF($A10='Vorgaben gemäss FöPV'!$C$3,3,IF($A10='Vorgaben gemäss FöPV'!$D$3,4,1)))))</f>
        <v>26400</v>
      </c>
      <c r="E10" s="14">
        <v>2</v>
      </c>
      <c r="F10" s="16">
        <f>IF(E10&gt;0,'Vorgaben gemäss FöPV'!$E$4+(E10-1)*'Vorgaben gemäss FöPV'!$F$4,0)</f>
        <v>15600</v>
      </c>
      <c r="G10" s="17">
        <v>23400</v>
      </c>
      <c r="H10" s="16">
        <f>IF(B10='Vorgaben gemäss FöPV'!$J$2,0,IF(G10&gt;VLOOKUP($C10,'Vorgaben gemäss FöPV'!$A$4:$I$6,IF(B10='Vorgaben gemäss FöPV'!$H$2,8,IF(B10='Vorgaben gemäss FöPV'!$I$2,9,1))),G10,VLOOKUP($C10,'Vorgaben gemäss FöPV'!$A$4:$I$6,IF(B10='Vorgaben gemäss FöPV'!$H$2,8,IF(B10='Vorgaben gemäss FöPV'!$I$2,9,1)))))</f>
        <v>23400</v>
      </c>
      <c r="I10" s="16">
        <f t="shared" si="2"/>
        <v>18600</v>
      </c>
      <c r="J10" s="17">
        <v>20000</v>
      </c>
      <c r="K10" s="17"/>
      <c r="L10" s="17"/>
      <c r="M10" s="25">
        <f>L10*'Vorgaben gemäss FöPV'!$B$34</f>
        <v>0</v>
      </c>
      <c r="N10" s="17">
        <v>2</v>
      </c>
      <c r="O10" s="25">
        <f>N10*'Vorgaben gemäss FöPV'!$B$33</f>
        <v>10000</v>
      </c>
      <c r="P10" s="25">
        <f t="shared" si="3"/>
        <v>10000</v>
      </c>
      <c r="Q10" s="18">
        <f>IF(P10&lt;'Vorgaben gemäss FöPV'!$A$9,0,VLOOKUP(P10,'Vorgaben gemäss FöPV'!$A$9:$D$31,IF(A10='Vorgaben gemäss FöPV'!$B$8,2,IF(A10='Vorgaben gemäss FöPV'!$C$8,3,IF(A10='Vorgaben gemäss FöPV'!$D$8,4,1)))))</f>
        <v>0</v>
      </c>
      <c r="R10" s="19">
        <f t="shared" si="4"/>
        <v>18600</v>
      </c>
      <c r="S10" s="20">
        <f>IF(B10='Vorgaben gemäss FöPV'!$J$2,'Vorgaben gemäss FöPV'!$G$7,IF(R10&lt;'Vorgaben gemäss FöPV'!$G$4,R10,'Vorgaben gemäss FöPV'!$G$4))</f>
        <v>18600</v>
      </c>
      <c r="T10" s="16">
        <f t="shared" si="5"/>
        <v>62000</v>
      </c>
      <c r="W10" s="8"/>
      <c r="X10" s="8"/>
    </row>
    <row r="11" spans="1:24" ht="45" x14ac:dyDescent="0.2">
      <c r="A11" s="13" t="s">
        <v>36</v>
      </c>
      <c r="B11" s="13" t="s">
        <v>39</v>
      </c>
      <c r="C11" s="14" t="s">
        <v>5</v>
      </c>
      <c r="D11" s="15">
        <f>IF(B11='Vorgaben gemäss FöPV'!$J$2,0,VLOOKUP($C11,'Vorgaben gemäss FöPV'!$A$4:$D$6,IF($A11='Vorgaben gemäss FöPV'!$B$3,2,IF($A11='Vorgaben gemäss FöPV'!$C$3,3,IF($A11='Vorgaben gemäss FöPV'!$D$3,4,1)))))</f>
        <v>21600</v>
      </c>
      <c r="E11" s="14">
        <v>0</v>
      </c>
      <c r="F11" s="16">
        <f>IF(E11&gt;0,'Vorgaben gemäss FöPV'!$E$4+(E11-1)*'Vorgaben gemäss FöPV'!$F$4,0)</f>
        <v>0</v>
      </c>
      <c r="G11" s="17">
        <v>20400</v>
      </c>
      <c r="H11" s="16">
        <f>IF(B11='Vorgaben gemäss FöPV'!$J$2,0,IF(G11&gt;VLOOKUP($C11,'Vorgaben gemäss FöPV'!$A$4:$I$6,IF(B11='Vorgaben gemäss FöPV'!$H$2,8,IF(B11='Vorgaben gemäss FöPV'!$I$2,9,1))),G11,VLOOKUP($C11,'Vorgaben gemäss FöPV'!$A$4:$I$6,IF(B11='Vorgaben gemäss FöPV'!$H$2,8,IF(B11='Vorgaben gemäss FöPV'!$I$2,9,1)))))</f>
        <v>20600</v>
      </c>
      <c r="I11" s="16">
        <f t="shared" si="2"/>
        <v>1000</v>
      </c>
      <c r="J11" s="17">
        <v>10000</v>
      </c>
      <c r="K11" s="17"/>
      <c r="L11" s="17">
        <v>0</v>
      </c>
      <c r="M11" s="25">
        <f>L11*'Vorgaben gemäss FöPV'!$B$34</f>
        <v>0</v>
      </c>
      <c r="N11" s="17"/>
      <c r="O11" s="25">
        <f>N11*'Vorgaben gemäss FöPV'!$B$33</f>
        <v>0</v>
      </c>
      <c r="P11" s="25">
        <f t="shared" si="3"/>
        <v>10000</v>
      </c>
      <c r="Q11" s="18">
        <f>IF(P11&lt;'Vorgaben gemäss FöPV'!$A$9,0,VLOOKUP(P11,'Vorgaben gemäss FöPV'!$A$9:$D$31,IF(A11='Vorgaben gemäss FöPV'!$B$8,2,IF(A11='Vorgaben gemäss FöPV'!$C$8,3,IF(A11='Vorgaben gemäss FöPV'!$D$8,4,1)))))</f>
        <v>0.4</v>
      </c>
      <c r="R11" s="19">
        <f t="shared" si="4"/>
        <v>600</v>
      </c>
      <c r="S11" s="20">
        <f>IF(B11='Vorgaben gemäss FöPV'!$J$2,'Vorgaben gemäss FöPV'!$G$7,IF(R11&lt;'Vorgaben gemäss FöPV'!$G$4,R11,'Vorgaben gemäss FöPV'!$G$4))</f>
        <v>600</v>
      </c>
      <c r="T11" s="16">
        <f t="shared" si="5"/>
        <v>31000</v>
      </c>
      <c r="W11" s="8"/>
      <c r="X11" s="8"/>
    </row>
    <row r="12" spans="1:24" ht="45" x14ac:dyDescent="0.2">
      <c r="A12" s="13" t="s">
        <v>36</v>
      </c>
      <c r="B12" s="13" t="s">
        <v>39</v>
      </c>
      <c r="C12" s="14" t="s">
        <v>6</v>
      </c>
      <c r="D12" s="15">
        <f>IF(B12='Vorgaben gemäss FöPV'!$J$2,0,VLOOKUP($C12,'Vorgaben gemäss FöPV'!$A$4:$D$6,IF($A12='Vorgaben gemäss FöPV'!$B$3,2,IF($A12='Vorgaben gemäss FöPV'!$C$3,3,IF($A12='Vorgaben gemäss FöPV'!$D$3,4,1)))))</f>
        <v>30000</v>
      </c>
      <c r="E12" s="14">
        <v>0</v>
      </c>
      <c r="F12" s="16">
        <f>IF(E12&gt;0,'Vorgaben gemäss FöPV'!$E$4+(E12-1)*'Vorgaben gemäss FöPV'!$F$4,0)</f>
        <v>0</v>
      </c>
      <c r="G12" s="17">
        <v>23400</v>
      </c>
      <c r="H12" s="16">
        <f>IF(B12='Vorgaben gemäss FöPV'!$J$2,0,IF(G12&gt;VLOOKUP($C12,'Vorgaben gemäss FöPV'!$A$4:$I$6,IF(B12='Vorgaben gemäss FöPV'!$H$2,8,IF(B12='Vorgaben gemäss FöPV'!$I$2,9,1))),G12,VLOOKUP($C12,'Vorgaben gemäss FöPV'!$A$4:$I$6,IF(B12='Vorgaben gemäss FöPV'!$H$2,8,IF(B12='Vorgaben gemäss FöPV'!$I$2,9,1)))))</f>
        <v>23400</v>
      </c>
      <c r="I12" s="16">
        <f t="shared" si="2"/>
        <v>6600</v>
      </c>
      <c r="J12" s="17">
        <v>0</v>
      </c>
      <c r="K12" s="17"/>
      <c r="L12" s="17">
        <v>0</v>
      </c>
      <c r="M12" s="25">
        <f>L12*'Vorgaben gemäss FöPV'!$B$34</f>
        <v>0</v>
      </c>
      <c r="N12" s="17"/>
      <c r="O12" s="25">
        <f>N12*'Vorgaben gemäss FöPV'!$B$33</f>
        <v>0</v>
      </c>
      <c r="P12" s="25">
        <f t="shared" si="3"/>
        <v>0</v>
      </c>
      <c r="Q12" s="18">
        <f>IF(P12&lt;'Vorgaben gemäss FöPV'!$A$9,0,VLOOKUP(P12,'Vorgaben gemäss FöPV'!$A$9:$D$31,IF(A12='Vorgaben gemäss FöPV'!$B$8,2,IF(A12='Vorgaben gemäss FöPV'!$C$8,3,IF(A12='Vorgaben gemäss FöPV'!$D$8,4,1)))))</f>
        <v>0</v>
      </c>
      <c r="R12" s="19">
        <f t="shared" si="4"/>
        <v>6600</v>
      </c>
      <c r="S12" s="20">
        <f>IF(B12='Vorgaben gemäss FöPV'!$J$2,'Vorgaben gemäss FöPV'!$G$7,IF(R12&lt;'Vorgaben gemäss FöPV'!$G$4,R12,'Vorgaben gemäss FöPV'!$G$4))</f>
        <v>6600</v>
      </c>
      <c r="T12" s="16">
        <f t="shared" si="5"/>
        <v>30000</v>
      </c>
      <c r="W12" s="8"/>
      <c r="X12" s="8"/>
    </row>
    <row r="13" spans="1:24" ht="45" x14ac:dyDescent="0.2">
      <c r="A13" s="13" t="s">
        <v>36</v>
      </c>
      <c r="B13" s="13" t="s">
        <v>39</v>
      </c>
      <c r="C13" s="14" t="s">
        <v>34</v>
      </c>
      <c r="D13" s="15">
        <f>IF(B13='Vorgaben gemäss FöPV'!$J$2,0,VLOOKUP($C13,'Vorgaben gemäss FöPV'!$A$4:$D$6,IF($A13='Vorgaben gemäss FöPV'!$B$3,2,IF($A13='Vorgaben gemäss FöPV'!$C$3,3,IF($A13='Vorgaben gemäss FöPV'!$D$3,4,1)))))</f>
        <v>32400</v>
      </c>
      <c r="E13" s="14">
        <v>0</v>
      </c>
      <c r="F13" s="16">
        <f>IF(E13&gt;0,'Vorgaben gemäss FöPV'!$E$4+(E13-1)*'Vorgaben gemäss FöPV'!$F$4,0)</f>
        <v>0</v>
      </c>
      <c r="G13" s="17">
        <v>23400</v>
      </c>
      <c r="H13" s="16">
        <f>IF(B13='Vorgaben gemäss FöPV'!$J$2,0,IF(G13&gt;VLOOKUP($C13,'Vorgaben gemäss FöPV'!$A$4:$I$6,IF(B13='Vorgaben gemäss FöPV'!$H$2,8,IF(B13='Vorgaben gemäss FöPV'!$I$2,9,1))),G13,VLOOKUP($C13,'Vorgaben gemäss FöPV'!$A$4:$I$6,IF(B13='Vorgaben gemäss FöPV'!$H$2,8,IF(B13='Vorgaben gemäss FöPV'!$I$2,9,1)))))</f>
        <v>23400</v>
      </c>
      <c r="I13" s="16">
        <f t="shared" si="2"/>
        <v>9000</v>
      </c>
      <c r="J13" s="17">
        <v>10000</v>
      </c>
      <c r="K13" s="17"/>
      <c r="L13" s="17">
        <v>0</v>
      </c>
      <c r="M13" s="25">
        <f>L13*'Vorgaben gemäss FöPV'!$B$34</f>
        <v>0</v>
      </c>
      <c r="N13" s="17"/>
      <c r="O13" s="25">
        <f>N13*'Vorgaben gemäss FöPV'!$B$33</f>
        <v>0</v>
      </c>
      <c r="P13" s="25">
        <f t="shared" si="3"/>
        <v>10000</v>
      </c>
      <c r="Q13" s="18">
        <f>IF(P13&lt;'Vorgaben gemäss FöPV'!$A$9,0,VLOOKUP(P13,'Vorgaben gemäss FöPV'!$A$9:$D$31,IF(A13='Vorgaben gemäss FöPV'!$B$8,2,IF(A13='Vorgaben gemäss FöPV'!$C$8,3,IF(A13='Vorgaben gemäss FöPV'!$D$8,4,1)))))</f>
        <v>0.4</v>
      </c>
      <c r="R13" s="19">
        <f t="shared" si="4"/>
        <v>5400</v>
      </c>
      <c r="S13" s="20">
        <f>IF(B13='Vorgaben gemäss FöPV'!$J$2,'Vorgaben gemäss FöPV'!$G$7,IF(R13&lt;'Vorgaben gemäss FöPV'!$G$4,R13,'Vorgaben gemäss FöPV'!$G$4))</f>
        <v>5400</v>
      </c>
      <c r="T13" s="16">
        <f t="shared" si="5"/>
        <v>38800</v>
      </c>
      <c r="W13" s="8"/>
      <c r="X13" s="8"/>
    </row>
    <row r="14" spans="1:24" ht="45" x14ac:dyDescent="0.2">
      <c r="A14" s="13" t="s">
        <v>36</v>
      </c>
      <c r="B14" s="13" t="s">
        <v>39</v>
      </c>
      <c r="C14" s="14" t="s">
        <v>5</v>
      </c>
      <c r="D14" s="15">
        <f>IF(B14='Vorgaben gemäss FöPV'!$J$2,0,VLOOKUP($C14,'Vorgaben gemäss FöPV'!$A$4:$D$6,IF($A14='Vorgaben gemäss FöPV'!$B$3,2,IF($A14='Vorgaben gemäss FöPV'!$C$3,3,IF($A14='Vorgaben gemäss FöPV'!$D$3,4,1)))))</f>
        <v>21600</v>
      </c>
      <c r="E14" s="14">
        <v>2</v>
      </c>
      <c r="F14" s="16">
        <f>IF(E14&gt;0,'Vorgaben gemäss FöPV'!$E$4+(E14-1)*'Vorgaben gemäss FöPV'!$F$4,0)</f>
        <v>15600</v>
      </c>
      <c r="G14" s="17">
        <v>20400</v>
      </c>
      <c r="H14" s="16">
        <f>IF(B14='Vorgaben gemäss FöPV'!$J$2,0,IF(G14&gt;VLOOKUP($C14,'Vorgaben gemäss FöPV'!$A$4:$I$6,IF(B14='Vorgaben gemäss FöPV'!$H$2,8,IF(B14='Vorgaben gemäss FöPV'!$I$2,9,1))),G14,VLOOKUP($C14,'Vorgaben gemäss FöPV'!$A$4:$I$6,IF(B14='Vorgaben gemäss FöPV'!$H$2,8,IF(B14='Vorgaben gemäss FöPV'!$I$2,9,1)))))</f>
        <v>20600</v>
      </c>
      <c r="I14" s="16">
        <f t="shared" si="2"/>
        <v>16600</v>
      </c>
      <c r="J14" s="17">
        <v>10000</v>
      </c>
      <c r="K14" s="17"/>
      <c r="L14" s="17">
        <v>0</v>
      </c>
      <c r="M14" s="25">
        <f>L14*'Vorgaben gemäss FöPV'!$B$34</f>
        <v>0</v>
      </c>
      <c r="N14" s="17"/>
      <c r="O14" s="25">
        <f>N14*'Vorgaben gemäss FöPV'!$B$33</f>
        <v>0</v>
      </c>
      <c r="P14" s="25">
        <f t="shared" si="3"/>
        <v>10000</v>
      </c>
      <c r="Q14" s="18">
        <f>IF(P14&lt;'Vorgaben gemäss FöPV'!$A$9,0,VLOOKUP(P14,'Vorgaben gemäss FöPV'!$A$9:$D$31,IF(A14='Vorgaben gemäss FöPV'!$B$8,2,IF(A14='Vorgaben gemäss FöPV'!$C$8,3,IF(A14='Vorgaben gemäss FöPV'!$D$8,4,1)))))</f>
        <v>0.4</v>
      </c>
      <c r="R14" s="19">
        <f t="shared" si="4"/>
        <v>9960</v>
      </c>
      <c r="S14" s="20">
        <f>IF(B14='Vorgaben gemäss FöPV'!$J$2,'Vorgaben gemäss FöPV'!$G$7,IF(R14&lt;'Vorgaben gemäss FöPV'!$G$4,R14,'Vorgaben gemäss FöPV'!$G$4))</f>
        <v>9960</v>
      </c>
      <c r="T14" s="16">
        <f t="shared" si="5"/>
        <v>40360</v>
      </c>
      <c r="W14" s="8"/>
      <c r="X14" s="8"/>
    </row>
    <row r="15" spans="1:24" ht="33.75" x14ac:dyDescent="0.2">
      <c r="A15" s="13" t="s">
        <v>37</v>
      </c>
      <c r="B15" s="13" t="s">
        <v>39</v>
      </c>
      <c r="C15" s="14" t="s">
        <v>6</v>
      </c>
      <c r="D15" s="15">
        <f>IF(B15='Vorgaben gemäss FöPV'!$J$2,0,VLOOKUP($C15,'Vorgaben gemäss FöPV'!$A$4:$D$6,IF($A15='Vorgaben gemäss FöPV'!$B$3,2,IF($A15='Vorgaben gemäss FöPV'!$C$3,3,IF($A15='Vorgaben gemäss FöPV'!$D$3,4,1)))))</f>
        <v>24000</v>
      </c>
      <c r="E15" s="14">
        <v>2</v>
      </c>
      <c r="F15" s="16">
        <f>IF(E15&gt;0,'Vorgaben gemäss FöPV'!$E$4+(E15-1)*'Vorgaben gemäss FöPV'!$F$4,0)</f>
        <v>15600</v>
      </c>
      <c r="G15" s="17">
        <v>23400</v>
      </c>
      <c r="H15" s="16">
        <f>IF(B15='Vorgaben gemäss FöPV'!$J$2,0,IF(G15&gt;VLOOKUP($C15,'Vorgaben gemäss FöPV'!$A$4:$I$6,IF(B15='Vorgaben gemäss FöPV'!$H$2,8,IF(B15='Vorgaben gemäss FöPV'!$I$2,9,1))),G15,VLOOKUP($C15,'Vorgaben gemäss FöPV'!$A$4:$I$6,IF(B15='Vorgaben gemäss FöPV'!$H$2,8,IF(B15='Vorgaben gemäss FöPV'!$I$2,9,1)))))</f>
        <v>23400</v>
      </c>
      <c r="I15" s="16">
        <f t="shared" si="2"/>
        <v>16200</v>
      </c>
      <c r="J15" s="17">
        <v>30000</v>
      </c>
      <c r="K15" s="17"/>
      <c r="L15" s="17"/>
      <c r="M15" s="25">
        <f>L15*'Vorgaben gemäss FöPV'!$B$34</f>
        <v>0</v>
      </c>
      <c r="N15" s="17"/>
      <c r="O15" s="25">
        <f>N15*'Vorgaben gemäss FöPV'!$B$33</f>
        <v>0</v>
      </c>
      <c r="P15" s="25">
        <f t="shared" si="3"/>
        <v>30000</v>
      </c>
      <c r="Q15" s="18">
        <f>IF(P15&lt;'Vorgaben gemäss FöPV'!$A$9,0,VLOOKUP(P15,'Vorgaben gemäss FöPV'!$A$9:$D$31,IF(A15='Vorgaben gemäss FöPV'!$B$8,2,IF(A15='Vorgaben gemäss FöPV'!$C$8,3,IF(A15='Vorgaben gemäss FöPV'!$D$8,4,1)))))</f>
        <v>0.2</v>
      </c>
      <c r="R15" s="19">
        <f t="shared" si="4"/>
        <v>12960</v>
      </c>
      <c r="S15" s="20">
        <f>IF(B15='Vorgaben gemäss FöPV'!$J$2,'Vorgaben gemäss FöPV'!$G$7,IF(R15&lt;'Vorgaben gemäss FöPV'!$G$4,R15,'Vorgaben gemäss FöPV'!$G$4))</f>
        <v>12960</v>
      </c>
      <c r="T15" s="16">
        <f t="shared" si="5"/>
        <v>66360</v>
      </c>
      <c r="W15" s="8"/>
      <c r="X15" s="8"/>
    </row>
    <row r="16" spans="1:24" ht="33.75" x14ac:dyDescent="0.2">
      <c r="A16" s="13" t="s">
        <v>37</v>
      </c>
      <c r="B16" s="13" t="s">
        <v>39</v>
      </c>
      <c r="C16" s="14" t="s">
        <v>34</v>
      </c>
      <c r="D16" s="15">
        <f>IF(B16='Vorgaben gemäss FöPV'!$J$2,0,VLOOKUP($C16,'Vorgaben gemäss FöPV'!$A$4:$D$6,IF($A16='Vorgaben gemäss FöPV'!$B$3,2,IF($A16='Vorgaben gemäss FöPV'!$C$3,3,IF($A16='Vorgaben gemäss FöPV'!$D$3,4,1)))))</f>
        <v>26400</v>
      </c>
      <c r="E16" s="14">
        <v>2</v>
      </c>
      <c r="F16" s="16">
        <f>IF(E16&gt;0,'Vorgaben gemäss FöPV'!$E$4+(E16-1)*'Vorgaben gemäss FöPV'!$F$4,0)</f>
        <v>15600</v>
      </c>
      <c r="G16" s="17">
        <v>23400</v>
      </c>
      <c r="H16" s="16">
        <f>IF(B16='Vorgaben gemäss FöPV'!$J$2,0,IF(G16&gt;VLOOKUP($C16,'Vorgaben gemäss FöPV'!$A$4:$I$6,IF(B16='Vorgaben gemäss FöPV'!$H$2,8,IF(B16='Vorgaben gemäss FöPV'!$I$2,9,1))),G16,VLOOKUP($C16,'Vorgaben gemäss FöPV'!$A$4:$I$6,IF(B16='Vorgaben gemäss FöPV'!$H$2,8,IF(B16='Vorgaben gemäss FöPV'!$I$2,9,1)))))</f>
        <v>23400</v>
      </c>
      <c r="I16" s="16">
        <f t="shared" si="2"/>
        <v>18600</v>
      </c>
      <c r="J16" s="17">
        <v>20000</v>
      </c>
      <c r="K16" s="17"/>
      <c r="L16" s="17"/>
      <c r="M16" s="25">
        <f>L16*'Vorgaben gemäss FöPV'!$B$34</f>
        <v>0</v>
      </c>
      <c r="N16" s="17"/>
      <c r="O16" s="25">
        <f>N16*'Vorgaben gemäss FöPV'!$B$33</f>
        <v>0</v>
      </c>
      <c r="P16" s="25">
        <f t="shared" si="3"/>
        <v>20000</v>
      </c>
      <c r="Q16" s="18">
        <f>IF(P16&lt;'Vorgaben gemäss FöPV'!$A$9,0,VLOOKUP(P16,'Vorgaben gemäss FöPV'!$A$9:$D$31,IF(A16='Vorgaben gemäss FöPV'!$B$8,2,IF(A16='Vorgaben gemäss FöPV'!$C$8,3,IF(A16='Vorgaben gemäss FöPV'!$D$8,4,1)))))</f>
        <v>0</v>
      </c>
      <c r="R16" s="19">
        <f t="shared" si="4"/>
        <v>18600</v>
      </c>
      <c r="S16" s="20">
        <f>IF(B16='Vorgaben gemäss FöPV'!$J$2,'Vorgaben gemäss FöPV'!$G$7,IF(R16&lt;'Vorgaben gemäss FöPV'!$G$4,R16,'Vorgaben gemäss FöPV'!$G$4))</f>
        <v>18600</v>
      </c>
      <c r="T16" s="16">
        <f t="shared" si="5"/>
        <v>62000</v>
      </c>
      <c r="W16" s="8"/>
      <c r="X16" s="8"/>
    </row>
    <row r="17" spans="1:24" ht="45" x14ac:dyDescent="0.2">
      <c r="A17" s="13" t="s">
        <v>36</v>
      </c>
      <c r="B17" s="13" t="s">
        <v>39</v>
      </c>
      <c r="C17" s="14" t="s">
        <v>5</v>
      </c>
      <c r="D17" s="15">
        <f>IF(B17='Vorgaben gemäss FöPV'!$J$2,0,VLOOKUP($C17,'Vorgaben gemäss FöPV'!$A$4:$D$6,IF($A17='Vorgaben gemäss FöPV'!$B$3,2,IF($A17='Vorgaben gemäss FöPV'!$C$3,3,IF($A17='Vorgaben gemäss FöPV'!$D$3,4,1)))))</f>
        <v>21600</v>
      </c>
      <c r="E17" s="14">
        <v>0</v>
      </c>
      <c r="F17" s="16">
        <f>IF(E17&gt;0,'Vorgaben gemäss FöPV'!$E$4+(E17-1)*'Vorgaben gemäss FöPV'!$F$4,0)</f>
        <v>0</v>
      </c>
      <c r="G17" s="17">
        <v>20400</v>
      </c>
      <c r="H17" s="16">
        <f>IF(B17='Vorgaben gemäss FöPV'!$J$2,0,IF(G17&gt;VLOOKUP($C17,'Vorgaben gemäss FöPV'!$A$4:$I$6,IF(B17='Vorgaben gemäss FöPV'!$H$2,8,IF(B17='Vorgaben gemäss FöPV'!$I$2,9,1))),G17,VLOOKUP($C17,'Vorgaben gemäss FöPV'!$A$4:$I$6,IF(B17='Vorgaben gemäss FöPV'!$H$2,8,IF(B17='Vorgaben gemäss FöPV'!$I$2,9,1)))))</f>
        <v>20600</v>
      </c>
      <c r="I17" s="16">
        <f t="shared" si="2"/>
        <v>1000</v>
      </c>
      <c r="J17" s="17">
        <v>60000</v>
      </c>
      <c r="K17" s="17"/>
      <c r="L17" s="17"/>
      <c r="M17" s="25">
        <f>L17*'Vorgaben gemäss FöPV'!$B$34</f>
        <v>0</v>
      </c>
      <c r="N17" s="17"/>
      <c r="O17" s="25">
        <f>N17*'Vorgaben gemäss FöPV'!$B$33</f>
        <v>0</v>
      </c>
      <c r="P17" s="25">
        <f t="shared" si="3"/>
        <v>60000</v>
      </c>
      <c r="Q17" s="18">
        <f>IF(P17&lt;'Vorgaben gemäss FöPV'!$A$9,0,VLOOKUP(P17,'Vorgaben gemäss FöPV'!$A$9:$D$31,IF(A17='Vorgaben gemäss FöPV'!$B$8,2,IF(A17='Vorgaben gemäss FöPV'!$C$8,3,IF(A17='Vorgaben gemäss FöPV'!$D$8,4,1)))))</f>
        <v>1</v>
      </c>
      <c r="R17" s="19">
        <f t="shared" si="4"/>
        <v>0</v>
      </c>
      <c r="S17" s="20">
        <f>IF(B17='Vorgaben gemäss FöPV'!$J$2,'Vorgaben gemäss FöPV'!$G$7,IF(R17&lt;'Vorgaben gemäss FöPV'!$G$4,R17,'Vorgaben gemäss FöPV'!$G$4))</f>
        <v>0</v>
      </c>
      <c r="T17" s="16">
        <f t="shared" si="5"/>
        <v>80400</v>
      </c>
      <c r="W17" s="8"/>
      <c r="X17" s="8"/>
    </row>
    <row r="18" spans="1:24" ht="45" x14ac:dyDescent="0.2">
      <c r="A18" s="13" t="s">
        <v>36</v>
      </c>
      <c r="B18" s="13" t="s">
        <v>40</v>
      </c>
      <c r="C18" s="14" t="s">
        <v>6</v>
      </c>
      <c r="D18" s="15">
        <f>IF(B18='Vorgaben gemäss FöPV'!$J$2,0,VLOOKUP($C18,'Vorgaben gemäss FöPV'!$A$4:$D$6,IF($A18='Vorgaben gemäss FöPV'!$B$3,2,IF($A18='Vorgaben gemäss FöPV'!$C$3,3,IF($A18='Vorgaben gemäss FöPV'!$D$3,4,1)))))</f>
        <v>30000</v>
      </c>
      <c r="E18" s="14">
        <v>0</v>
      </c>
      <c r="F18" s="16">
        <f>IF(E18&gt;0,'Vorgaben gemäss FöPV'!$E$4+(E18-1)*'Vorgaben gemäss FöPV'!$F$4,0)</f>
        <v>0</v>
      </c>
      <c r="G18" s="17">
        <v>23400</v>
      </c>
      <c r="H18" s="16">
        <f>IF(B18='Vorgaben gemäss FöPV'!$J$2,0,IF(G18&gt;VLOOKUP($C18,'Vorgaben gemäss FöPV'!$A$4:$I$6,IF(B18='Vorgaben gemäss FöPV'!$H$2,8,IF(B18='Vorgaben gemäss FöPV'!$I$2,9,1))),G18,VLOOKUP($C18,'Vorgaben gemäss FöPV'!$A$4:$I$6,IF(B18='Vorgaben gemäss FöPV'!$H$2,8,IF(B18='Vorgaben gemäss FöPV'!$I$2,9,1)))))</f>
        <v>30000</v>
      </c>
      <c r="I18" s="16">
        <f t="shared" si="2"/>
        <v>0</v>
      </c>
      <c r="J18" s="17">
        <v>60000</v>
      </c>
      <c r="K18" s="17"/>
      <c r="L18" s="17"/>
      <c r="M18" s="25">
        <f>L18*'Vorgaben gemäss FöPV'!$B$34</f>
        <v>0</v>
      </c>
      <c r="N18" s="17"/>
      <c r="O18" s="25">
        <f>N18*'Vorgaben gemäss FöPV'!$B$33</f>
        <v>0</v>
      </c>
      <c r="P18" s="25">
        <f t="shared" si="3"/>
        <v>60000</v>
      </c>
      <c r="Q18" s="18">
        <f>IF(P18&lt;'Vorgaben gemäss FöPV'!$A$9,0,VLOOKUP(P18,'Vorgaben gemäss FöPV'!$A$9:$D$31,IF(A18='Vorgaben gemäss FöPV'!$B$8,2,IF(A18='Vorgaben gemäss FöPV'!$C$8,3,IF(A18='Vorgaben gemäss FöPV'!$D$8,4,1)))))</f>
        <v>1</v>
      </c>
      <c r="R18" s="19">
        <f t="shared" si="4"/>
        <v>0</v>
      </c>
      <c r="S18" s="20">
        <f>IF(B18='Vorgaben gemäss FöPV'!$J$2,'Vorgaben gemäss FöPV'!$G$7,IF(R18&lt;'Vorgaben gemäss FöPV'!$G$4,R18,'Vorgaben gemäss FöPV'!$G$4))</f>
        <v>0</v>
      </c>
      <c r="T18" s="16">
        <f t="shared" si="5"/>
        <v>83400</v>
      </c>
      <c r="W18" s="8"/>
      <c r="X18" s="8"/>
    </row>
    <row r="19" spans="1:24" ht="45" x14ac:dyDescent="0.2">
      <c r="A19" s="13" t="s">
        <v>37</v>
      </c>
      <c r="B19" s="13" t="s">
        <v>40</v>
      </c>
      <c r="C19" s="14" t="s">
        <v>34</v>
      </c>
      <c r="D19" s="15">
        <f>IF(B19='Vorgaben gemäss FöPV'!$J$2,0,VLOOKUP($C19,'Vorgaben gemäss FöPV'!$A$4:$D$6,IF($A19='Vorgaben gemäss FöPV'!$B$3,2,IF($A19='Vorgaben gemäss FöPV'!$C$3,3,IF($A19='Vorgaben gemäss FöPV'!$D$3,4,1)))))</f>
        <v>26400</v>
      </c>
      <c r="E19" s="14">
        <v>0</v>
      </c>
      <c r="F19" s="16">
        <f>IF(E19&gt;0,'Vorgaben gemäss FöPV'!$E$4+(E19-1)*'Vorgaben gemäss FöPV'!$F$4,0)</f>
        <v>0</v>
      </c>
      <c r="G19" s="17">
        <v>23400</v>
      </c>
      <c r="H19" s="16">
        <f>IF(B19='Vorgaben gemäss FöPV'!$J$2,0,IF(G19&gt;VLOOKUP($C19,'Vorgaben gemäss FöPV'!$A$4:$I$6,IF(B19='Vorgaben gemäss FöPV'!$H$2,8,IF(B19='Vorgaben gemäss FöPV'!$I$2,9,1))),G19,VLOOKUP($C19,'Vorgaben gemäss FöPV'!$A$4:$I$6,IF(B19='Vorgaben gemäss FöPV'!$H$2,8,IF(B19='Vorgaben gemäss FöPV'!$I$2,9,1)))))</f>
        <v>30000</v>
      </c>
      <c r="I19" s="16">
        <f t="shared" si="2"/>
        <v>0</v>
      </c>
      <c r="J19" s="17">
        <v>70000</v>
      </c>
      <c r="K19" s="17"/>
      <c r="L19" s="17"/>
      <c r="M19" s="25">
        <f>L19*'Vorgaben gemäss FöPV'!$B$34</f>
        <v>0</v>
      </c>
      <c r="N19" s="17"/>
      <c r="O19" s="25">
        <f>N19*'Vorgaben gemäss FöPV'!$B$33</f>
        <v>0</v>
      </c>
      <c r="P19" s="25">
        <f t="shared" si="3"/>
        <v>70000</v>
      </c>
      <c r="Q19" s="18">
        <f>IF(P19&lt;'Vorgaben gemäss FöPV'!$A$9,0,VLOOKUP(P19,'Vorgaben gemäss FöPV'!$A$9:$D$31,IF(A19='Vorgaben gemäss FöPV'!$B$8,2,IF(A19='Vorgaben gemäss FöPV'!$C$8,3,IF(A19='Vorgaben gemäss FöPV'!$D$8,4,1)))))</f>
        <v>1</v>
      </c>
      <c r="R19" s="19">
        <f t="shared" si="4"/>
        <v>0</v>
      </c>
      <c r="S19" s="20">
        <f>IF(B19='Vorgaben gemäss FöPV'!$J$2,'Vorgaben gemäss FöPV'!$G$7,IF(R19&lt;'Vorgaben gemäss FöPV'!$G$4,R19,'Vorgaben gemäss FöPV'!$G$4))</f>
        <v>0</v>
      </c>
      <c r="T19" s="16">
        <f t="shared" si="5"/>
        <v>93400</v>
      </c>
      <c r="W19" s="8"/>
      <c r="X19" s="8"/>
    </row>
    <row r="20" spans="1:24" ht="45" x14ac:dyDescent="0.2">
      <c r="A20" s="13" t="s">
        <v>37</v>
      </c>
      <c r="B20" s="13" t="s">
        <v>40</v>
      </c>
      <c r="C20" s="14" t="s">
        <v>5</v>
      </c>
      <c r="D20" s="15">
        <f>IF(B20='Vorgaben gemäss FöPV'!$J$2,0,VLOOKUP($C20,'Vorgaben gemäss FöPV'!$A$4:$D$6,IF($A20='Vorgaben gemäss FöPV'!$B$3,2,IF($A20='Vorgaben gemäss FöPV'!$C$3,3,IF($A20='Vorgaben gemäss FöPV'!$D$3,4,1)))))</f>
        <v>18000</v>
      </c>
      <c r="E20" s="14">
        <v>2</v>
      </c>
      <c r="F20" s="16">
        <f>IF(E20&gt;0,'Vorgaben gemäss FöPV'!$E$4+(E20-1)*'Vorgaben gemäss FöPV'!$F$4,0)</f>
        <v>15600</v>
      </c>
      <c r="G20" s="17">
        <v>20400</v>
      </c>
      <c r="H20" s="16">
        <f>IF(B20='Vorgaben gemäss FöPV'!$J$2,0,IF(G20&gt;VLOOKUP($C20,'Vorgaben gemäss FöPV'!$A$4:$I$6,IF(B20='Vorgaben gemäss FöPV'!$H$2,8,IF(B20='Vorgaben gemäss FöPV'!$I$2,9,1))),G20,VLOOKUP($C20,'Vorgaben gemäss FöPV'!$A$4:$I$6,IF(B20='Vorgaben gemäss FöPV'!$H$2,8,IF(B20='Vorgaben gemäss FöPV'!$I$2,9,1)))))</f>
        <v>30000</v>
      </c>
      <c r="I20" s="16">
        <f t="shared" si="2"/>
        <v>3600</v>
      </c>
      <c r="J20" s="17">
        <v>60000</v>
      </c>
      <c r="K20" s="17"/>
      <c r="L20" s="17"/>
      <c r="M20" s="25">
        <f>L20*'Vorgaben gemäss FöPV'!$B$34</f>
        <v>0</v>
      </c>
      <c r="N20" s="17"/>
      <c r="O20" s="25">
        <f>N20*'Vorgaben gemäss FöPV'!$B$33</f>
        <v>0</v>
      </c>
      <c r="P20" s="25">
        <f t="shared" si="3"/>
        <v>60000</v>
      </c>
      <c r="Q20" s="18">
        <f>IF(P20&lt;'Vorgaben gemäss FöPV'!$A$9,0,VLOOKUP(P20,'Vorgaben gemäss FöPV'!$A$9:$D$31,IF(A20='Vorgaben gemäss FöPV'!$B$8,2,IF(A20='Vorgaben gemäss FöPV'!$C$8,3,IF(A20='Vorgaben gemäss FöPV'!$D$8,4,1)))))</f>
        <v>1</v>
      </c>
      <c r="R20" s="19">
        <f t="shared" si="4"/>
        <v>0</v>
      </c>
      <c r="S20" s="20">
        <f>IF(B20='Vorgaben gemäss FöPV'!$J$2,'Vorgaben gemäss FöPV'!$G$7,IF(R20&lt;'Vorgaben gemäss FöPV'!$G$4,R20,'Vorgaben gemäss FöPV'!$G$4))</f>
        <v>0</v>
      </c>
      <c r="T20" s="16">
        <f t="shared" si="5"/>
        <v>80400</v>
      </c>
      <c r="W20" s="8"/>
      <c r="X20" s="8"/>
    </row>
    <row r="21" spans="1:24" ht="45" x14ac:dyDescent="0.2">
      <c r="A21" s="13" t="s">
        <v>36</v>
      </c>
      <c r="B21" s="13" t="s">
        <v>39</v>
      </c>
      <c r="C21" s="14" t="s">
        <v>6</v>
      </c>
      <c r="D21" s="15">
        <f>IF(B21='Vorgaben gemäss FöPV'!$J$2,0,VLOOKUP($C21,'Vorgaben gemäss FöPV'!$A$4:$D$6,IF($A21='Vorgaben gemäss FöPV'!$B$3,2,IF($A21='Vorgaben gemäss FöPV'!$C$3,3,IF($A21='Vorgaben gemäss FöPV'!$D$3,4,1)))))</f>
        <v>30000</v>
      </c>
      <c r="E21" s="14">
        <v>3</v>
      </c>
      <c r="F21" s="16">
        <f>IF(E21&gt;0,'Vorgaben gemäss FöPV'!$E$4+(E21-1)*'Vorgaben gemäss FöPV'!$F$4,0)</f>
        <v>21600</v>
      </c>
      <c r="G21" s="17">
        <v>23400</v>
      </c>
      <c r="H21" s="16">
        <f>IF(B21='Vorgaben gemäss FöPV'!$J$2,0,IF(G21&gt;VLOOKUP($C21,'Vorgaben gemäss FöPV'!$A$4:$I$6,IF(B21='Vorgaben gemäss FöPV'!$H$2,8,IF(B21='Vorgaben gemäss FöPV'!$I$2,9,1))),G21,VLOOKUP($C21,'Vorgaben gemäss FöPV'!$A$4:$I$6,IF(B21='Vorgaben gemäss FöPV'!$H$2,8,IF(B21='Vorgaben gemäss FöPV'!$I$2,9,1)))))</f>
        <v>23400</v>
      </c>
      <c r="I21" s="16">
        <f t="shared" si="2"/>
        <v>28200</v>
      </c>
      <c r="J21" s="17">
        <v>50000</v>
      </c>
      <c r="K21" s="17"/>
      <c r="L21" s="17"/>
      <c r="M21" s="25">
        <f>L21*'Vorgaben gemäss FöPV'!$B$34</f>
        <v>0</v>
      </c>
      <c r="N21" s="17"/>
      <c r="O21" s="25">
        <f>N21*'Vorgaben gemäss FöPV'!$B$33</f>
        <v>0</v>
      </c>
      <c r="P21" s="25">
        <f t="shared" si="3"/>
        <v>50000</v>
      </c>
      <c r="Q21" s="18">
        <f>IF(P21&lt;'Vorgaben gemäss FöPV'!$A$9,0,VLOOKUP(P21,'Vorgaben gemäss FöPV'!$A$9:$D$31,IF(A21='Vorgaben gemäss FöPV'!$B$8,2,IF(A21='Vorgaben gemäss FöPV'!$C$8,3,IF(A21='Vorgaben gemäss FöPV'!$D$8,4,1)))))</f>
        <v>1</v>
      </c>
      <c r="R21" s="19">
        <f t="shared" si="4"/>
        <v>0</v>
      </c>
      <c r="S21" s="20">
        <f>IF(B21='Vorgaben gemäss FöPV'!$J$2,'Vorgaben gemäss FöPV'!$G$7,IF(R21&lt;'Vorgaben gemäss FöPV'!$G$4,R21,'Vorgaben gemäss FöPV'!$G$4))</f>
        <v>0</v>
      </c>
      <c r="T21" s="16">
        <f t="shared" si="5"/>
        <v>73400</v>
      </c>
      <c r="W21" s="8"/>
      <c r="X21" s="8"/>
    </row>
    <row r="22" spans="1:24" ht="45" x14ac:dyDescent="0.2">
      <c r="A22" s="13" t="s">
        <v>36</v>
      </c>
      <c r="B22" s="13" t="s">
        <v>39</v>
      </c>
      <c r="C22" s="14" t="s">
        <v>34</v>
      </c>
      <c r="D22" s="15">
        <f>IF(B22='Vorgaben gemäss FöPV'!$J$2,0,VLOOKUP($C22,'Vorgaben gemäss FöPV'!$A$4:$D$6,IF($A22='Vorgaben gemäss FöPV'!$B$3,2,IF($A22='Vorgaben gemäss FöPV'!$C$3,3,IF($A22='Vorgaben gemäss FöPV'!$D$3,4,1)))))</f>
        <v>32400</v>
      </c>
      <c r="E22" s="14">
        <v>10</v>
      </c>
      <c r="F22" s="16">
        <f>IF(E22&gt;0,'Vorgaben gemäss FöPV'!$E$4+(E22-1)*'Vorgaben gemäss FöPV'!$F$4,0)</f>
        <v>63600</v>
      </c>
      <c r="G22" s="17">
        <v>23400</v>
      </c>
      <c r="H22" s="16">
        <f>IF(B22='Vorgaben gemäss FöPV'!$J$2,0,IF(G22&gt;VLOOKUP($C22,'Vorgaben gemäss FöPV'!$A$4:$I$6,IF(B22='Vorgaben gemäss FöPV'!$H$2,8,IF(B22='Vorgaben gemäss FöPV'!$I$2,9,1))),G22,VLOOKUP($C22,'Vorgaben gemäss FöPV'!$A$4:$I$6,IF(B22='Vorgaben gemäss FöPV'!$H$2,8,IF(B22='Vorgaben gemäss FöPV'!$I$2,9,1)))))</f>
        <v>23400</v>
      </c>
      <c r="I22" s="16">
        <f t="shared" si="2"/>
        <v>72600</v>
      </c>
      <c r="J22" s="17">
        <v>50000</v>
      </c>
      <c r="K22" s="17"/>
      <c r="L22" s="17"/>
      <c r="M22" s="25">
        <f>L22*'Vorgaben gemäss FöPV'!$B$34</f>
        <v>0</v>
      </c>
      <c r="N22" s="17"/>
      <c r="O22" s="25">
        <f>N22*'Vorgaben gemäss FöPV'!$B$33</f>
        <v>0</v>
      </c>
      <c r="P22" s="25">
        <f t="shared" si="3"/>
        <v>50000</v>
      </c>
      <c r="Q22" s="18">
        <f>IF(P22&lt;'Vorgaben gemäss FöPV'!$A$9,0,VLOOKUP(P22,'Vorgaben gemäss FöPV'!$A$9:$D$31,IF(A22='Vorgaben gemäss FöPV'!$B$8,2,IF(A22='Vorgaben gemäss FöPV'!$C$8,3,IF(A22='Vorgaben gemäss FöPV'!$D$8,4,1)))))</f>
        <v>1</v>
      </c>
      <c r="R22" s="19">
        <f t="shared" si="4"/>
        <v>0</v>
      </c>
      <c r="S22" s="20">
        <f>IF(B22='Vorgaben gemäss FöPV'!$J$2,'Vorgaben gemäss FöPV'!$G$7,IF(R22&lt;'Vorgaben gemäss FöPV'!$G$4,R22,'Vorgaben gemäss FöPV'!$G$4))</f>
        <v>0</v>
      </c>
      <c r="T22" s="16">
        <f t="shared" si="5"/>
        <v>73400</v>
      </c>
      <c r="W22" s="8"/>
      <c r="X22" s="8"/>
    </row>
    <row r="23" spans="1:24" ht="45" x14ac:dyDescent="0.2">
      <c r="A23" s="13" t="s">
        <v>36</v>
      </c>
      <c r="B23" s="13" t="s">
        <v>39</v>
      </c>
      <c r="C23" s="14" t="s">
        <v>34</v>
      </c>
      <c r="D23" s="15">
        <f>IF(B23='Vorgaben gemäss FöPV'!$J$2,0,VLOOKUP($C23,'Vorgaben gemäss FöPV'!$A$4:$D$6,IF($A23='Vorgaben gemäss FöPV'!$B$3,2,IF($A23='Vorgaben gemäss FöPV'!$C$3,3,IF($A23='Vorgaben gemäss FöPV'!$D$3,4,1)))))</f>
        <v>32400</v>
      </c>
      <c r="E23" s="14"/>
      <c r="F23" s="16">
        <f>IF(E23&gt;0,'Vorgaben gemäss FöPV'!$E$4+(E23-1)*'Vorgaben gemäss FöPV'!$F$4,0)</f>
        <v>0</v>
      </c>
      <c r="G23" s="17">
        <v>23400</v>
      </c>
      <c r="H23" s="16">
        <f>IF(B23='Vorgaben gemäss FöPV'!$J$2,0,IF(G23&gt;VLOOKUP($C23,'Vorgaben gemäss FöPV'!$A$4:$I$6,IF(B23='Vorgaben gemäss FöPV'!$H$2,8,IF(B23='Vorgaben gemäss FöPV'!$I$2,9,1))),G23,VLOOKUP($C23,'Vorgaben gemäss FöPV'!$A$4:$I$6,IF(B23='Vorgaben gemäss FöPV'!$H$2,8,IF(B23='Vorgaben gemäss FöPV'!$I$2,9,1)))))</f>
        <v>23400</v>
      </c>
      <c r="I23" s="16">
        <f t="shared" si="2"/>
        <v>9000</v>
      </c>
      <c r="J23" s="17">
        <v>0</v>
      </c>
      <c r="K23" s="17"/>
      <c r="L23" s="17"/>
      <c r="M23" s="25">
        <f>L23*'Vorgaben gemäss FöPV'!$B$34</f>
        <v>0</v>
      </c>
      <c r="N23" s="17"/>
      <c r="O23" s="25">
        <f>N23*'Vorgaben gemäss FöPV'!$B$33</f>
        <v>0</v>
      </c>
      <c r="P23" s="25">
        <f t="shared" si="3"/>
        <v>0</v>
      </c>
      <c r="Q23" s="18">
        <f>IF(P23&lt;'Vorgaben gemäss FöPV'!$A$9,0,VLOOKUP(P23,'Vorgaben gemäss FöPV'!$A$9:$D$31,IF(A23='Vorgaben gemäss FöPV'!$B$8,2,IF(A23='Vorgaben gemäss FöPV'!$C$8,3,IF(A23='Vorgaben gemäss FöPV'!$D$8,4,1)))))</f>
        <v>0</v>
      </c>
      <c r="R23" s="19">
        <f t="shared" si="4"/>
        <v>9000</v>
      </c>
      <c r="S23" s="20">
        <f>IF(B23='Vorgaben gemäss FöPV'!$J$2,'Vorgaben gemäss FöPV'!$G$7,IF(R23&lt;'Vorgaben gemäss FöPV'!$G$4,R23,'Vorgaben gemäss FöPV'!$G$4))</f>
        <v>9000</v>
      </c>
      <c r="T23" s="16">
        <f t="shared" si="5"/>
        <v>32400</v>
      </c>
      <c r="W23" s="8"/>
      <c r="X23" s="8"/>
    </row>
    <row r="24" spans="1:24" ht="45" x14ac:dyDescent="0.2">
      <c r="A24" s="13" t="s">
        <v>36</v>
      </c>
      <c r="B24" s="13" t="s">
        <v>39</v>
      </c>
      <c r="C24" s="14" t="s">
        <v>6</v>
      </c>
      <c r="D24" s="15">
        <f>IF(B24='Vorgaben gemäss FöPV'!$J$2,0,VLOOKUP($C24,'Vorgaben gemäss FöPV'!$A$4:$D$6,IF($A24='Vorgaben gemäss FöPV'!$B$3,2,IF($A24='Vorgaben gemäss FöPV'!$C$3,3,IF($A24='Vorgaben gemäss FöPV'!$D$3,4,1)))))</f>
        <v>30000</v>
      </c>
      <c r="E24" s="14"/>
      <c r="F24" s="16">
        <f>IF(E24&gt;0,'Vorgaben gemäss FöPV'!$E$4+(E24-1)*'Vorgaben gemäss FöPV'!$F$4,0)</f>
        <v>0</v>
      </c>
      <c r="G24" s="17"/>
      <c r="H24" s="16">
        <f>IF(B24='Vorgaben gemäss FöPV'!$J$2,0,IF(G24&gt;VLOOKUP($C24,'Vorgaben gemäss FöPV'!$A$4:$I$6,IF(B24='Vorgaben gemäss FöPV'!$H$2,8,IF(B24='Vorgaben gemäss FöPV'!$I$2,9,1))),G24,VLOOKUP($C24,'Vorgaben gemäss FöPV'!$A$4:$I$6,IF(B24='Vorgaben gemäss FöPV'!$H$2,8,IF(B24='Vorgaben gemäss FöPV'!$I$2,9,1)))))</f>
        <v>23200</v>
      </c>
      <c r="I24" s="16">
        <f t="shared" si="2"/>
        <v>6800</v>
      </c>
      <c r="J24" s="17">
        <v>0</v>
      </c>
      <c r="K24" s="17"/>
      <c r="L24" s="17"/>
      <c r="M24" s="25">
        <f>L24*'Vorgaben gemäss FöPV'!$B$34</f>
        <v>0</v>
      </c>
      <c r="N24" s="17"/>
      <c r="O24" s="25">
        <f>N24*'Vorgaben gemäss FöPV'!$B$33</f>
        <v>0</v>
      </c>
      <c r="P24" s="25">
        <f t="shared" si="3"/>
        <v>0</v>
      </c>
      <c r="Q24" s="18">
        <f>IF(P24&lt;'Vorgaben gemäss FöPV'!$A$9,0,VLOOKUP(P24,'Vorgaben gemäss FöPV'!$A$9:$D$31,IF(A24='Vorgaben gemäss FöPV'!$B$8,2,IF(A24='Vorgaben gemäss FöPV'!$C$8,3,IF(A24='Vorgaben gemäss FöPV'!$D$8,4,1)))))</f>
        <v>0</v>
      </c>
      <c r="R24" s="19">
        <f t="shared" si="4"/>
        <v>6800</v>
      </c>
      <c r="S24" s="20">
        <f>IF(B24='Vorgaben gemäss FöPV'!$J$2,'Vorgaben gemäss FöPV'!$G$7,IF(R24&lt;'Vorgaben gemäss FöPV'!$G$4,R24,'Vorgaben gemäss FöPV'!$G$4))</f>
        <v>6800</v>
      </c>
      <c r="T24" s="16">
        <f t="shared" si="5"/>
        <v>6800</v>
      </c>
      <c r="W24" s="8"/>
      <c r="X24" s="8"/>
    </row>
    <row r="25" spans="1:24" ht="33.75" x14ac:dyDescent="0.2">
      <c r="A25" s="13" t="s">
        <v>37</v>
      </c>
      <c r="B25" s="13" t="s">
        <v>39</v>
      </c>
      <c r="C25" s="14" t="s">
        <v>5</v>
      </c>
      <c r="D25" s="15">
        <f>IF(B25='Vorgaben gemäss FöPV'!$J$2,0,VLOOKUP($C25,'Vorgaben gemäss FöPV'!$A$4:$D$6,IF($A25='Vorgaben gemäss FöPV'!$B$3,2,IF($A25='Vorgaben gemäss FöPV'!$C$3,3,IF($A25='Vorgaben gemäss FöPV'!$D$3,4,1)))))</f>
        <v>18000</v>
      </c>
      <c r="E25" s="14"/>
      <c r="F25" s="16">
        <f>IF(E25&gt;0,'Vorgaben gemäss FöPV'!$E$4+(E25-1)*'Vorgaben gemäss FöPV'!$F$4,0)</f>
        <v>0</v>
      </c>
      <c r="G25" s="17"/>
      <c r="H25" s="16">
        <f>IF(B25='Vorgaben gemäss FöPV'!$J$2,0,IF(G25&gt;VLOOKUP($C25,'Vorgaben gemäss FöPV'!$A$4:$I$6,IF(B25='Vorgaben gemäss FöPV'!$H$2,8,IF(B25='Vorgaben gemäss FöPV'!$I$2,9,1))),G25,VLOOKUP($C25,'Vorgaben gemäss FöPV'!$A$4:$I$6,IF(B25='Vorgaben gemäss FöPV'!$H$2,8,IF(B25='Vorgaben gemäss FöPV'!$I$2,9,1)))))</f>
        <v>20600</v>
      </c>
      <c r="I25" s="16">
        <f t="shared" si="2"/>
        <v>0</v>
      </c>
      <c r="J25" s="17">
        <v>0</v>
      </c>
      <c r="K25" s="17"/>
      <c r="L25" s="17"/>
      <c r="M25" s="25">
        <f>L25*'Vorgaben gemäss FöPV'!$B$34</f>
        <v>0</v>
      </c>
      <c r="N25" s="17"/>
      <c r="O25" s="25">
        <f>N25*'Vorgaben gemäss FöPV'!$B$33</f>
        <v>0</v>
      </c>
      <c r="P25" s="25">
        <f t="shared" si="3"/>
        <v>0</v>
      </c>
      <c r="Q25" s="18">
        <f>IF(P25&lt;'Vorgaben gemäss FöPV'!$A$9,0,VLOOKUP(P25,'Vorgaben gemäss FöPV'!$A$9:$D$31,IF(A25='Vorgaben gemäss FöPV'!$B$8,2,IF(A25='Vorgaben gemäss FöPV'!$C$8,3,IF(A25='Vorgaben gemäss FöPV'!$D$8,4,1)))))</f>
        <v>0</v>
      </c>
      <c r="R25" s="19">
        <f t="shared" si="4"/>
        <v>0</v>
      </c>
      <c r="S25" s="20">
        <f>IF(B25='Vorgaben gemäss FöPV'!$J$2,'Vorgaben gemäss FöPV'!$G$7,IF(R25&lt;'Vorgaben gemäss FöPV'!$G$4,R25,'Vorgaben gemäss FöPV'!$G$4))</f>
        <v>0</v>
      </c>
      <c r="T25" s="16">
        <f t="shared" si="5"/>
        <v>0</v>
      </c>
      <c r="W25" s="8"/>
      <c r="X25" s="8"/>
    </row>
    <row r="26" spans="1:24" ht="33.75" x14ac:dyDescent="0.2">
      <c r="A26" s="13" t="s">
        <v>37</v>
      </c>
      <c r="B26" s="13" t="s">
        <v>39</v>
      </c>
      <c r="C26" s="14" t="s">
        <v>34</v>
      </c>
      <c r="D26" s="15">
        <f>IF(B26='Vorgaben gemäss FöPV'!$J$2,0,VLOOKUP($C26,'Vorgaben gemäss FöPV'!$A$4:$D$6,IF($A26='Vorgaben gemäss FöPV'!$B$3,2,IF($A26='Vorgaben gemäss FöPV'!$C$3,3,IF($A26='Vorgaben gemäss FöPV'!$D$3,4,1)))))</f>
        <v>26400</v>
      </c>
      <c r="E26" s="14"/>
      <c r="F26" s="16">
        <f>IF(E26&gt;0,'Vorgaben gemäss FöPV'!$E$4+(E26-1)*'Vorgaben gemäss FöPV'!$F$4,0)</f>
        <v>0</v>
      </c>
      <c r="G26" s="17"/>
      <c r="H26" s="16">
        <f>IF(B26='Vorgaben gemäss FöPV'!$J$2,0,IF(G26&gt;VLOOKUP($C26,'Vorgaben gemäss FöPV'!$A$4:$I$6,IF(B26='Vorgaben gemäss FöPV'!$H$2,8,IF(B26='Vorgaben gemäss FöPV'!$I$2,9,1))),G26,VLOOKUP($C26,'Vorgaben gemäss FöPV'!$A$4:$I$6,IF(B26='Vorgaben gemäss FöPV'!$H$2,8,IF(B26='Vorgaben gemäss FöPV'!$I$2,9,1)))))</f>
        <v>23200</v>
      </c>
      <c r="I26" s="16">
        <f t="shared" si="2"/>
        <v>3200</v>
      </c>
      <c r="J26" s="17">
        <v>0</v>
      </c>
      <c r="K26" s="17"/>
      <c r="L26" s="17"/>
      <c r="M26" s="25">
        <f>L26*'Vorgaben gemäss FöPV'!$B$34</f>
        <v>0</v>
      </c>
      <c r="N26" s="17"/>
      <c r="O26" s="25">
        <f>N26*'Vorgaben gemäss FöPV'!$B$33</f>
        <v>0</v>
      </c>
      <c r="P26" s="25">
        <f t="shared" si="3"/>
        <v>0</v>
      </c>
      <c r="Q26" s="18">
        <f>IF(P26&lt;'Vorgaben gemäss FöPV'!$A$9,0,VLOOKUP(P26,'Vorgaben gemäss FöPV'!$A$9:$D$31,IF(A26='Vorgaben gemäss FöPV'!$B$8,2,IF(A26='Vorgaben gemäss FöPV'!$C$8,3,IF(A26='Vorgaben gemäss FöPV'!$D$8,4,1)))))</f>
        <v>0</v>
      </c>
      <c r="R26" s="19">
        <f t="shared" si="4"/>
        <v>3200</v>
      </c>
      <c r="S26" s="20">
        <f>IF(B26='Vorgaben gemäss FöPV'!$J$2,'Vorgaben gemäss FöPV'!$G$7,IF(R26&lt;'Vorgaben gemäss FöPV'!$G$4,R26,'Vorgaben gemäss FöPV'!$G$4))</f>
        <v>3200</v>
      </c>
      <c r="T26" s="16">
        <f t="shared" si="5"/>
        <v>3200</v>
      </c>
      <c r="W26" s="8"/>
      <c r="X26" s="8"/>
    </row>
    <row r="27" spans="1:24" ht="33.75" x14ac:dyDescent="0.2">
      <c r="A27" s="13" t="s">
        <v>37</v>
      </c>
      <c r="B27" s="13" t="s">
        <v>39</v>
      </c>
      <c r="C27" s="14" t="s">
        <v>34</v>
      </c>
      <c r="D27" s="15">
        <f>IF(B27='Vorgaben gemäss FöPV'!$J$2,0,VLOOKUP($C27,'Vorgaben gemäss FöPV'!$A$4:$D$6,IF($A27='Vorgaben gemäss FöPV'!$B$3,2,IF($A27='Vorgaben gemäss FöPV'!$C$3,3,IF($A27='Vorgaben gemäss FöPV'!$D$3,4,1)))))</f>
        <v>26400</v>
      </c>
      <c r="E27" s="14"/>
      <c r="F27" s="16">
        <f>IF(E27&gt;0,'Vorgaben gemäss FöPV'!$E$4+(E27-1)*'Vorgaben gemäss FöPV'!$F$4,0)</f>
        <v>0</v>
      </c>
      <c r="G27" s="17"/>
      <c r="H27" s="16">
        <f>IF(B27='Vorgaben gemäss FöPV'!$J$2,0,IF(G27&gt;VLOOKUP($C27,'Vorgaben gemäss FöPV'!$A$4:$I$6,IF(B27='Vorgaben gemäss FöPV'!$H$2,8,IF(B27='Vorgaben gemäss FöPV'!$I$2,9,1))),G27,VLOOKUP($C27,'Vorgaben gemäss FöPV'!$A$4:$I$6,IF(B27='Vorgaben gemäss FöPV'!$H$2,8,IF(B27='Vorgaben gemäss FöPV'!$I$2,9,1)))))</f>
        <v>23200</v>
      </c>
      <c r="I27" s="16">
        <f t="shared" si="2"/>
        <v>3200</v>
      </c>
      <c r="J27" s="17">
        <v>0</v>
      </c>
      <c r="K27" s="17"/>
      <c r="L27" s="17"/>
      <c r="M27" s="25">
        <f>L27*'Vorgaben gemäss FöPV'!$B$34</f>
        <v>0</v>
      </c>
      <c r="N27" s="17"/>
      <c r="O27" s="25">
        <f>N27*'Vorgaben gemäss FöPV'!$B$33</f>
        <v>0</v>
      </c>
      <c r="P27" s="25">
        <f t="shared" si="3"/>
        <v>0</v>
      </c>
      <c r="Q27" s="18">
        <f>IF(P27&lt;'Vorgaben gemäss FöPV'!$A$9,0,VLOOKUP(P27,'Vorgaben gemäss FöPV'!$A$9:$D$31,IF(A27='Vorgaben gemäss FöPV'!$B$8,2,IF(A27='Vorgaben gemäss FöPV'!$C$8,3,IF(A27='Vorgaben gemäss FöPV'!$D$8,4,1)))))</f>
        <v>0</v>
      </c>
      <c r="R27" s="19">
        <f t="shared" si="4"/>
        <v>3200</v>
      </c>
      <c r="S27" s="20">
        <f>IF(B27='Vorgaben gemäss FöPV'!$J$2,'Vorgaben gemäss FöPV'!$G$7,IF(R27&lt;'Vorgaben gemäss FöPV'!$G$4,R27,'Vorgaben gemäss FöPV'!$G$4))</f>
        <v>3200</v>
      </c>
      <c r="T27" s="16">
        <f t="shared" si="5"/>
        <v>3200</v>
      </c>
      <c r="W27" s="8"/>
      <c r="X27" s="8"/>
    </row>
    <row r="28" spans="1:24" x14ac:dyDescent="0.2">
      <c r="P28">
        <f>SUM(U5:U27)</f>
        <v>0</v>
      </c>
      <c r="Q28">
        <f>SUM(V5:V27)</f>
        <v>0</v>
      </c>
      <c r="R28" s="22"/>
      <c r="S28" s="22"/>
    </row>
  </sheetData>
  <pageMargins left="0.7" right="0.7" top="0.78740157499999996" bottom="0.78740157499999996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'Vorgaben gemäss FöPV'!$B$3:$D$3</xm:f>
          </x14:formula1>
          <xm:sqref>A5:A27</xm:sqref>
        </x14:dataValidation>
        <x14:dataValidation type="list" allowBlank="1" showInputMessage="1" showErrorMessage="1">
          <x14:formula1>
            <xm:f>'Vorgaben gemäss FöPV'!$A$4:$A$6</xm:f>
          </x14:formula1>
          <xm:sqref>C5:C27</xm:sqref>
        </x14:dataValidation>
        <x14:dataValidation type="list" allowBlank="1" showInputMessage="1" showErrorMessage="1">
          <x14:formula1>
            <xm:f>'Vorgaben gemäss FöPV'!$H$2:$J$2</xm:f>
          </x14:formula1>
          <xm:sqref>B5:B27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Modellrechner</vt:lpstr>
      <vt:lpstr>Vorgaben gemäss FöPV</vt:lpstr>
      <vt:lpstr>Tabelle mit mehreren Fällen</vt:lpstr>
    </vt:vector>
  </TitlesOfParts>
  <Company>Kanton Glarus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Geissmann Patrick Berufsbildung</dc:creator>
  <cp:lastModifiedBy>Kamm Andrea Volksschule</cp:lastModifiedBy>
  <cp:lastPrinted>2024-03-15T11:00:13Z</cp:lastPrinted>
  <dcterms:created xsi:type="dcterms:W3CDTF">2023-08-18T09:39:50Z</dcterms:created>
  <dcterms:modified xsi:type="dcterms:W3CDTF">2024-05-07T13:17:04Z</dcterms:modified>
</cp:coreProperties>
</file>