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35" activeTab="1"/>
  </bookViews>
  <sheets>
    <sheet name="Abfrage pro Gemeinde" sheetId="1" r:id="rId1"/>
    <sheet name="Abfragen pro Jahr" sheetId="2" r:id="rId2"/>
    <sheet name="2011" sheetId="3" r:id="rId3"/>
    <sheet name="Meldungen" sheetId="4" r:id="rId4"/>
    <sheet name="Grafiken" sheetId="5" r:id="rId5"/>
    <sheet name="Tabelle4" sheetId="6" r:id="rId6"/>
    <sheet name="Tabelle5" sheetId="7" r:id="rId7"/>
    <sheet name="Tabelle6" sheetId="8" r:id="rId8"/>
  </sheets>
  <externalReferences>
    <externalReference r:id="rId11"/>
  </externalReferences>
  <definedNames>
    <definedName name="_xlfn.BAHTTEXT" hidden="1">#NAME?</definedName>
    <definedName name="_xlnm.Print_Area" localSheetId="2">'2011'!$A$1:$I$1123</definedName>
    <definedName name="_xlnm.Print_Area" localSheetId="0">'Abfrage pro Gemeinde'!$A$1:$H$383</definedName>
    <definedName name="_xlnm.Print_Area" localSheetId="1">'Abfragen pro Jahr'!$A$1:$G$383</definedName>
    <definedName name="_xlnm.Print_Titles" localSheetId="2">'2011'!$1:$3</definedName>
    <definedName name="_xlnm.Print_Titles" localSheetId="0">'Abfrage pro Gemeinde'!$1:$4</definedName>
    <definedName name="_xlnm.Print_Titles" localSheetId="1">'Abfragen pro Jahr'!$1:$5</definedName>
  </definedNames>
  <calcPr fullCalcOnLoad="1"/>
</workbook>
</file>

<file path=xl/sharedStrings.xml><?xml version="1.0" encoding="utf-8"?>
<sst xmlns="http://schemas.openxmlformats.org/spreadsheetml/2006/main" count="2563" uniqueCount="1032">
  <si>
    <t>Finanzvermögen</t>
  </si>
  <si>
    <t>Verwaltungsvermögen</t>
  </si>
  <si>
    <t>Konto-Art</t>
  </si>
  <si>
    <t>Aktiven</t>
  </si>
  <si>
    <t>Passiven</t>
  </si>
  <si>
    <t>Fremdkapital</t>
  </si>
  <si>
    <t>Kontrolle</t>
  </si>
  <si>
    <t>Aufwand</t>
  </si>
  <si>
    <t>Personalaufwand</t>
  </si>
  <si>
    <t>Durchlaufende Beiträge</t>
  </si>
  <si>
    <t>Interne Verrechnungen</t>
  </si>
  <si>
    <t>Besitz- und Aufwandsteuern</t>
  </si>
  <si>
    <t>Entgelte</t>
  </si>
  <si>
    <t>Ertrag</t>
  </si>
  <si>
    <t>Ausgaben</t>
  </si>
  <si>
    <t>Investitionsbeiträge</t>
  </si>
  <si>
    <t>Einnahmen</t>
  </si>
  <si>
    <t>=</t>
  </si>
  <si>
    <t>Eigenkapital</t>
  </si>
  <si>
    <t>-</t>
  </si>
  <si>
    <t>+</t>
  </si>
  <si>
    <t>INVESTITIONSRECHNUNG</t>
  </si>
  <si>
    <t>Abschreibungen Verwaltungsvermögen</t>
  </si>
  <si>
    <t>Finanzertrag</t>
  </si>
  <si>
    <t>Steuerfuss</t>
  </si>
  <si>
    <t>20</t>
  </si>
  <si>
    <t>Flüssige Mittel und kurzfristige Geldanlagen</t>
  </si>
  <si>
    <t>Forderungen</t>
  </si>
  <si>
    <t>Kurzfristige Finanzanlagen</t>
  </si>
  <si>
    <t>Aktive Rechnungsabgrenzungen</t>
  </si>
  <si>
    <t>Vorräte und angefangene Arbeiten</t>
  </si>
  <si>
    <t>Finanzanlagen</t>
  </si>
  <si>
    <t>Sachanlagen FV</t>
  </si>
  <si>
    <t>Sachanlagen VV</t>
  </si>
  <si>
    <t>Immaterielle Anlagen</t>
  </si>
  <si>
    <t>Darlehen</t>
  </si>
  <si>
    <t>Beteiligungen, Grundkapitalien</t>
  </si>
  <si>
    <t>Laufende Verbindlichkeiten</t>
  </si>
  <si>
    <t>Kurzfristige Finanzverbindlichkeiten</t>
  </si>
  <si>
    <t>Passive Rechnungsabgrenzung</t>
  </si>
  <si>
    <t>Kurzfristige Rückstellungen</t>
  </si>
  <si>
    <t>Langfristige Finanzverbindlichkeiten</t>
  </si>
  <si>
    <t>Langfristige Rückstellungen</t>
  </si>
  <si>
    <t>ERFOLGSRECHNUNG</t>
  </si>
  <si>
    <t>Fonds im EK</t>
  </si>
  <si>
    <t>Rücklagen der Globalbudgetbereiche</t>
  </si>
  <si>
    <t>Vorfinanzierungen</t>
  </si>
  <si>
    <t>Aufwertungsreserve VV</t>
  </si>
  <si>
    <t>Neubewertungsreserve Finanzvermögen</t>
  </si>
  <si>
    <t>Übriges Eigenkapital</t>
  </si>
  <si>
    <t>Bilanzüberschuss /-fehlbetrag</t>
  </si>
  <si>
    <t>Behörden und Kommissionen</t>
  </si>
  <si>
    <t>Löhne des Verwaltungs- und Betriebspersonals</t>
  </si>
  <si>
    <t>Löhne der Lehrkräfte</t>
  </si>
  <si>
    <t>Zulagen</t>
  </si>
  <si>
    <t>Arbeitgeberteiträge</t>
  </si>
  <si>
    <t>Arbeitgeberleistungen</t>
  </si>
  <si>
    <t>Übriger Personalaufwand</t>
  </si>
  <si>
    <t>Material- und Warenaufwand</t>
  </si>
  <si>
    <t>Nicht aktivierbare Anlagen</t>
  </si>
  <si>
    <t>Ver- und Entsorgung</t>
  </si>
  <si>
    <t>Dienstleistungen und Honorare</t>
  </si>
  <si>
    <t>Baulicher Unterhalt</t>
  </si>
  <si>
    <t>Unterhalt Mobilien und immaterielle Anlagen</t>
  </si>
  <si>
    <t>Mieten, Leasing, Pachten, Benützungsgebühren</t>
  </si>
  <si>
    <t>Spesenentschädigung</t>
  </si>
  <si>
    <t>Wertberichtigungen auf Forderungen</t>
  </si>
  <si>
    <t>Verschiedener Betriebsaufwand</t>
  </si>
  <si>
    <t>Sach- und übriger Betriebsaufwand</t>
  </si>
  <si>
    <t>Abschreibungen immaterielle Anlagen</t>
  </si>
  <si>
    <t>Abtragung Bilanzfehlbetrag</t>
  </si>
  <si>
    <t>Zinsaufwand</t>
  </si>
  <si>
    <t>Realisierte Kursverluste</t>
  </si>
  <si>
    <t>Kapitalbeschaffungs- und Verwaltungskosten</t>
  </si>
  <si>
    <t>Liegenschaftenaufwand Finanzvermögen</t>
  </si>
  <si>
    <t>Wertberichtigungen Anlangen Finanzvermögen</t>
  </si>
  <si>
    <t>Verschiedener Finanzaufwand</t>
  </si>
  <si>
    <t>Finanzaufwand</t>
  </si>
  <si>
    <t>Einlagen in Fonds und Spezialfinanzierungen</t>
  </si>
  <si>
    <t>Ertragsanteile an Dritte</t>
  </si>
  <si>
    <t>Entschädigungen an Gemeinwesen</t>
  </si>
  <si>
    <t>Finanz- und Lastenausgleich</t>
  </si>
  <si>
    <t>Beiträge an Gemeinwesen und Dritte</t>
  </si>
  <si>
    <t>Wertberichtigungen Beteiligungen VV</t>
  </si>
  <si>
    <t>Wertberichtigungen Darlehen VV</t>
  </si>
  <si>
    <t>Abschreibungen Investitionsbeiträge</t>
  </si>
  <si>
    <t>Verschiedener Transferaufwand</t>
  </si>
  <si>
    <t>Transferaufwand</t>
  </si>
  <si>
    <t>Zusätzliche Abschreibungen</t>
  </si>
  <si>
    <t>Einlagen in das Eigenkapital</t>
  </si>
  <si>
    <t>Aussorderntlicher Aufwand</t>
  </si>
  <si>
    <t>Interne Verrechnung</t>
  </si>
  <si>
    <t>Material- und Warenbezüge</t>
  </si>
  <si>
    <t>Pacht, Mieten, Benützungskosten</t>
  </si>
  <si>
    <t>Betriebs- und Verwaltungskosten</t>
  </si>
  <si>
    <t>Kalkulatorische Zinsen und Finanzaufwand</t>
  </si>
  <si>
    <t>Übertragungen</t>
  </si>
  <si>
    <t>Übrige interne Verrechnungen</t>
  </si>
  <si>
    <t>Direkte Steuern natürliche Personen</t>
  </si>
  <si>
    <t>Direkte Steuern juristische Personen</t>
  </si>
  <si>
    <t>Übrige direkte Steuern</t>
  </si>
  <si>
    <t>Regalien</t>
  </si>
  <si>
    <t>Schweiz. Nationalbank</t>
  </si>
  <si>
    <t>Konzessionen</t>
  </si>
  <si>
    <t>Ertragsanteile an Lotterien, Sporttoto, Wetten</t>
  </si>
  <si>
    <t>Regalien und Konzessionen</t>
  </si>
  <si>
    <t>Ersatzabgaben</t>
  </si>
  <si>
    <t>Gebühren für Amtshandlungen</t>
  </si>
  <si>
    <t>Spital- und Heimtaxen, Kostgelder</t>
  </si>
  <si>
    <t>Schul- und Kursgelder</t>
  </si>
  <si>
    <t>Benützungsgebühren und Dienstleistungen</t>
  </si>
  <si>
    <t>Erlös aus Verkäufen</t>
  </si>
  <si>
    <t>Rückerstattungen</t>
  </si>
  <si>
    <t>Bussen</t>
  </si>
  <si>
    <t>Übrige Entgelte</t>
  </si>
  <si>
    <t>Verschiedene Erträge</t>
  </si>
  <si>
    <t>Verschiedene betriebliche Erträge</t>
  </si>
  <si>
    <t>Bestandesveränderungen</t>
  </si>
  <si>
    <t>Übriger Ertrag</t>
  </si>
  <si>
    <t>Aktivierung Eigenleistungen</t>
  </si>
  <si>
    <t>Zinsertrag</t>
  </si>
  <si>
    <t>Beteiligungsertrag FV</t>
  </si>
  <si>
    <t>Liegenschaftenertrag FV</t>
  </si>
  <si>
    <t>Finanzertrag aus Darlehen und Beteiligungen VV</t>
  </si>
  <si>
    <t>Finanzertrag von öffentlichen Unternehmungen</t>
  </si>
  <si>
    <t>Liegenschaftenertrag VV</t>
  </si>
  <si>
    <t>Erträge von gemieteten Liegenschaften</t>
  </si>
  <si>
    <t>Übriger Finanzertrag</t>
  </si>
  <si>
    <t>Realisierte Gewinne FV</t>
  </si>
  <si>
    <t>Wertberichtigungen Anlagen FV</t>
  </si>
  <si>
    <t>Entnahmen aus Fonds und Spezialfinanzierungen</t>
  </si>
  <si>
    <t>Entnahmen aus Fonds und Spezialfinanzierungen im FK</t>
  </si>
  <si>
    <t>Entnahmen aus Fonds und Spezialfinanzierungen im EK</t>
  </si>
  <si>
    <t>Transferertrag</t>
  </si>
  <si>
    <t>Ertragsanteile</t>
  </si>
  <si>
    <t>Entschädigungen von Gemeinwesen</t>
  </si>
  <si>
    <t>Beiträge von Gemeinwesen und Dritten</t>
  </si>
  <si>
    <t>Verschiedener Transferertrag</t>
  </si>
  <si>
    <t>Ausserordentlicher Ertrag</t>
  </si>
  <si>
    <t>Ausserordentliche Steuererträge</t>
  </si>
  <si>
    <t>Entnahmen aus dem Eigenkapital</t>
  </si>
  <si>
    <t>Total Aufwand ER</t>
  </si>
  <si>
    <t>Total Ertrag ER</t>
  </si>
  <si>
    <t>Ertragsüberschuss Erfolgsrechnung</t>
  </si>
  <si>
    <t>Aufwandüberschuss Erfolgsrechnung</t>
  </si>
  <si>
    <t>Grundstücke</t>
  </si>
  <si>
    <t>Strassen/Verkehrswege</t>
  </si>
  <si>
    <t>Wasserbau</t>
  </si>
  <si>
    <t>Übriger Tiefbau</t>
  </si>
  <si>
    <t>Hochbauten</t>
  </si>
  <si>
    <t>Waldungen</t>
  </si>
  <si>
    <t>Mobilien</t>
  </si>
  <si>
    <t>Übrige Sachanlagen</t>
  </si>
  <si>
    <t>Sachanlagen</t>
  </si>
  <si>
    <t>Investitionen auf Rechnung Dritter</t>
  </si>
  <si>
    <t>Software</t>
  </si>
  <si>
    <t>Patente/Lizenzen</t>
  </si>
  <si>
    <t>Übrige immaterielle Anlagen</t>
  </si>
  <si>
    <t>Bund</t>
  </si>
  <si>
    <t>Kantone und Konkordate</t>
  </si>
  <si>
    <t>Gemeinden und Gemeindezweckverbände</t>
  </si>
  <si>
    <t>Öffentliche Sozialversicherungen</t>
  </si>
  <si>
    <t>Öffentliche Unternehmungen</t>
  </si>
  <si>
    <t>Private Organisationen ohne Erwerbszweck</t>
  </si>
  <si>
    <t>Private Unternehmungen</t>
  </si>
  <si>
    <t>Private Haushalte</t>
  </si>
  <si>
    <t>Ausland</t>
  </si>
  <si>
    <t>Beteiligungen und Grundkapitalien</t>
  </si>
  <si>
    <t>Eigene Investitionsbeiträge</t>
  </si>
  <si>
    <t>Durchlaufende Investitionsbeiträge</t>
  </si>
  <si>
    <t>Übrige ausserordentliche Investitionen</t>
  </si>
  <si>
    <t>Ausserordentliche Investitionen</t>
  </si>
  <si>
    <t>Investitionsausgaben</t>
  </si>
  <si>
    <t>Investitionseinnahmen</t>
  </si>
  <si>
    <t>Übertragung von Grundstücken</t>
  </si>
  <si>
    <t>Übertragung von Strassen / Verkehrswegen</t>
  </si>
  <si>
    <t>Übertragung von Wasserbauten</t>
  </si>
  <si>
    <t>Übertragung übrige Tiefbauten</t>
  </si>
  <si>
    <t>Übertragung Hochbauten</t>
  </si>
  <si>
    <t>Übertragung Waldungen</t>
  </si>
  <si>
    <t>Übertragung Mobilien</t>
  </si>
  <si>
    <t>Übertragung übrige Sachanlagen</t>
  </si>
  <si>
    <t>Übertragung von Sachanlagen in das Finanzvermögen</t>
  </si>
  <si>
    <t>Tiefbau</t>
  </si>
  <si>
    <t>Verschiedene Sachanlagen</t>
  </si>
  <si>
    <t>Abgang immaterielle Anlagen</t>
  </si>
  <si>
    <t>Investitionsbeiträge für eigene Rechnung</t>
  </si>
  <si>
    <t>Rückzahlung von Darlehen</t>
  </si>
  <si>
    <t>Übertrag von Beteiligungen</t>
  </si>
  <si>
    <t>Rückzahlung eigener Investitionsbeiträge</t>
  </si>
  <si>
    <t>Durchlaufende Investtitionsbeitträge</t>
  </si>
  <si>
    <t>Ausserordentliche Investitionseinnahmen</t>
  </si>
  <si>
    <t>Passivierungen (Übertrag an Bilanz)</t>
  </si>
  <si>
    <t>Achtung Differenz Bilanz!!!</t>
  </si>
  <si>
    <t>Achtung Differenz Erfolgsrechnung!!!</t>
  </si>
  <si>
    <t>Achtung Differenz Investitionsrechnung!!!</t>
  </si>
  <si>
    <t>Zusätzlliche Angaben</t>
  </si>
  <si>
    <t>Aktivierungen (Übertrag an Bilanz)</t>
  </si>
  <si>
    <t>BRUTTOSCHULDEN</t>
  </si>
  <si>
    <t>Laufende Verpflichtungen</t>
  </si>
  <si>
    <t>Kurzfristige Verbindlichkeiten</t>
  </si>
  <si>
    <t>Derivative Finanzinstrumente</t>
  </si>
  <si>
    <t>BRUTTOVERSCHULDUNGSANTEIL</t>
  </si>
  <si>
    <t>Fiskalertrag</t>
  </si>
  <si>
    <t>Laufender Ertrag</t>
  </si>
  <si>
    <t>NETTOSCHULD I</t>
  </si>
  <si>
    <t xml:space="preserve">Fremdkapital </t>
  </si>
  <si>
    <t>10</t>
  </si>
  <si>
    <t>14</t>
  </si>
  <si>
    <t>29</t>
  </si>
  <si>
    <t>NETTOSCHULD II</t>
  </si>
  <si>
    <t>144</t>
  </si>
  <si>
    <t>145</t>
  </si>
  <si>
    <t>Beteiligungen/Grundkapitalien</t>
  </si>
  <si>
    <t>Nettoschuld I (+ = Nettovermögen I)</t>
  </si>
  <si>
    <t>Nettoschuld II (+ = Nettovermögen II)</t>
  </si>
  <si>
    <t>NETTOSCHULD I (-) PRO EINWOHNER</t>
  </si>
  <si>
    <t>NETTOSCHULD II (-) PRO EINWOHNER</t>
  </si>
  <si>
    <t>EIGENKAPITAL</t>
  </si>
  <si>
    <t>EIGENKAPITALDECKUNGSGRAD</t>
  </si>
  <si>
    <t>3</t>
  </si>
  <si>
    <t>Laufender Aufwand</t>
  </si>
  <si>
    <t>37</t>
  </si>
  <si>
    <t>38</t>
  </si>
  <si>
    <t>ausserordentlicher Aufwand</t>
  </si>
  <si>
    <t>39</t>
  </si>
  <si>
    <t>Total Aufwand</t>
  </si>
  <si>
    <t>299</t>
  </si>
  <si>
    <t>Bilanzüberschuss/-fehlbetrag</t>
  </si>
  <si>
    <t>Bilanzüberschuss/-fehlbetrag / Laufender Aufwand * 100</t>
  </si>
  <si>
    <t>Aufwertungen Verwaltungsvermögen (VV)</t>
  </si>
  <si>
    <t>SELBSTFINANZIERUNG</t>
  </si>
  <si>
    <t>9000</t>
  </si>
  <si>
    <t>9001</t>
  </si>
  <si>
    <t xml:space="preserve">Aufwandüberschuss Erfolgsrechnung </t>
  </si>
  <si>
    <t>33</t>
  </si>
  <si>
    <t>Abschreibungen VV</t>
  </si>
  <si>
    <t>366</t>
  </si>
  <si>
    <t>4490</t>
  </si>
  <si>
    <t>Aufwertung VV</t>
  </si>
  <si>
    <t>383</t>
  </si>
  <si>
    <t>A.o.Transferaufwand; zus.Abschr.auf Darl,, Beteilig,, Invest.Beitr.</t>
  </si>
  <si>
    <t>351</t>
  </si>
  <si>
    <t>Einlagen in Fonds und Spezialfinanzierungen im EK</t>
  </si>
  <si>
    <t>451</t>
  </si>
  <si>
    <t>389</t>
  </si>
  <si>
    <t>489</t>
  </si>
  <si>
    <t>SELBSTFINANZIERUNGSANTEIL</t>
  </si>
  <si>
    <t>40</t>
  </si>
  <si>
    <t>41</t>
  </si>
  <si>
    <t>42</t>
  </si>
  <si>
    <t>43</t>
  </si>
  <si>
    <t>46</t>
  </si>
  <si>
    <t>Selbstfinanzierung</t>
  </si>
  <si>
    <t>SELBSTFINANZIERUNGSRAD</t>
  </si>
  <si>
    <t>Selbstfinanzierung / Nettoinvestitionen * 100</t>
  </si>
  <si>
    <t>Nettoinvestitionen</t>
  </si>
  <si>
    <t>KAPITALDIENSTANTEIL</t>
  </si>
  <si>
    <t>340</t>
  </si>
  <si>
    <t>440</t>
  </si>
  <si>
    <t>Nettozinsaufwand</t>
  </si>
  <si>
    <t>330</t>
  </si>
  <si>
    <t>Planmässige Abschreibungen</t>
  </si>
  <si>
    <t>332</t>
  </si>
  <si>
    <t>SALDO DER FINANZERTRÄGE</t>
  </si>
  <si>
    <t>44</t>
  </si>
  <si>
    <t>Finanzerträge</t>
  </si>
  <si>
    <t>34</t>
  </si>
  <si>
    <t>Saldo der Finanzerträge</t>
  </si>
  <si>
    <t>BRUTTORENDITE DES FINANZVERMÖGENS</t>
  </si>
  <si>
    <t>441</t>
  </si>
  <si>
    <t>442</t>
  </si>
  <si>
    <t>443</t>
  </si>
  <si>
    <t>444</t>
  </si>
  <si>
    <t>ZINSBELASTUNGSANTEIL</t>
  </si>
  <si>
    <t>(Zinsaufwand - Zinsertrag * 100) / Laufender Ertrag</t>
  </si>
  <si>
    <t>INVESTITIONSANTEIL</t>
  </si>
  <si>
    <t>50</t>
  </si>
  <si>
    <t>51</t>
  </si>
  <si>
    <t>Invesitionen auf Rechnung Dritter</t>
  </si>
  <si>
    <t>52</t>
  </si>
  <si>
    <t>54</t>
  </si>
  <si>
    <t>55</t>
  </si>
  <si>
    <t>56</t>
  </si>
  <si>
    <t>Bruttoinvestitionen</t>
  </si>
  <si>
    <t>Total Aufwand Erfolgsrechnung</t>
  </si>
  <si>
    <t>Abschreibung Verwaltungsvermögen</t>
  </si>
  <si>
    <t>35</t>
  </si>
  <si>
    <t>Ausserordenlicher Aufwand</t>
  </si>
  <si>
    <t>siehe oben</t>
  </si>
  <si>
    <t>Konsolidierter Gesamtaufwand</t>
  </si>
  <si>
    <t>Bruttoinvestitionen / konsolierter Gesamtaufwand * 100</t>
  </si>
  <si>
    <t>Bruttoschulden * 100 / Laufender Ertrag</t>
  </si>
  <si>
    <t>GESTUFER ERFOLGSAUSWEIS</t>
  </si>
  <si>
    <t>30</t>
  </si>
  <si>
    <t>31</t>
  </si>
  <si>
    <t>36</t>
  </si>
  <si>
    <t>Betrieblicher Aufwand</t>
  </si>
  <si>
    <t>Verschiedene Eträge</t>
  </si>
  <si>
    <t>45</t>
  </si>
  <si>
    <t>47</t>
  </si>
  <si>
    <t>Betrieblicher Etrag</t>
  </si>
  <si>
    <t>Operatives Ergebnis</t>
  </si>
  <si>
    <t>Ausserordentlicher Aufwand</t>
  </si>
  <si>
    <t>48</t>
  </si>
  <si>
    <t>Ergebnis aus Finanzierung</t>
  </si>
  <si>
    <t>Gesamtergebnis (Operatives und a.o. Ergebnis)</t>
  </si>
  <si>
    <t>Ausserordentliches Ergebnis</t>
  </si>
  <si>
    <t>BILANZ</t>
  </si>
  <si>
    <t>(- = Gewinn / + = Verlust)</t>
  </si>
  <si>
    <t>&lt; 50% = sehr gut</t>
  </si>
  <si>
    <t>50%-100% = gut</t>
  </si>
  <si>
    <t>über 100%-150% = mittel</t>
  </si>
  <si>
    <t>über 150%-200% = schlecht</t>
  </si>
  <si>
    <t>&gt; 0 = Nettovermögen</t>
  </si>
  <si>
    <t>Verschuldung</t>
  </si>
  <si>
    <t>0 bis -1000 = gering</t>
  </si>
  <si>
    <t>über -5000 = sehr hoch</t>
  </si>
  <si>
    <t>&lt; 100% = gut</t>
  </si>
  <si>
    <t>über 100-150% = genügend</t>
  </si>
  <si>
    <t>&gt; 150% = schlecht</t>
  </si>
  <si>
    <t>&gt; 200% = Schuldenbremse!</t>
  </si>
  <si>
    <t>&gt; 20% = gut</t>
  </si>
  <si>
    <t>10%-20% = mittel</t>
  </si>
  <si>
    <t>&lt; 10% = schlecht</t>
  </si>
  <si>
    <t>80% - 100% = genügend</t>
  </si>
  <si>
    <t>&gt; 100% = gut</t>
  </si>
  <si>
    <t>&lt; 80% = schlecht</t>
  </si>
  <si>
    <t>Belastung</t>
  </si>
  <si>
    <t>bis 5% = gering</t>
  </si>
  <si>
    <t>über 5% bis 15% = tragbar</t>
  </si>
  <si>
    <t>über 15% = hoch</t>
  </si>
  <si>
    <t>Bruttoschulden (+)</t>
  </si>
  <si>
    <t>&lt; 0% - 4% = gut</t>
  </si>
  <si>
    <t>über 4 -10% = genügend</t>
  </si>
  <si>
    <t>&gt; 10% und mehr = schlecht</t>
  </si>
  <si>
    <t>Investitionstätigkeit</t>
  </si>
  <si>
    <t>unter 10% = schwach</t>
  </si>
  <si>
    <t>10% - 20% = mittel</t>
  </si>
  <si>
    <t>über 20% bis 40% = stark</t>
  </si>
  <si>
    <t>über 40% = sehr stark</t>
  </si>
  <si>
    <t>Selbstfinanzierung / Laufender Ertrag * 100</t>
  </si>
  <si>
    <t>Ziel = 12% und mehr</t>
  </si>
  <si>
    <t>Total Aktiven</t>
  </si>
  <si>
    <t>Total Passiven</t>
  </si>
  <si>
    <t>gut, wenn Finanzerträge &gt;</t>
  </si>
  <si>
    <t>als die Finanzaufwände sind.</t>
  </si>
  <si>
    <t>Ergebnis aus betrieblicher Tätigkeit</t>
  </si>
  <si>
    <t>Nettozinsaufwand+Abschreibungen VV / Laufender Ertrag * 100</t>
  </si>
  <si>
    <t>&gt; 200% = kritisch</t>
  </si>
  <si>
    <t>über -1000 bis -2500 = mittel</t>
  </si>
  <si>
    <t>über -2500 bis -5000 = hoch</t>
  </si>
  <si>
    <t>Total planmässige Abschreibungen VV</t>
  </si>
  <si>
    <t>Temporäre Arbeitskräfte</t>
  </si>
  <si>
    <t>Dienstleistungen/Personalkosten</t>
  </si>
  <si>
    <t>Ertrag Finanzvermögen</t>
  </si>
  <si>
    <t>Ertrag Finanzvermögen / Finanzvermögen * 100</t>
  </si>
  <si>
    <t>387</t>
  </si>
  <si>
    <t>NETTOVERSCHULDUNGSQUOTIENT (+)</t>
  </si>
  <si>
    <t>muss im positiven Bereich</t>
  </si>
  <si>
    <t>liegen und ist abhänig vom</t>
  </si>
  <si>
    <t>Zinsneveau = Indikator für</t>
  </si>
  <si>
    <t>die Bewirtschaftung des FV</t>
  </si>
  <si>
    <t>Nettoschuld I / Einwohner  (+ = Vermögen)</t>
  </si>
  <si>
    <t>Nettoschuld II / Einwohner (+ = Vermögen)</t>
  </si>
  <si>
    <t>Nettoschuld I / Fiskalertrag x 100 (- = Vermögen)</t>
  </si>
  <si>
    <t>49</t>
  </si>
  <si>
    <t xml:space="preserve"> Interne Verrechnungen</t>
  </si>
  <si>
    <t>4</t>
  </si>
  <si>
    <t>Total Ertrag</t>
  </si>
  <si>
    <t>Ertragsüberschuss (-) / Aufwandüberschuss (+)</t>
  </si>
  <si>
    <t>NETTOINVESTITIONEN</t>
  </si>
  <si>
    <t>5</t>
  </si>
  <si>
    <t>6</t>
  </si>
  <si>
    <t>FINANZIERUNG</t>
  </si>
  <si>
    <t>Zunahme Nettoinvestitionen</t>
  </si>
  <si>
    <t>Abschreibungen</t>
  </si>
  <si>
    <t>+-</t>
  </si>
  <si>
    <t>351/389</t>
  </si>
  <si>
    <t>Einlagen in Fonds und SPF im EK</t>
  </si>
  <si>
    <t>451/489</t>
  </si>
  <si>
    <t>Entnahmen aus Fonds und SPF im EK</t>
  </si>
  <si>
    <t>KAPITALVERÄNDERUNG</t>
  </si>
  <si>
    <t>Aktivierung Verwaltungsvermögen</t>
  </si>
  <si>
    <t>Passivierung Verwaltungsvermögen</t>
  </si>
  <si>
    <t>Zunahme (+) / Abnahme (-) Eigenkapital</t>
  </si>
  <si>
    <t>Ertragsüberschuss (+) / Aufwandüberschuss (-) ER</t>
  </si>
  <si>
    <t xml:space="preserve">ER Ertrags- (-) / Aufwandüberschuss (+) </t>
  </si>
  <si>
    <t>Funktion</t>
  </si>
  <si>
    <t>0</t>
  </si>
  <si>
    <t>01</t>
  </si>
  <si>
    <t>Legislative und Exekutive</t>
  </si>
  <si>
    <t>02</t>
  </si>
  <si>
    <t>Allgemeine Dienste</t>
  </si>
  <si>
    <t>03</t>
  </si>
  <si>
    <t>08</t>
  </si>
  <si>
    <t>F&amp;E in allgemeine Verwaltung</t>
  </si>
  <si>
    <t>11</t>
  </si>
  <si>
    <t>Öffentliche Sicherheit</t>
  </si>
  <si>
    <t>12</t>
  </si>
  <si>
    <t>Rechtssprechung</t>
  </si>
  <si>
    <t>13</t>
  </si>
  <si>
    <t>Strafvollzug</t>
  </si>
  <si>
    <t>ALLGEMEINDE VERWALTUNG</t>
  </si>
  <si>
    <t>0110</t>
  </si>
  <si>
    <t xml:space="preserve">Legislative </t>
  </si>
  <si>
    <t>0120</t>
  </si>
  <si>
    <t>Exekutive</t>
  </si>
  <si>
    <t>0210</t>
  </si>
  <si>
    <t>Finanz- und Steuerverwaltung</t>
  </si>
  <si>
    <t>0220</t>
  </si>
  <si>
    <t>Allgemeine Dienste, übrige</t>
  </si>
  <si>
    <t>0230</t>
  </si>
  <si>
    <t>Meteorologie und Landestopographie</t>
  </si>
  <si>
    <t>0290</t>
  </si>
  <si>
    <t>Verwaltungsliegenschaften n.a.g</t>
  </si>
  <si>
    <t>Beziehungen zum Ausland</t>
  </si>
  <si>
    <t>0310</t>
  </si>
  <si>
    <t>Politische Beziehungen</t>
  </si>
  <si>
    <t>0320</t>
  </si>
  <si>
    <t>Zivile Konfliktbearbeitung</t>
  </si>
  <si>
    <t>0330</t>
  </si>
  <si>
    <t>Wirtschaftliche Beziehungen</t>
  </si>
  <si>
    <t>0340</t>
  </si>
  <si>
    <t>Entwicklungszusammenarbeit</t>
  </si>
  <si>
    <t>0350</t>
  </si>
  <si>
    <t>Transitionsländer / Osthilfe</t>
  </si>
  <si>
    <t>0800</t>
  </si>
  <si>
    <t>1</t>
  </si>
  <si>
    <t>ÖFFENTL.ORDNUNG, SICHERHEIT, VERTEIDIGUNG</t>
  </si>
  <si>
    <t>1110</t>
  </si>
  <si>
    <t>Polizei</t>
  </si>
  <si>
    <t>1120</t>
  </si>
  <si>
    <t>Verkehrssicherheit</t>
  </si>
  <si>
    <t>1130</t>
  </si>
  <si>
    <t>Strassenverkehrsamt</t>
  </si>
  <si>
    <t>1200</t>
  </si>
  <si>
    <t>1300</t>
  </si>
  <si>
    <t>1400</t>
  </si>
  <si>
    <t>1406</t>
  </si>
  <si>
    <t>Allgemeines Rechtswesen</t>
  </si>
  <si>
    <t>Regionales Zivilstandsamt</t>
  </si>
  <si>
    <t>1407</t>
  </si>
  <si>
    <t>Regionales Gemeindeammann- und Betreibungsamt</t>
  </si>
  <si>
    <t>15</t>
  </si>
  <si>
    <t>Feuerwehr</t>
  </si>
  <si>
    <t>1500</t>
  </si>
  <si>
    <t>1505</t>
  </si>
  <si>
    <t>Löschwasserversorgung</t>
  </si>
  <si>
    <t>1506</t>
  </si>
  <si>
    <t>Regionale Feuerwehrorganisation</t>
  </si>
  <si>
    <t>16</t>
  </si>
  <si>
    <t>Militärische Verteidigung</t>
  </si>
  <si>
    <t>1610</t>
  </si>
  <si>
    <t>1620</t>
  </si>
  <si>
    <t>Zivilschutz (allgemein)</t>
  </si>
  <si>
    <t>1621</t>
  </si>
  <si>
    <t>Ziviler Führungsstab</t>
  </si>
  <si>
    <t>1626</t>
  </si>
  <si>
    <t>Regionale Zivilschutzorganisation</t>
  </si>
  <si>
    <t>1630</t>
  </si>
  <si>
    <t>Militärische Hilfe im Ausland, Friedensförderung</t>
  </si>
  <si>
    <t>18</t>
  </si>
  <si>
    <t>F&amp;E in öff.Ordnung, Sicherheit, Verteidigung</t>
  </si>
  <si>
    <t>1810</t>
  </si>
  <si>
    <t>F&amp;E in öff. Ordnung und Sicherheit</t>
  </si>
  <si>
    <t>1820</t>
  </si>
  <si>
    <t>F&amp;E in Verteidigung</t>
  </si>
  <si>
    <t>2</t>
  </si>
  <si>
    <t>BILDUNG</t>
  </si>
  <si>
    <t>21</t>
  </si>
  <si>
    <t>Obligatorische Schule</t>
  </si>
  <si>
    <t>2110</t>
  </si>
  <si>
    <t>Kindergarten</t>
  </si>
  <si>
    <t>2111</t>
  </si>
  <si>
    <t>Grundstufe / Eingangsstufe / Basisstufe</t>
  </si>
  <si>
    <t>2120</t>
  </si>
  <si>
    <t>Primarstufe</t>
  </si>
  <si>
    <t>2130</t>
  </si>
  <si>
    <t>Oberstufe</t>
  </si>
  <si>
    <t>2140</t>
  </si>
  <si>
    <t>Musikschulen</t>
  </si>
  <si>
    <t>2170</t>
  </si>
  <si>
    <t>Schulliegenschaften</t>
  </si>
  <si>
    <t>2180</t>
  </si>
  <si>
    <t>Tagesbetreuung</t>
  </si>
  <si>
    <t>2190</t>
  </si>
  <si>
    <t>Volksschule Sonstiges</t>
  </si>
  <si>
    <t>22</t>
  </si>
  <si>
    <t>2200</t>
  </si>
  <si>
    <t>Sonderschulen</t>
  </si>
  <si>
    <t>23</t>
  </si>
  <si>
    <t>Berufliche Grundbildung</t>
  </si>
  <si>
    <t>25</t>
  </si>
  <si>
    <t>2300</t>
  </si>
  <si>
    <t>Allgemeinbildende Schulen</t>
  </si>
  <si>
    <t>2510</t>
  </si>
  <si>
    <t>Gymnasiale Maturitätsschulen</t>
  </si>
  <si>
    <t>2520</t>
  </si>
  <si>
    <t>Fachmittelschulen u.a.allgemeinbild.Schulen</t>
  </si>
  <si>
    <t>26</t>
  </si>
  <si>
    <t>Höhere Berufsbildung</t>
  </si>
  <si>
    <t>2600</t>
  </si>
  <si>
    <t>27</t>
  </si>
  <si>
    <t>Hochschulen</t>
  </si>
  <si>
    <t>2192</t>
  </si>
  <si>
    <t>2710</t>
  </si>
  <si>
    <t>Universitäre Hochschulen</t>
  </si>
  <si>
    <t>2720</t>
  </si>
  <si>
    <t>Pädagogische Hochschulen</t>
  </si>
  <si>
    <t>2730</t>
  </si>
  <si>
    <t>Fachhochschulen</t>
  </si>
  <si>
    <t>28</t>
  </si>
  <si>
    <t>Forschung</t>
  </si>
  <si>
    <t>2810</t>
  </si>
  <si>
    <t>Grundlagenforschung</t>
  </si>
  <si>
    <t>2820</t>
  </si>
  <si>
    <t>F&amp;E in Bildung</t>
  </si>
  <si>
    <t>Übriges Bildungswesen</t>
  </si>
  <si>
    <t>2910</t>
  </si>
  <si>
    <t>Verwaltung</t>
  </si>
  <si>
    <t>2990</t>
  </si>
  <si>
    <t>Bildung, n.a.g.</t>
  </si>
  <si>
    <t>KULTUR, SPORT UND FREIZEIT, KIRCHE</t>
  </si>
  <si>
    <t>Kulturerbe</t>
  </si>
  <si>
    <t>3110</t>
  </si>
  <si>
    <t>Museen und bildende Kunst</t>
  </si>
  <si>
    <t>3120</t>
  </si>
  <si>
    <t>Dankmalpflege und Heimatschutz</t>
  </si>
  <si>
    <t>32</t>
  </si>
  <si>
    <t>Kultur, übrige</t>
  </si>
  <si>
    <t>3210</t>
  </si>
  <si>
    <t>Bibliotheken</t>
  </si>
  <si>
    <t>3220</t>
  </si>
  <si>
    <t>Konzert und Theater</t>
  </si>
  <si>
    <t>3290</t>
  </si>
  <si>
    <t>Kultur n.a.g.</t>
  </si>
  <si>
    <t>Medien</t>
  </si>
  <si>
    <t>3310</t>
  </si>
  <si>
    <t>Film und Kino</t>
  </si>
  <si>
    <t>3320</t>
  </si>
  <si>
    <t>Massenmedien</t>
  </si>
  <si>
    <t>3321</t>
  </si>
  <si>
    <t>Antennen- und Kabelanlagen (SF)</t>
  </si>
  <si>
    <t>Sport und Freizeit</t>
  </si>
  <si>
    <t>3410</t>
  </si>
  <si>
    <t>Sport</t>
  </si>
  <si>
    <t>3420</t>
  </si>
  <si>
    <t>Freizeit</t>
  </si>
  <si>
    <t>Kirchen u. religiöse Angelegeneheiten</t>
  </si>
  <si>
    <t>3500</t>
  </si>
  <si>
    <t>F&amp;E in Kultur, Sport, Freizeit u. Kirche</t>
  </si>
  <si>
    <t>3810</t>
  </si>
  <si>
    <t>F&amp;E Kultur und Medien</t>
  </si>
  <si>
    <t>3820</t>
  </si>
  <si>
    <t>F&amp;E in Sport und Freizeit</t>
  </si>
  <si>
    <t>GESUNDHEIT</t>
  </si>
  <si>
    <t>Spitäler, Kranken- u. Pflegeheime</t>
  </si>
  <si>
    <t>4110</t>
  </si>
  <si>
    <t>Spitäler</t>
  </si>
  <si>
    <t>4120</t>
  </si>
  <si>
    <t>Alters-, Kranken- u. Pflegeheime</t>
  </si>
  <si>
    <t>4130</t>
  </si>
  <si>
    <t>Psychiatrische Kliniken</t>
  </si>
  <si>
    <t>Ambulante Krankenpflege</t>
  </si>
  <si>
    <t>4210</t>
  </si>
  <si>
    <t>4220</t>
  </si>
  <si>
    <t>Rettungsdienste</t>
  </si>
  <si>
    <t>Gesundheitsprävention</t>
  </si>
  <si>
    <t>4310</t>
  </si>
  <si>
    <t>Alkohol- und Drogenmissbrauch</t>
  </si>
  <si>
    <t>4320</t>
  </si>
  <si>
    <t>Krankheitsbekämpfung, übrige</t>
  </si>
  <si>
    <t>4330</t>
  </si>
  <si>
    <t>Schulgesundheitsdienst</t>
  </si>
  <si>
    <t>4340</t>
  </si>
  <si>
    <t>Lebensmittelkontrolle</t>
  </si>
  <si>
    <t>F&amp;E in Gesundheit</t>
  </si>
  <si>
    <t>Gesundheitswesen, n.a.g.</t>
  </si>
  <si>
    <t>4800</t>
  </si>
  <si>
    <t>4900</t>
  </si>
  <si>
    <t>SOZIALE SICHERHEIT</t>
  </si>
  <si>
    <t>5110</t>
  </si>
  <si>
    <t>Krankenversicherung</t>
  </si>
  <si>
    <t>Krankheit und Unfall</t>
  </si>
  <si>
    <t>5120</t>
  </si>
  <si>
    <t>Prämienverbilligung</t>
  </si>
  <si>
    <t>5130</t>
  </si>
  <si>
    <t>Unfallversicherung</t>
  </si>
  <si>
    <t>5140</t>
  </si>
  <si>
    <t>Militärversicherung</t>
  </si>
  <si>
    <t>Invalidität</t>
  </si>
  <si>
    <t>5210</t>
  </si>
  <si>
    <t>Invalidenversicherung IV</t>
  </si>
  <si>
    <t>5220</t>
  </si>
  <si>
    <t>Ergänzungsleistungen IV</t>
  </si>
  <si>
    <t>5230</t>
  </si>
  <si>
    <t>Invalidenheime</t>
  </si>
  <si>
    <t>5240</t>
  </si>
  <si>
    <t>Leistungen an Invalide</t>
  </si>
  <si>
    <t>53</t>
  </si>
  <si>
    <t>Alter und Hinterlassene</t>
  </si>
  <si>
    <t>5310</t>
  </si>
  <si>
    <t>Alters- u. Hinterlassenenversich.AHV</t>
  </si>
  <si>
    <t>5320</t>
  </si>
  <si>
    <t>Ergänzungsleistungen AHV</t>
  </si>
  <si>
    <t>5330</t>
  </si>
  <si>
    <t>Leistungen an Pensionierte</t>
  </si>
  <si>
    <t>5340</t>
  </si>
  <si>
    <t>Alterswohnungen</t>
  </si>
  <si>
    <t>5350</t>
  </si>
  <si>
    <t>Familie und Jugend</t>
  </si>
  <si>
    <t>5410</t>
  </si>
  <si>
    <t>Familienzulagen</t>
  </si>
  <si>
    <t>5420</t>
  </si>
  <si>
    <t>Mutterschaftsversicherung</t>
  </si>
  <si>
    <t>5430</t>
  </si>
  <si>
    <t>Alimentenbevorschussund u. -Inkasso</t>
  </si>
  <si>
    <t>5440</t>
  </si>
  <si>
    <t>Jugendschutz (allgemein)</t>
  </si>
  <si>
    <t>5441</t>
  </si>
  <si>
    <t>Kinder- und Jugenheime</t>
  </si>
  <si>
    <t>5450</t>
  </si>
  <si>
    <t>Leistungen an Familien (allgemein)</t>
  </si>
  <si>
    <t>5451</t>
  </si>
  <si>
    <t>Kinderkrippen und Kinderhorte</t>
  </si>
  <si>
    <t>Arbeitslosigkeit</t>
  </si>
  <si>
    <t>5510</t>
  </si>
  <si>
    <t>Arbeitslosenversicherung</t>
  </si>
  <si>
    <t>5520</t>
  </si>
  <si>
    <t>Leistungen Arbeitslose</t>
  </si>
  <si>
    <t>5590</t>
  </si>
  <si>
    <t>Arbeitslosigkeit n.a.g.</t>
  </si>
  <si>
    <t>Soziales Wohnungswesen</t>
  </si>
  <si>
    <t>5600</t>
  </si>
  <si>
    <t>57</t>
  </si>
  <si>
    <t>Sozialhilfe und Asylwesen</t>
  </si>
  <si>
    <t>5710</t>
  </si>
  <si>
    <t>Beihilfen</t>
  </si>
  <si>
    <t>5720</t>
  </si>
  <si>
    <t>Wirtschaftliche Hilfe</t>
  </si>
  <si>
    <t>5721</t>
  </si>
  <si>
    <t>Freiwillige wirtschaftliche Hilfe</t>
  </si>
  <si>
    <t>5730</t>
  </si>
  <si>
    <t>Asylwesen</t>
  </si>
  <si>
    <t>5790</t>
  </si>
  <si>
    <t>Fürsorge, n.a.g.</t>
  </si>
  <si>
    <t>58</t>
  </si>
  <si>
    <t>F&amp;E in soziale Wohlfahrt</t>
  </si>
  <si>
    <t>59</t>
  </si>
  <si>
    <t>5800</t>
  </si>
  <si>
    <t>Soziale Wohlfahrt n.a.g.</t>
  </si>
  <si>
    <t>5910</t>
  </si>
  <si>
    <t>Erwerbsatzodnung</t>
  </si>
  <si>
    <t>5920</t>
  </si>
  <si>
    <t>Hilfsaktionen im Inland</t>
  </si>
  <si>
    <t>5930</t>
  </si>
  <si>
    <t>Hilfsaktionen im Ausland</t>
  </si>
  <si>
    <t>VERKEHR</t>
  </si>
  <si>
    <t>61</t>
  </si>
  <si>
    <t>Strassenverkehr</t>
  </si>
  <si>
    <t>6110</t>
  </si>
  <si>
    <t>Natioanlstrasse</t>
  </si>
  <si>
    <t>6120</t>
  </si>
  <si>
    <t>Hauptstrasse nach Bundesrecht</t>
  </si>
  <si>
    <t>6130</t>
  </si>
  <si>
    <t>Kantonsstrassen, übrige</t>
  </si>
  <si>
    <t>6150</t>
  </si>
  <si>
    <t>Gemeindestrassen</t>
  </si>
  <si>
    <t>6180</t>
  </si>
  <si>
    <t>Privatstrassen</t>
  </si>
  <si>
    <t>6190</t>
  </si>
  <si>
    <t>Strassen n.a.g.</t>
  </si>
  <si>
    <t>62</t>
  </si>
  <si>
    <t>Öffentlicher Verkehr</t>
  </si>
  <si>
    <t>6210</t>
  </si>
  <si>
    <t>Bahninfrastruktur</t>
  </si>
  <si>
    <t>6220</t>
  </si>
  <si>
    <t>Regionalverkehr</t>
  </si>
  <si>
    <t>6230</t>
  </si>
  <si>
    <t>Agglomerationsverkehr</t>
  </si>
  <si>
    <t>6290</t>
  </si>
  <si>
    <t>Öffentlicher Verkehr n.a.g.</t>
  </si>
  <si>
    <t xml:space="preserve">63 </t>
  </si>
  <si>
    <t>Verkehr, übrige</t>
  </si>
  <si>
    <t>6310</t>
  </si>
  <si>
    <t>Schifffahrt</t>
  </si>
  <si>
    <t>6320</t>
  </si>
  <si>
    <t>Luft- und Raumfahrt</t>
  </si>
  <si>
    <t>6330</t>
  </si>
  <si>
    <t>Sonstige Transportsysteme</t>
  </si>
  <si>
    <t>6340</t>
  </si>
  <si>
    <t>Verkehrsplanung</t>
  </si>
  <si>
    <t>64</t>
  </si>
  <si>
    <t>6400</t>
  </si>
  <si>
    <t>Nachrichtenübermitttlung</t>
  </si>
  <si>
    <t>Nachrichtenübermittlung</t>
  </si>
  <si>
    <t>68</t>
  </si>
  <si>
    <t>F&amp;E in Verkehr und Nachrichten</t>
  </si>
  <si>
    <t>6810</t>
  </si>
  <si>
    <t xml:space="preserve">F&amp;E in Verkehr </t>
  </si>
  <si>
    <t>6820</t>
  </si>
  <si>
    <t>F&amp;E in Nachrichtenübermittlung</t>
  </si>
  <si>
    <t>7</t>
  </si>
  <si>
    <t>UMWELTSCHUTTZ UND RAUMORDNUNG</t>
  </si>
  <si>
    <t>71</t>
  </si>
  <si>
    <t>Wasserversorgung</t>
  </si>
  <si>
    <t>7100</t>
  </si>
  <si>
    <t>Wasserversorgung (allgemein)</t>
  </si>
  <si>
    <t>7101</t>
  </si>
  <si>
    <t>Wasserwerk (SF)</t>
  </si>
  <si>
    <t>72</t>
  </si>
  <si>
    <t>Abwasserbeseitigung</t>
  </si>
  <si>
    <t>7200</t>
  </si>
  <si>
    <t>Abwasserbeseitigung (allgemein)</t>
  </si>
  <si>
    <t>7201</t>
  </si>
  <si>
    <t>Abwasserbeseitigung (SF)</t>
  </si>
  <si>
    <t>Kläranlagen (SF)</t>
  </si>
  <si>
    <t>73</t>
  </si>
  <si>
    <t>Abfallwirtschaft</t>
  </si>
  <si>
    <t>7300</t>
  </si>
  <si>
    <t>7301</t>
  </si>
  <si>
    <t>Abfallwirtschaft (SF)</t>
  </si>
  <si>
    <t>Abfallwirtschaft (allgemein)</t>
  </si>
  <si>
    <t>7302</t>
  </si>
  <si>
    <t>Kehrichtverbrennungsanlagen</t>
  </si>
  <si>
    <t>74</t>
  </si>
  <si>
    <t>Verbauungen</t>
  </si>
  <si>
    <t>7410</t>
  </si>
  <si>
    <t>7420</t>
  </si>
  <si>
    <t>Lawinenverbauungen</t>
  </si>
  <si>
    <t>75</t>
  </si>
  <si>
    <t>Arten- und Landschaftsschutz</t>
  </si>
  <si>
    <t>7500</t>
  </si>
  <si>
    <t>76</t>
  </si>
  <si>
    <t>Bekämpfung von Umweltverschmutzung</t>
  </si>
  <si>
    <t>7610</t>
  </si>
  <si>
    <t>Luftreinhaltung und Klimaschutz</t>
  </si>
  <si>
    <t>Bekämpfung von Umweltverschmutzung, n.a.g.</t>
  </si>
  <si>
    <t>77</t>
  </si>
  <si>
    <t>Übriger Umweltschutz</t>
  </si>
  <si>
    <t>7710</t>
  </si>
  <si>
    <t>Friedhof und Bestattung (allgemein)</t>
  </si>
  <si>
    <t>7716</t>
  </si>
  <si>
    <t>Regionale Friedhoforganisation</t>
  </si>
  <si>
    <t>7790</t>
  </si>
  <si>
    <t>Umweltschutz n.a.g.</t>
  </si>
  <si>
    <t>78</t>
  </si>
  <si>
    <t>F&amp;E in Umweltschutz</t>
  </si>
  <si>
    <t>7810</t>
  </si>
  <si>
    <t>F&amp;E in Umwelt</t>
  </si>
  <si>
    <t>7820</t>
  </si>
  <si>
    <t>F&amp;E in Raumordung</t>
  </si>
  <si>
    <t>79</t>
  </si>
  <si>
    <t>Raumordung</t>
  </si>
  <si>
    <t>7900</t>
  </si>
  <si>
    <t>Raumordnung (allgemein)</t>
  </si>
  <si>
    <t>7906</t>
  </si>
  <si>
    <t>Regionale Planungsgruppen</t>
  </si>
  <si>
    <t>8</t>
  </si>
  <si>
    <t>VOLKSWIRTSCHAFT</t>
  </si>
  <si>
    <t>81</t>
  </si>
  <si>
    <t>Landwirtschaft</t>
  </si>
  <si>
    <t>8110</t>
  </si>
  <si>
    <t>Verwaltung Landwirtschaft, Vollzug u. Kontrolle</t>
  </si>
  <si>
    <t>8120</t>
  </si>
  <si>
    <t>Landw. Strukturverbesserungen</t>
  </si>
  <si>
    <t>8130</t>
  </si>
  <si>
    <t>Landw. Produktionsverbesserungen Vieh</t>
  </si>
  <si>
    <t>8140</t>
  </si>
  <si>
    <t>Landw. Produktionsverbesserungen Pflanzen</t>
  </si>
  <si>
    <t>8150</t>
  </si>
  <si>
    <t>Wirtschaftliche Massnahmen in der Landwirtschaft</t>
  </si>
  <si>
    <t>8160</t>
  </si>
  <si>
    <t>Direktzahlungen an die Landwirtschaft</t>
  </si>
  <si>
    <t>8170</t>
  </si>
  <si>
    <t>Soziale Massnahmen in der Landwirtschaft</t>
  </si>
  <si>
    <t>8180</t>
  </si>
  <si>
    <t>Alpwirtschaft</t>
  </si>
  <si>
    <t>8190</t>
  </si>
  <si>
    <t>Landwirtschaft n.a.g.</t>
  </si>
  <si>
    <t>82</t>
  </si>
  <si>
    <t>Forstwirtschaft</t>
  </si>
  <si>
    <t>8200</t>
  </si>
  <si>
    <t>83</t>
  </si>
  <si>
    <t>Jagd und Fischerei</t>
  </si>
  <si>
    <t>8300</t>
  </si>
  <si>
    <t>84</t>
  </si>
  <si>
    <t>Tourismus</t>
  </si>
  <si>
    <t>85</t>
  </si>
  <si>
    <t>Industrie, Gewerbe, Handel</t>
  </si>
  <si>
    <t>8400</t>
  </si>
  <si>
    <t>8500</t>
  </si>
  <si>
    <t>86</t>
  </si>
  <si>
    <t>Banken</t>
  </si>
  <si>
    <t>8600</t>
  </si>
  <si>
    <t>87</t>
  </si>
  <si>
    <t>Brennstoffe und Energie</t>
  </si>
  <si>
    <t>8710</t>
  </si>
  <si>
    <t>Elektrizität (allgemein)</t>
  </si>
  <si>
    <t>Elektrizitätswerk, -Netz (SF)</t>
  </si>
  <si>
    <t>8711</t>
  </si>
  <si>
    <t>8712</t>
  </si>
  <si>
    <t>Elektrizitätswerk-Stromhandel (SF)</t>
  </si>
  <si>
    <t>8720</t>
  </si>
  <si>
    <t>Erdäl und Gas (allgemein)</t>
  </si>
  <si>
    <t>8730</t>
  </si>
  <si>
    <t>Nichtelektrische Energie (allgemein)</t>
  </si>
  <si>
    <t>8731</t>
  </si>
  <si>
    <t>Fernwärmebetrieb nichteletr. Energie (SF)</t>
  </si>
  <si>
    <t>8790</t>
  </si>
  <si>
    <t>Brennstoffe, n.a.g.</t>
  </si>
  <si>
    <t>8791</t>
  </si>
  <si>
    <t>Fernwärmebetrieb Brennstoffe, n.a.g. (SF)</t>
  </si>
  <si>
    <t>99</t>
  </si>
  <si>
    <t>88</t>
  </si>
  <si>
    <t>F&amp;E in Volkswirtschaft</t>
  </si>
  <si>
    <t>8810</t>
  </si>
  <si>
    <t>F&amp;E in Landwirtschaft</t>
  </si>
  <si>
    <t>8820</t>
  </si>
  <si>
    <t>F&amp;E in Forstwirtschaft, Jagd u. Fischerei</t>
  </si>
  <si>
    <t>8830</t>
  </si>
  <si>
    <t>F&amp;E in Brennstoffe und Energie</t>
  </si>
  <si>
    <t>8840</t>
  </si>
  <si>
    <t>F&amp;E in übrige Volkswirtschaft</t>
  </si>
  <si>
    <t>89</t>
  </si>
  <si>
    <t>Sonstige gewerbliche Betriebe</t>
  </si>
  <si>
    <t>8900</t>
  </si>
  <si>
    <t>9</t>
  </si>
  <si>
    <t>FINANZEN UND STEUERN</t>
  </si>
  <si>
    <t>91</t>
  </si>
  <si>
    <t>Steuern</t>
  </si>
  <si>
    <t>9100</t>
  </si>
  <si>
    <t xml:space="preserve"> Allgemeine Gemeindesteuern</t>
  </si>
  <si>
    <t>9101</t>
  </si>
  <si>
    <t>Sondersteuern</t>
  </si>
  <si>
    <t>92</t>
  </si>
  <si>
    <t>Steuerabkommen</t>
  </si>
  <si>
    <t>9200</t>
  </si>
  <si>
    <t>93</t>
  </si>
  <si>
    <t>9300</t>
  </si>
  <si>
    <t>94</t>
  </si>
  <si>
    <t>Ertragsanteile an Bundeseinnahmen</t>
  </si>
  <si>
    <t>9400</t>
  </si>
  <si>
    <t>95</t>
  </si>
  <si>
    <t>Ertragsanteile, übrige</t>
  </si>
  <si>
    <t>9500</t>
  </si>
  <si>
    <t>96</t>
  </si>
  <si>
    <t>9610</t>
  </si>
  <si>
    <t>Zinsen</t>
  </si>
  <si>
    <t>9620</t>
  </si>
  <si>
    <t>Emissionskosten</t>
  </si>
  <si>
    <t>9630</t>
  </si>
  <si>
    <t>Liegenschaften des Finanzvermögens</t>
  </si>
  <si>
    <t>9690</t>
  </si>
  <si>
    <t>Finanzvermögen, n.a.g.</t>
  </si>
  <si>
    <t>97</t>
  </si>
  <si>
    <t>Rückverteilung</t>
  </si>
  <si>
    <t>9710</t>
  </si>
  <si>
    <t>Rückverteilung aus CO2-Abgabe</t>
  </si>
  <si>
    <t>Nicht aufgeteilte Posten</t>
  </si>
  <si>
    <t>9900</t>
  </si>
  <si>
    <t>9950</t>
  </si>
  <si>
    <t>9990</t>
  </si>
  <si>
    <t>Vermögens- und Schuldenverwaltung</t>
  </si>
  <si>
    <t>NETTOERGEBNIS</t>
  </si>
  <si>
    <t>7690</t>
  </si>
  <si>
    <t>NETTOERGEBNIS (-=Gewinn/+=Verlust)</t>
  </si>
  <si>
    <t>7202</t>
  </si>
  <si>
    <t>Neutale Aufwendungen und Erträge</t>
  </si>
  <si>
    <t>Abschluss</t>
  </si>
  <si>
    <t>Abschluss (Nettoinvestitionen)</t>
  </si>
  <si>
    <t>Gewässerverbauungen</t>
  </si>
  <si>
    <t>7303</t>
  </si>
  <si>
    <t>Deponien</t>
  </si>
  <si>
    <t>Schulleitung u. Schulverwaltung</t>
  </si>
  <si>
    <t>Leistungen an Alter</t>
  </si>
  <si>
    <t>Veränderung</t>
  </si>
  <si>
    <t>TOTAL AKTIVEN</t>
  </si>
  <si>
    <t>TOTAL PASSIVEN</t>
  </si>
  <si>
    <t>Sach- u. übriger Betriebsaufwand</t>
  </si>
  <si>
    <t>Mittelwert</t>
  </si>
  <si>
    <t>Eigene Investitionbeiträge</t>
  </si>
  <si>
    <t>Nettoinvesititonen</t>
  </si>
  <si>
    <t>FINANZKENNZAHLEN</t>
  </si>
  <si>
    <t>1. Priotität</t>
  </si>
  <si>
    <t>Nettoverschuldungsquotient</t>
  </si>
  <si>
    <t>Selbstfinanzierungsgrad</t>
  </si>
  <si>
    <t>Zinsbelastungsanteil</t>
  </si>
  <si>
    <t>2. Priotität</t>
  </si>
  <si>
    <t>Selbstfinanzierungsanteil</t>
  </si>
  <si>
    <t>Kapitaldienstanteil</t>
  </si>
  <si>
    <t>Bruttoverschuldungsanteil</t>
  </si>
  <si>
    <t>Investitionsanteil</t>
  </si>
  <si>
    <t>Finanzkennzahlen in Prozent</t>
  </si>
  <si>
    <t>Eigenkapitaldeckungsgrad</t>
  </si>
  <si>
    <t>Bruttorendite des Finanzvermögens</t>
  </si>
  <si>
    <t>Finanzkennzahlen in Franken</t>
  </si>
  <si>
    <t>mittlere Wohnbevölkerung</t>
  </si>
  <si>
    <t>SFG</t>
  </si>
  <si>
    <t>ZBA</t>
  </si>
  <si>
    <t>KDA</t>
  </si>
  <si>
    <t>alle Gemeinden</t>
  </si>
  <si>
    <t>Überschuss (+), Fehlbetrag (-)</t>
  </si>
  <si>
    <t>Nettoschuld(-)/Nettovermögen</t>
  </si>
  <si>
    <t>Rechnung</t>
  </si>
  <si>
    <t>Forderungen gegenüber SF und Fonds im FK</t>
  </si>
  <si>
    <t>Verpflichtungen/Vorschüsse gegenüber SF</t>
  </si>
  <si>
    <t>Vebindlichkeiten gegenüber SF im FK</t>
  </si>
  <si>
    <t>Einlagen in Fonds und SF im Fremdkapital</t>
  </si>
  <si>
    <t>Einlagen in Fonds und SF im Eigenkapital</t>
  </si>
  <si>
    <t>A.o,zus.Abschr.auf Darl,, Beteilig,, Invest.Beitr.</t>
  </si>
  <si>
    <t>Planmässige u. ausserplanmässige Abschreib.</t>
  </si>
  <si>
    <t>A.o. Erträge von Regalien, Konzessionen</t>
  </si>
  <si>
    <t>A.o Entgelte</t>
  </si>
  <si>
    <t>A.o. verschiedene Erträge</t>
  </si>
  <si>
    <t>A.o. Finanzerträge</t>
  </si>
  <si>
    <t>A.o. Entnahmen aus Fonds und SF</t>
  </si>
  <si>
    <t>A.o. Transfererträge</t>
  </si>
  <si>
    <t>Zusätzl. Auflösung passivierter Investitionsbeitr.</t>
  </si>
  <si>
    <t>Planmässige und ausserplanmässige Abschr.</t>
  </si>
  <si>
    <t>A.o. Personalaufwand</t>
  </si>
  <si>
    <t>A.o. Sach- und Betriebsaufwand</t>
  </si>
  <si>
    <t>A.o. Finanzaufwand</t>
  </si>
  <si>
    <t>A.o. Transferaufwand</t>
  </si>
  <si>
    <t>A.o. Investitionen für Sachanlagen</t>
  </si>
  <si>
    <t>A.o. Investitionen für Immaterielle Anlagen</t>
  </si>
  <si>
    <t>A.o. Investitionen für Darlehen</t>
  </si>
  <si>
    <t>A.o. Investitionsbeiträge</t>
  </si>
  <si>
    <t>A.o. Investitionen für Beteilig.u. Grundkapitalien</t>
  </si>
  <si>
    <t>A.o. Investitionseinnahmen für Sachanlagen</t>
  </si>
  <si>
    <t>A.o. Investitionseinnahmen für eigene Rechnung</t>
  </si>
  <si>
    <t>A.o. Rückzahlung von Darlehen</t>
  </si>
  <si>
    <t>A.o. Übertragung von Beteiligungen</t>
  </si>
  <si>
    <t>A.o. Rückzahlung eigener Investitionsbeiträge</t>
  </si>
  <si>
    <t>Übrige a.o. Investitionen</t>
  </si>
  <si>
    <t>A.o. Investitionseinnahmen f. immater. Anlagen</t>
  </si>
  <si>
    <t>NVQ</t>
  </si>
  <si>
    <t>Kirchen u. religiöse Angelegenheiten</t>
  </si>
  <si>
    <t>GESAMTÜBERSICHT JAHRESRECHNUNG</t>
  </si>
  <si>
    <t>NETTOVERMÖGEN / NETTOSCHULD</t>
  </si>
  <si>
    <t>ERFOLGSRECHNUNG ARTENGLIEDERUNG</t>
  </si>
  <si>
    <t>INVESTITIONSRECHNUNG ARTENGLIEDERUNG</t>
  </si>
  <si>
    <t>ERFOLGSRECHNUNG FUNKTIONALE GLIEDERUNG</t>
  </si>
  <si>
    <t>INVESTITIONSRECHNUNG FUNKTIONALE GLIEDERUNG</t>
  </si>
  <si>
    <t>Einwohner (Mittlere Wohnbevölkerung)</t>
  </si>
  <si>
    <t>Gemeinde Glarus Süd</t>
  </si>
  <si>
    <t>Gemeinde Glarus</t>
  </si>
  <si>
    <t>Gemeinde Glarus Nord</t>
  </si>
  <si>
    <t>TOTAL GEMEINDEN</t>
  </si>
  <si>
    <t>Kanton Glarus</t>
  </si>
  <si>
    <t>TOTAL KANTON U. GEMEINDEN</t>
  </si>
  <si>
    <t>Auswahl :</t>
  </si>
  <si>
    <t>BERECHNUNGEN FINANZKENNZAHLEN</t>
  </si>
  <si>
    <t>Selbsfinanzierungsgrad</t>
  </si>
  <si>
    <t>Nettoschuld (-) II pro Einwohner/in</t>
  </si>
  <si>
    <t>Kumulierte zusätzliche Abschreibungen</t>
  </si>
  <si>
    <t>Passive Rechnungsabrenzung</t>
  </si>
  <si>
    <t>Bilanzüberschuss /-felhbetrag</t>
  </si>
  <si>
    <t>Forderungen ggü. SF u. Fonds FK</t>
  </si>
  <si>
    <t>Gesamtaufwand</t>
  </si>
  <si>
    <t>Gesamtertrag</t>
  </si>
  <si>
    <t>GESAMTÜBERSICHT</t>
  </si>
  <si>
    <t>Ertrags- (+) / Aufwandüberschuss (-) ER</t>
  </si>
  <si>
    <t>Finanzierungsfehlbetrag (+) / Finanzierungsüberschuss (-)</t>
  </si>
  <si>
    <t>Passivierung Abschreibungen</t>
  </si>
  <si>
    <t>TOTAL</t>
  </si>
  <si>
    <t>Kanton</t>
  </si>
  <si>
    <t>Glarus</t>
  </si>
  <si>
    <t>GEMEINDEN</t>
  </si>
  <si>
    <t>FUNKTIONALE GLIEDERUNG</t>
  </si>
  <si>
    <t>Allgemeine Verwaltung</t>
  </si>
  <si>
    <t>Bildung</t>
  </si>
  <si>
    <t>Kultur, Sport und Freizeit, Kirche</t>
  </si>
  <si>
    <t>Gesundheit</t>
  </si>
  <si>
    <t>Verkehr</t>
  </si>
  <si>
    <t>Volkswirtschaft</t>
  </si>
  <si>
    <t>Finanzen und Steuern</t>
  </si>
  <si>
    <t>Allg. Verwaltung</t>
  </si>
  <si>
    <t>Soziale Sicherheit</t>
  </si>
  <si>
    <t>Umweltschutz und Raumordnung</t>
  </si>
  <si>
    <t>(gestufter Erfolgsausweis)</t>
  </si>
  <si>
    <t>(+ = Cashflow / - = Cashdrain)</t>
  </si>
  <si>
    <t>Statistische Angaben</t>
  </si>
  <si>
    <t>INVESTITIONSRECHNUNG (Funktionale Gliederung)</t>
  </si>
  <si>
    <t>Flüssige Mittel u.kurfrist.Geldanlagen</t>
  </si>
  <si>
    <t>Kumulierte zusätzl.Abschreibungen</t>
  </si>
  <si>
    <t>Neubewertungsreserve FV</t>
  </si>
  <si>
    <t>Nettoschuld I (-)/-vermögen I (+)</t>
  </si>
  <si>
    <t>Nettoschuld II (-)/-vermögen II (+)</t>
  </si>
  <si>
    <t>Abschreibungen Verwaltungsvermög.</t>
  </si>
  <si>
    <t>Betrieblicher Ertrag</t>
  </si>
  <si>
    <t>Ergebn. aus betriebl. Tätigkeit</t>
  </si>
  <si>
    <t>Gesamtergebnis (- Gew./+ Verl.)</t>
  </si>
  <si>
    <t>Übertragung von Sachanlagen in FV</t>
  </si>
  <si>
    <t>Investitionsbeitr. für eigene Rechn.</t>
  </si>
  <si>
    <t>Rückzlg. eigener Investitionsbeiträge</t>
  </si>
  <si>
    <t>A.o. Investitionen</t>
  </si>
  <si>
    <t>A.o. Investitionseinnahmen</t>
  </si>
  <si>
    <t>Ertrags-(-)/ Aufwandüberschuss(+)</t>
  </si>
  <si>
    <t>ER Ertrags-/Aufwandüberschuss</t>
  </si>
  <si>
    <t>Entnahmen aus Fonds u.SPF im EK</t>
  </si>
  <si>
    <t>Finanzierungsüberschuss (-)</t>
  </si>
  <si>
    <t>Finanzierungsfehlbetrag (+) /</t>
  </si>
  <si>
    <t>Finanz.fehlbetrag(+) /-überschuss(-)</t>
  </si>
  <si>
    <t>Einlagen in Fonds und SPF</t>
  </si>
  <si>
    <t>Entnahmen aus Fonds und SPF</t>
  </si>
  <si>
    <t>Verbindlichkeiten ggü. SPF im FK</t>
  </si>
  <si>
    <t>Verpflicht./Vorsch. ggü.SPF im EK</t>
  </si>
  <si>
    <t>Öff.Ordnung, Sicherheit, Verteid.</t>
  </si>
  <si>
    <t>F&amp;E in öff.Ordn., Sicherheit, Verteid.</t>
  </si>
  <si>
    <t>Kirchen u.religiöse Angelegeneheiten</t>
  </si>
  <si>
    <t>F&amp;E in Kultur,Sport,Freizeit,Kirche</t>
  </si>
  <si>
    <t>Bekämpfung Umweltverschmutzung</t>
  </si>
  <si>
    <t>Vermögens- u. Schuldenverwaltung</t>
  </si>
  <si>
    <t>Total Kanton</t>
  </si>
  <si>
    <t>und Gemeinden</t>
  </si>
  <si>
    <t>GEMEINDE GLARUS SÜD</t>
  </si>
  <si>
    <t>GEMEINDE GLARUS</t>
  </si>
  <si>
    <t>GEMEINDE GLARUS NORD</t>
  </si>
  <si>
    <t>GEMEINDE</t>
  </si>
  <si>
    <t>GLARUS SÜD</t>
  </si>
  <si>
    <t>GLARUS</t>
  </si>
  <si>
    <t>GLARUS NORD</t>
  </si>
  <si>
    <t>Total Kanton u. Gemeinden</t>
  </si>
  <si>
    <t>Zunahme (+) / Abnahme (-) EK</t>
  </si>
  <si>
    <t>Nettoschuld (-) I pro Einwoher/in</t>
  </si>
  <si>
    <t>Bruttoschulden (-)</t>
  </si>
  <si>
    <t>Abschluss (= Nettoinvesittionen)</t>
  </si>
  <si>
    <t>Kontrolltotal</t>
  </si>
  <si>
    <t>UMWELTSCHUTZ UND RAUMORDNUNG</t>
  </si>
  <si>
    <t>Ergebnis (- Gewinn/+ Verlust)</t>
  </si>
</sst>
</file>

<file path=xl/styles.xml><?xml version="1.0" encoding="utf-8"?>
<styleSheet xmlns="http://schemas.openxmlformats.org/spreadsheetml/2006/main">
  <numFmts count="5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0_ ;\-#,##0.00\ "/>
    <numFmt numFmtId="171" formatCode="0.0%"/>
    <numFmt numFmtId="172" formatCode="_ * #,##0.0_ ;_ * \-#,##0.0_ ;_ * &quot;-&quot;??_ ;_ @_ "/>
    <numFmt numFmtId="173" formatCode="_ * #,##0_ ;_ * \-#,##0_ ;_ * &quot;-&quot;??_ ;_ @_ 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_ ;_ @_ "/>
    <numFmt numFmtId="179" formatCode="_ * #,##0.000_ ;_ * \-#,##0.000_ ;_ * &quot;-&quot;??_ ;_ @_ "/>
    <numFmt numFmtId="180" formatCode="_ * #,##0.0000_ ;_ * \-#,##0.0000_ ;_ * &quot;-&quot;??_ ;_ @_ "/>
    <numFmt numFmtId="181" formatCode="_ * #,##0.00000_ ;_ * \-#,##0.00000_ ;_ * &quot;-&quot;??_ ;_ @_ "/>
    <numFmt numFmtId="182" formatCode="_ * #,##0.000000_ ;_ * \-#,##0.000000_ ;_ * &quot;-&quot;??_ ;_ @_ "/>
    <numFmt numFmtId="183" formatCode="_ * #,##0.0000000_ ;_ * \-#,##0.0000000_ ;_ * &quot;-&quot;??_ ;_ @_ "/>
    <numFmt numFmtId="184" formatCode="_ * #,##0.00000000_ ;_ * \-#,##0.00000000_ ;_ * &quot;-&quot;??_ ;_ @_ "/>
    <numFmt numFmtId="185" formatCode="_ * #,##0.000000000_ ;_ * \-#,##0.000000000_ ;_ * &quot;-&quot;??_ ;_ @_ "/>
    <numFmt numFmtId="186" formatCode="_ * #,##0.0000000000_ ;_ * \-#,##0.0000000000_ ;_ * &quot;-&quot;??_ ;_ @_ "/>
    <numFmt numFmtId="187" formatCode="_ * #,##0.00000000000_ ;_ * \-#,##0.00000000000_ ;_ * &quot;-&quot;??_ ;_ @_ "/>
    <numFmt numFmtId="188" formatCode="_ * #,##0.000000000000_ ;_ * \-#,##0.000000000000_ ;_ * &quot;-&quot;??_ ;_ @_ "/>
    <numFmt numFmtId="189" formatCode="_ * #,##0.0000000000000_ ;_ * \-#,##0.0000000000000_ ;_ * &quot;-&quot;??_ ;_ @_ "/>
    <numFmt numFmtId="190" formatCode="_ * #,##0.00000000000000_ ;_ * \-#,##0.00000000000000_ ;_ * &quot;-&quot;??_ ;_ @_ "/>
    <numFmt numFmtId="191" formatCode="#######0"/>
    <numFmt numFmtId="192" formatCode="0.00_ ;[Red]\-0.00\ "/>
    <numFmt numFmtId="193" formatCode="#,##0.00_ ;[Red]\-#,##0.00\ "/>
    <numFmt numFmtId="194" formatCode="#,##0_ ;[Red]\-#,##0\ "/>
    <numFmt numFmtId="195" formatCode="0.000%"/>
    <numFmt numFmtId="196" formatCode="0.0000%"/>
    <numFmt numFmtId="197" formatCode="0.00000%"/>
    <numFmt numFmtId="198" formatCode="0.000000%"/>
    <numFmt numFmtId="199" formatCode="0.0000000%"/>
    <numFmt numFmtId="200" formatCode="#,##0_ ;\-#,##0\ "/>
    <numFmt numFmtId="201" formatCode="0.000000"/>
    <numFmt numFmtId="202" formatCode="_ * #,##0.0_ ;_ * \-#,##0.0_ ;_ * &quot;-&quot;_ ;_ @_ "/>
    <numFmt numFmtId="203" formatCode="_ * #,##0.00_ ;_ * \-#,##0.00_ ;_ * &quot;-&quot;_ ;_ @_ "/>
    <numFmt numFmtId="204" formatCode="#,##0.0"/>
    <numFmt numFmtId="205" formatCode="_ * #,##0.000_ ;_ * \-#,##0.000_ ;_ * &quot;-&quot;_ ;_ @_ "/>
    <numFmt numFmtId="206" formatCode="_ * #,##0.0000_ ;_ * \-#,##0.0000_ ;_ * &quot;-&quot;_ ;_ @_ "/>
    <numFmt numFmtId="207" formatCode="_ * #,##0.00000_ ;_ * \-#,##0.00000_ ;_ * &quot;-&quot;_ ;_ @_ "/>
    <numFmt numFmtId="208" formatCode="_ * #,##0.000000_ ;_ * \-#,##0.000000_ ;_ * &quot;-&quot;_ ;_ @_ "/>
    <numFmt numFmtId="209" formatCode="&quot;SFr.&quot;\ #,##0"/>
    <numFmt numFmtId="210" formatCode="[$-807]dddd\,\ d\.\ mmmm\ yyyy"/>
  </numFmts>
  <fonts count="66">
    <font>
      <sz val="10"/>
      <name val="Arial"/>
      <family val="0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i/>
      <sz val="9"/>
      <name val="Arial"/>
      <family val="2"/>
    </font>
    <font>
      <b/>
      <sz val="10"/>
      <color indexed="17"/>
      <name val="Arial"/>
      <family val="2"/>
    </font>
    <font>
      <b/>
      <sz val="10"/>
      <color indexed="51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8.75"/>
      <color indexed="8"/>
      <name val="Arial"/>
      <family val="0"/>
    </font>
    <font>
      <b/>
      <sz val="9.75"/>
      <color indexed="8"/>
      <name val="Arial"/>
      <family val="0"/>
    </font>
    <font>
      <sz val="7.3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0"/>
    </font>
    <font>
      <sz val="7.55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</fills>
  <borders count="7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431">
    <xf numFmtId="0" fontId="0" fillId="0" borderId="0" xfId="0" applyAlignment="1">
      <alignment/>
    </xf>
    <xf numFmtId="43" fontId="0" fillId="0" borderId="0" xfId="48" applyFont="1" applyAlignment="1">
      <alignment/>
    </xf>
    <xf numFmtId="0" fontId="1" fillId="0" borderId="0" xfId="0" applyFont="1" applyAlignment="1">
      <alignment/>
    </xf>
    <xf numFmtId="170" fontId="2" fillId="0" borderId="0" xfId="48" applyNumberFormat="1" applyFont="1" applyAlignment="1">
      <alignment vertical="justify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49" fontId="4" fillId="0" borderId="11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49" fontId="5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49" fontId="5" fillId="0" borderId="16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left"/>
    </xf>
    <xf numFmtId="0" fontId="8" fillId="0" borderId="0" xfId="0" applyFont="1" applyAlignment="1">
      <alignment/>
    </xf>
    <xf numFmtId="43" fontId="8" fillId="0" borderId="0" xfId="48" applyFont="1" applyAlignment="1">
      <alignment/>
    </xf>
    <xf numFmtId="0" fontId="9" fillId="0" borderId="0" xfId="0" applyFont="1" applyAlignment="1">
      <alignment/>
    </xf>
    <xf numFmtId="49" fontId="5" fillId="0" borderId="16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/>
    </xf>
    <xf numFmtId="49" fontId="5" fillId="0" borderId="21" xfId="0" applyNumberFormat="1" applyFont="1" applyBorder="1" applyAlignment="1">
      <alignment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/>
    </xf>
    <xf numFmtId="49" fontId="4" fillId="0" borderId="21" xfId="0" applyNumberFormat="1" applyFont="1" applyBorder="1" applyAlignment="1">
      <alignment/>
    </xf>
    <xf numFmtId="0" fontId="0" fillId="0" borderId="25" xfId="0" applyBorder="1" applyAlignment="1">
      <alignment/>
    </xf>
    <xf numFmtId="49" fontId="4" fillId="0" borderId="16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right"/>
    </xf>
    <xf numFmtId="49" fontId="10" fillId="0" borderId="21" xfId="0" applyNumberFormat="1" applyFont="1" applyBorder="1" applyAlignment="1">
      <alignment/>
    </xf>
    <xf numFmtId="49" fontId="10" fillId="0" borderId="16" xfId="0" applyNumberFormat="1" applyFont="1" applyBorder="1" applyAlignment="1">
      <alignment/>
    </xf>
    <xf numFmtId="0" fontId="11" fillId="0" borderId="0" xfId="0" applyFont="1" applyAlignment="1">
      <alignment/>
    </xf>
    <xf numFmtId="49" fontId="5" fillId="0" borderId="15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4" fillId="0" borderId="26" xfId="0" applyFont="1" applyBorder="1" applyAlignment="1">
      <alignment/>
    </xf>
    <xf numFmtId="43" fontId="4" fillId="0" borderId="27" xfId="0" applyNumberFormat="1" applyFont="1" applyBorder="1" applyAlignment="1">
      <alignment/>
    </xf>
    <xf numFmtId="43" fontId="4" fillId="0" borderId="27" xfId="0" applyNumberFormat="1" applyFont="1" applyBorder="1" applyAlignment="1">
      <alignment/>
    </xf>
    <xf numFmtId="43" fontId="4" fillId="0" borderId="28" xfId="0" applyNumberFormat="1" applyFont="1" applyBorder="1" applyAlignment="1">
      <alignment/>
    </xf>
    <xf numFmtId="43" fontId="5" fillId="0" borderId="29" xfId="0" applyNumberFormat="1" applyFont="1" applyBorder="1" applyAlignment="1">
      <alignment/>
    </xf>
    <xf numFmtId="43" fontId="5" fillId="0" borderId="28" xfId="0" applyNumberFormat="1" applyFont="1" applyBorder="1" applyAlignment="1">
      <alignment/>
    </xf>
    <xf numFmtId="43" fontId="4" fillId="0" borderId="30" xfId="0" applyNumberFormat="1" applyFont="1" applyBorder="1" applyAlignment="1">
      <alignment/>
    </xf>
    <xf numFmtId="43" fontId="4" fillId="0" borderId="29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30" xfId="0" applyFont="1" applyBorder="1" applyAlignment="1">
      <alignment/>
    </xf>
    <xf numFmtId="43" fontId="4" fillId="0" borderId="26" xfId="0" applyNumberFormat="1" applyFont="1" applyBorder="1" applyAlignment="1">
      <alignment/>
    </xf>
    <xf numFmtId="43" fontId="5" fillId="0" borderId="29" xfId="48" applyFont="1" applyBorder="1" applyAlignment="1">
      <alignment/>
    </xf>
    <xf numFmtId="43" fontId="4" fillId="0" borderId="28" xfId="0" applyNumberFormat="1" applyFont="1" applyBorder="1" applyAlignment="1">
      <alignment/>
    </xf>
    <xf numFmtId="43" fontId="4" fillId="0" borderId="29" xfId="0" applyNumberFormat="1" applyFont="1" applyBorder="1" applyAlignment="1">
      <alignment/>
    </xf>
    <xf numFmtId="43" fontId="10" fillId="0" borderId="29" xfId="0" applyNumberFormat="1" applyFont="1" applyBorder="1" applyAlignment="1">
      <alignment/>
    </xf>
    <xf numFmtId="43" fontId="5" fillId="0" borderId="27" xfId="0" applyNumberFormat="1" applyFont="1" applyBorder="1" applyAlignment="1">
      <alignment/>
    </xf>
    <xf numFmtId="49" fontId="3" fillId="0" borderId="31" xfId="0" applyNumberFormat="1" applyFont="1" applyBorder="1" applyAlignment="1">
      <alignment/>
    </xf>
    <xf numFmtId="49" fontId="3" fillId="0" borderId="32" xfId="0" applyNumberFormat="1" applyFont="1" applyBorder="1" applyAlignment="1">
      <alignment/>
    </xf>
    <xf numFmtId="49" fontId="3" fillId="0" borderId="33" xfId="0" applyNumberFormat="1" applyFont="1" applyBorder="1" applyAlignment="1">
      <alignment/>
    </xf>
    <xf numFmtId="49" fontId="3" fillId="0" borderId="34" xfId="0" applyNumberFormat="1" applyFont="1" applyBorder="1" applyAlignment="1">
      <alignment/>
    </xf>
    <xf numFmtId="49" fontId="13" fillId="0" borderId="32" xfId="0" applyNumberFormat="1" applyFont="1" applyBorder="1" applyAlignment="1">
      <alignment/>
    </xf>
    <xf numFmtId="49" fontId="3" fillId="0" borderId="32" xfId="48" applyNumberFormat="1" applyFont="1" applyBorder="1" applyAlignment="1">
      <alignment vertical="justify"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49" fontId="10" fillId="0" borderId="15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right"/>
    </xf>
    <xf numFmtId="43" fontId="10" fillId="0" borderId="26" xfId="0" applyNumberFormat="1" applyFont="1" applyBorder="1" applyAlignment="1">
      <alignment/>
    </xf>
    <xf numFmtId="49" fontId="4" fillId="0" borderId="35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43" fontId="4" fillId="0" borderId="32" xfId="0" applyNumberFormat="1" applyFont="1" applyBorder="1" applyAlignment="1">
      <alignment/>
    </xf>
    <xf numFmtId="171" fontId="5" fillId="0" borderId="27" xfId="51" applyNumberFormat="1" applyFont="1" applyBorder="1" applyAlignment="1">
      <alignment horizontal="center"/>
    </xf>
    <xf numFmtId="43" fontId="5" fillId="0" borderId="29" xfId="48" applyFont="1" applyBorder="1" applyAlignment="1">
      <alignment horizontal="center"/>
    </xf>
    <xf numFmtId="171" fontId="5" fillId="0" borderId="29" xfId="51" applyNumberFormat="1" applyFont="1" applyBorder="1" applyAlignment="1">
      <alignment horizontal="center"/>
    </xf>
    <xf numFmtId="43" fontId="4" fillId="0" borderId="30" xfId="0" applyNumberFormat="1" applyFont="1" applyBorder="1" applyAlignment="1">
      <alignment/>
    </xf>
    <xf numFmtId="43" fontId="4" fillId="0" borderId="36" xfId="0" applyNumberFormat="1" applyFont="1" applyBorder="1" applyAlignment="1">
      <alignment/>
    </xf>
    <xf numFmtId="43" fontId="4" fillId="0" borderId="33" xfId="0" applyNumberFormat="1" applyFont="1" applyBorder="1" applyAlignment="1">
      <alignment/>
    </xf>
    <xf numFmtId="43" fontId="5" fillId="0" borderId="34" xfId="0" applyNumberFormat="1" applyFont="1" applyBorder="1" applyAlignment="1">
      <alignment/>
    </xf>
    <xf numFmtId="43" fontId="4" fillId="0" borderId="33" xfId="0" applyNumberFormat="1" applyFont="1" applyBorder="1" applyAlignment="1">
      <alignment/>
    </xf>
    <xf numFmtId="43" fontId="4" fillId="0" borderId="32" xfId="0" applyNumberFormat="1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right"/>
    </xf>
    <xf numFmtId="49" fontId="5" fillId="0" borderId="16" xfId="0" applyNumberFormat="1" applyFont="1" applyBorder="1" applyAlignment="1">
      <alignment wrapText="1"/>
    </xf>
    <xf numFmtId="0" fontId="0" fillId="33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171" fontId="0" fillId="0" borderId="0" xfId="51" applyNumberFormat="1" applyAlignment="1">
      <alignment/>
    </xf>
    <xf numFmtId="171" fontId="0" fillId="0" borderId="0" xfId="0" applyNumberFormat="1" applyAlignment="1">
      <alignment/>
    </xf>
    <xf numFmtId="173" fontId="0" fillId="0" borderId="0" xfId="48" applyNumberFormat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0" fillId="0" borderId="15" xfId="0" applyFont="1" applyBorder="1" applyAlignment="1">
      <alignment horizontal="right"/>
    </xf>
    <xf numFmtId="43" fontId="10" fillId="0" borderId="32" xfId="48" applyFont="1" applyFill="1" applyBorder="1" applyAlignment="1">
      <alignment/>
    </xf>
    <xf numFmtId="0" fontId="4" fillId="0" borderId="15" xfId="0" applyFont="1" applyBorder="1" applyAlignment="1">
      <alignment horizontal="right"/>
    </xf>
    <xf numFmtId="0" fontId="10" fillId="0" borderId="15" xfId="0" applyFont="1" applyBorder="1" applyAlignment="1">
      <alignment/>
    </xf>
    <xf numFmtId="0" fontId="5" fillId="0" borderId="37" xfId="0" applyFont="1" applyBorder="1" applyAlignment="1">
      <alignment/>
    </xf>
    <xf numFmtId="0" fontId="4" fillId="0" borderId="18" xfId="0" applyFont="1" applyBorder="1" applyAlignment="1">
      <alignment/>
    </xf>
    <xf numFmtId="173" fontId="4" fillId="0" borderId="32" xfId="48" applyNumberFormat="1" applyFont="1" applyFill="1" applyBorder="1" applyAlignment="1">
      <alignment/>
    </xf>
    <xf numFmtId="0" fontId="4" fillId="0" borderId="37" xfId="0" applyFont="1" applyBorder="1" applyAlignment="1">
      <alignment/>
    </xf>
    <xf numFmtId="0" fontId="10" fillId="0" borderId="37" xfId="0" applyFont="1" applyBorder="1" applyAlignment="1">
      <alignment/>
    </xf>
    <xf numFmtId="0" fontId="4" fillId="0" borderId="34" xfId="0" applyFont="1" applyFill="1" applyBorder="1" applyAlignment="1">
      <alignment horizontal="center"/>
    </xf>
    <xf numFmtId="43" fontId="4" fillId="0" borderId="32" xfId="48" applyFont="1" applyFill="1" applyBorder="1" applyAlignment="1">
      <alignment/>
    </xf>
    <xf numFmtId="43" fontId="5" fillId="0" borderId="32" xfId="48" applyFont="1" applyFill="1" applyBorder="1" applyAlignment="1">
      <alignment/>
    </xf>
    <xf numFmtId="43" fontId="5" fillId="0" borderId="38" xfId="48" applyFont="1" applyFill="1" applyBorder="1" applyAlignment="1">
      <alignment/>
    </xf>
    <xf numFmtId="170" fontId="16" fillId="0" borderId="33" xfId="48" applyNumberFormat="1" applyFont="1" applyFill="1" applyBorder="1" applyAlignment="1">
      <alignment vertical="justify"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43" fontId="4" fillId="0" borderId="38" xfId="48" applyFont="1" applyFill="1" applyBorder="1" applyAlignment="1">
      <alignment/>
    </xf>
    <xf numFmtId="43" fontId="10" fillId="0" borderId="38" xfId="48" applyFont="1" applyFill="1" applyBorder="1" applyAlignment="1">
      <alignment/>
    </xf>
    <xf numFmtId="43" fontId="17" fillId="0" borderId="0" xfId="48" applyFont="1" applyFill="1" applyAlignment="1">
      <alignment/>
    </xf>
    <xf numFmtId="43" fontId="4" fillId="0" borderId="31" xfId="48" applyFont="1" applyFill="1" applyBorder="1" applyAlignment="1">
      <alignment/>
    </xf>
    <xf numFmtId="9" fontId="4" fillId="0" borderId="33" xfId="51" applyFont="1" applyFill="1" applyBorder="1" applyAlignment="1">
      <alignment/>
    </xf>
    <xf numFmtId="0" fontId="8" fillId="0" borderId="0" xfId="0" applyFont="1" applyBorder="1" applyAlignment="1">
      <alignment/>
    </xf>
    <xf numFmtId="170" fontId="2" fillId="0" borderId="0" xfId="48" applyNumberFormat="1" applyFont="1" applyFill="1" applyAlignment="1">
      <alignment vertical="justify"/>
    </xf>
    <xf numFmtId="43" fontId="0" fillId="0" borderId="0" xfId="48" applyFont="1" applyFill="1" applyAlignment="1">
      <alignment/>
    </xf>
    <xf numFmtId="43" fontId="4" fillId="0" borderId="25" xfId="48" applyFont="1" applyFill="1" applyBorder="1" applyAlignment="1">
      <alignment/>
    </xf>
    <xf numFmtId="43" fontId="10" fillId="0" borderId="25" xfId="48" applyFont="1" applyFill="1" applyBorder="1" applyAlignment="1">
      <alignment/>
    </xf>
    <xf numFmtId="170" fontId="9" fillId="0" borderId="33" xfId="48" applyNumberFormat="1" applyFont="1" applyBorder="1" applyAlignment="1">
      <alignment vertical="justify"/>
    </xf>
    <xf numFmtId="170" fontId="9" fillId="0" borderId="33" xfId="48" applyNumberFormat="1" applyFont="1" applyFill="1" applyBorder="1" applyAlignment="1">
      <alignment vertical="justify"/>
    </xf>
    <xf numFmtId="43" fontId="8" fillId="0" borderId="0" xfId="48" applyFont="1" applyFill="1" applyAlignment="1">
      <alignment/>
    </xf>
    <xf numFmtId="0" fontId="14" fillId="0" borderId="39" xfId="0" applyFont="1" applyBorder="1" applyAlignment="1">
      <alignment/>
    </xf>
    <xf numFmtId="0" fontId="1" fillId="0" borderId="31" xfId="0" applyFont="1" applyFill="1" applyBorder="1" applyAlignment="1">
      <alignment horizontal="center"/>
    </xf>
    <xf numFmtId="0" fontId="1" fillId="0" borderId="40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5" fillId="0" borderId="42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2" xfId="0" applyFont="1" applyFill="1" applyBorder="1" applyAlignment="1">
      <alignment/>
    </xf>
    <xf numFmtId="0" fontId="10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4" fillId="0" borderId="43" xfId="0" applyFont="1" applyBorder="1" applyAlignment="1">
      <alignment/>
    </xf>
    <xf numFmtId="0" fontId="10" fillId="0" borderId="43" xfId="0" applyFont="1" applyBorder="1" applyAlignment="1">
      <alignment/>
    </xf>
    <xf numFmtId="0" fontId="5" fillId="0" borderId="45" xfId="0" applyFont="1" applyBorder="1" applyAlignment="1">
      <alignment/>
    </xf>
    <xf numFmtId="49" fontId="4" fillId="0" borderId="0" xfId="0" applyNumberFormat="1" applyFont="1" applyAlignment="1">
      <alignment horizontal="right"/>
    </xf>
    <xf numFmtId="170" fontId="16" fillId="0" borderId="0" xfId="48" applyNumberFormat="1" applyFont="1" applyAlignment="1">
      <alignment vertical="justify"/>
    </xf>
    <xf numFmtId="43" fontId="4" fillId="0" borderId="0" xfId="48" applyFont="1" applyAlignment="1">
      <alignment/>
    </xf>
    <xf numFmtId="49" fontId="5" fillId="0" borderId="15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/>
    </xf>
    <xf numFmtId="49" fontId="4" fillId="0" borderId="17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3" fontId="5" fillId="0" borderId="32" xfId="48" applyFont="1" applyBorder="1" applyAlignment="1">
      <alignment/>
    </xf>
    <xf numFmtId="43" fontId="4" fillId="0" borderId="32" xfId="48" applyFont="1" applyBorder="1" applyAlignment="1">
      <alignment/>
    </xf>
    <xf numFmtId="43" fontId="16" fillId="0" borderId="33" xfId="48" applyFont="1" applyBorder="1" applyAlignment="1">
      <alignment vertical="justify"/>
    </xf>
    <xf numFmtId="0" fontId="4" fillId="0" borderId="47" xfId="0" applyFont="1" applyFill="1" applyBorder="1" applyAlignment="1">
      <alignment/>
    </xf>
    <xf numFmtId="43" fontId="5" fillId="0" borderId="25" xfId="48" applyFont="1" applyBorder="1" applyAlignment="1">
      <alignment/>
    </xf>
    <xf numFmtId="43" fontId="4" fillId="0" borderId="25" xfId="48" applyFont="1" applyBorder="1" applyAlignment="1">
      <alignment/>
    </xf>
    <xf numFmtId="43" fontId="16" fillId="0" borderId="48" xfId="48" applyFont="1" applyBorder="1" applyAlignment="1">
      <alignment vertical="justify"/>
    </xf>
    <xf numFmtId="49" fontId="5" fillId="0" borderId="45" xfId="0" applyNumberFormat="1" applyFont="1" applyBorder="1" applyAlignment="1">
      <alignment/>
    </xf>
    <xf numFmtId="0" fontId="4" fillId="0" borderId="17" xfId="0" applyFont="1" applyBorder="1" applyAlignment="1">
      <alignment horizontal="right"/>
    </xf>
    <xf numFmtId="43" fontId="4" fillId="0" borderId="31" xfId="48" applyFont="1" applyBorder="1" applyAlignment="1">
      <alignment/>
    </xf>
    <xf numFmtId="190" fontId="5" fillId="0" borderId="32" xfId="48" applyNumberFormat="1" applyFont="1" applyBorder="1" applyAlignment="1">
      <alignment/>
    </xf>
    <xf numFmtId="170" fontId="16" fillId="0" borderId="33" xfId="48" applyNumberFormat="1" applyFont="1" applyBorder="1" applyAlignment="1">
      <alignment vertical="justify"/>
    </xf>
    <xf numFmtId="49" fontId="5" fillId="0" borderId="15" xfId="0" applyNumberFormat="1" applyFont="1" applyBorder="1" applyAlignment="1">
      <alignment horizontal="right"/>
    </xf>
    <xf numFmtId="0" fontId="5" fillId="0" borderId="42" xfId="0" applyFont="1" applyBorder="1" applyAlignment="1">
      <alignment/>
    </xf>
    <xf numFmtId="43" fontId="5" fillId="0" borderId="32" xfId="48" applyFont="1" applyBorder="1" applyAlignment="1">
      <alignment/>
    </xf>
    <xf numFmtId="43" fontId="5" fillId="0" borderId="25" xfId="48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43" fontId="5" fillId="0" borderId="29" xfId="48" applyNumberFormat="1" applyFont="1" applyBorder="1" applyAlignment="1">
      <alignment horizontal="center"/>
    </xf>
    <xf numFmtId="43" fontId="4" fillId="0" borderId="34" xfId="48" applyFont="1" applyFill="1" applyBorder="1" applyAlignment="1">
      <alignment/>
    </xf>
    <xf numFmtId="0" fontId="1" fillId="0" borderId="49" xfId="0" applyFont="1" applyBorder="1" applyAlignment="1">
      <alignment/>
    </xf>
    <xf numFmtId="0" fontId="1" fillId="0" borderId="38" xfId="0" applyFont="1" applyFill="1" applyBorder="1" applyAlignment="1">
      <alignment horizontal="center" vertical="justify"/>
    </xf>
    <xf numFmtId="0" fontId="1" fillId="0" borderId="37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1" xfId="0" applyFont="1" applyFill="1" applyBorder="1" applyAlignment="1" quotePrefix="1">
      <alignment horizontal="center"/>
    </xf>
    <xf numFmtId="0" fontId="1" fillId="0" borderId="26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50" xfId="0" applyFont="1" applyBorder="1" applyAlignment="1">
      <alignment/>
    </xf>
    <xf numFmtId="49" fontId="5" fillId="0" borderId="35" xfId="0" applyNumberFormat="1" applyFont="1" applyBorder="1" applyAlignment="1">
      <alignment horizontal="right"/>
    </xf>
    <xf numFmtId="49" fontId="5" fillId="0" borderId="35" xfId="0" applyNumberFormat="1" applyFont="1" applyBorder="1" applyAlignment="1">
      <alignment wrapText="1"/>
    </xf>
    <xf numFmtId="43" fontId="5" fillId="0" borderId="35" xfId="0" applyNumberFormat="1" applyFont="1" applyBorder="1" applyAlignment="1">
      <alignment/>
    </xf>
    <xf numFmtId="49" fontId="3" fillId="0" borderId="42" xfId="0" applyNumberFormat="1" applyFont="1" applyBorder="1" applyAlignment="1">
      <alignment/>
    </xf>
    <xf numFmtId="49" fontId="5" fillId="0" borderId="17" xfId="0" applyNumberFormat="1" applyFont="1" applyBorder="1" applyAlignment="1">
      <alignment horizontal="center"/>
    </xf>
    <xf numFmtId="49" fontId="5" fillId="0" borderId="51" xfId="0" applyNumberFormat="1" applyFont="1" applyBorder="1" applyAlignment="1">
      <alignment horizontal="right"/>
    </xf>
    <xf numFmtId="49" fontId="5" fillId="0" borderId="51" xfId="0" applyNumberFormat="1" applyFont="1" applyBorder="1" applyAlignment="1">
      <alignment wrapText="1"/>
    </xf>
    <xf numFmtId="171" fontId="5" fillId="0" borderId="51" xfId="0" applyNumberFormat="1" applyFont="1" applyBorder="1" applyAlignment="1">
      <alignment/>
    </xf>
    <xf numFmtId="49" fontId="3" fillId="0" borderId="44" xfId="0" applyNumberFormat="1" applyFont="1" applyBorder="1" applyAlignment="1">
      <alignment/>
    </xf>
    <xf numFmtId="0" fontId="4" fillId="0" borderId="42" xfId="0" applyFont="1" applyBorder="1" applyAlignment="1">
      <alignment/>
    </xf>
    <xf numFmtId="0" fontId="0" fillId="34" borderId="51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2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3" fontId="3" fillId="0" borderId="0" xfId="48" applyNumberFormat="1" applyFont="1" applyFill="1" applyBorder="1" applyAlignment="1">
      <alignment/>
    </xf>
    <xf numFmtId="171" fontId="3" fillId="0" borderId="0" xfId="51" applyNumberFormat="1" applyFont="1" applyFill="1" applyBorder="1" applyAlignment="1">
      <alignment/>
    </xf>
    <xf numFmtId="0" fontId="13" fillId="34" borderId="52" xfId="0" applyFont="1" applyFill="1" applyBorder="1" applyAlignment="1">
      <alignment/>
    </xf>
    <xf numFmtId="0" fontId="13" fillId="34" borderId="35" xfId="0" applyFont="1" applyFill="1" applyBorder="1" applyAlignment="1">
      <alignment/>
    </xf>
    <xf numFmtId="0" fontId="3" fillId="34" borderId="35" xfId="0" applyFont="1" applyFill="1" applyBorder="1" applyAlignment="1">
      <alignment/>
    </xf>
    <xf numFmtId="173" fontId="3" fillId="34" borderId="35" xfId="48" applyNumberFormat="1" applyFont="1" applyFill="1" applyBorder="1" applyAlignment="1">
      <alignment/>
    </xf>
    <xf numFmtId="0" fontId="3" fillId="34" borderId="51" xfId="0" applyFont="1" applyFill="1" applyBorder="1" applyAlignment="1">
      <alignment/>
    </xf>
    <xf numFmtId="173" fontId="3" fillId="34" borderId="51" xfId="48" applyNumberFormat="1" applyFont="1" applyFill="1" applyBorder="1" applyAlignment="1">
      <alignment/>
    </xf>
    <xf numFmtId="173" fontId="21" fillId="34" borderId="52" xfId="48" applyNumberFormat="1" applyFont="1" applyFill="1" applyBorder="1" applyAlignment="1">
      <alignment/>
    </xf>
    <xf numFmtId="173" fontId="3" fillId="34" borderId="52" xfId="48" applyNumberFormat="1" applyFont="1" applyFill="1" applyBorder="1" applyAlignment="1">
      <alignment/>
    </xf>
    <xf numFmtId="0" fontId="3" fillId="34" borderId="52" xfId="0" applyFont="1" applyFill="1" applyBorder="1" applyAlignment="1">
      <alignment/>
    </xf>
    <xf numFmtId="173" fontId="13" fillId="34" borderId="35" xfId="48" applyNumberFormat="1" applyFont="1" applyFill="1" applyBorder="1" applyAlignment="1">
      <alignment/>
    </xf>
    <xf numFmtId="0" fontId="3" fillId="34" borderId="53" xfId="0" applyFont="1" applyFill="1" applyBorder="1" applyAlignment="1">
      <alignment/>
    </xf>
    <xf numFmtId="3" fontId="3" fillId="34" borderId="35" xfId="0" applyNumberFormat="1" applyFont="1" applyFill="1" applyBorder="1" applyAlignment="1">
      <alignment/>
    </xf>
    <xf numFmtId="3" fontId="3" fillId="34" borderId="5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3" fontId="20" fillId="34" borderId="52" xfId="48" applyNumberFormat="1" applyFont="1" applyFill="1" applyBorder="1" applyAlignment="1">
      <alignment/>
    </xf>
    <xf numFmtId="173" fontId="20" fillId="34" borderId="35" xfId="48" applyNumberFormat="1" applyFont="1" applyFill="1" applyBorder="1" applyAlignment="1">
      <alignment/>
    </xf>
    <xf numFmtId="171" fontId="3" fillId="0" borderId="0" xfId="51" applyNumberFormat="1" applyFont="1" applyBorder="1" applyAlignment="1">
      <alignment/>
    </xf>
    <xf numFmtId="173" fontId="13" fillId="34" borderId="51" xfId="48" applyNumberFormat="1" applyFont="1" applyFill="1" applyBorder="1" applyAlignment="1">
      <alignment/>
    </xf>
    <xf numFmtId="173" fontId="13" fillId="34" borderId="52" xfId="48" applyNumberFormat="1" applyFont="1" applyFill="1" applyBorder="1" applyAlignment="1">
      <alignment/>
    </xf>
    <xf numFmtId="0" fontId="13" fillId="34" borderId="51" xfId="0" applyFont="1" applyFill="1" applyBorder="1" applyAlignment="1">
      <alignment/>
    </xf>
    <xf numFmtId="3" fontId="13" fillId="34" borderId="35" xfId="0" applyNumberFormat="1" applyFont="1" applyFill="1" applyBorder="1" applyAlignment="1">
      <alignment/>
    </xf>
    <xf numFmtId="173" fontId="3" fillId="34" borderId="0" xfId="48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173" fontId="3" fillId="34" borderId="54" xfId="48" applyNumberFormat="1" applyFont="1" applyFill="1" applyBorder="1" applyAlignment="1">
      <alignment/>
    </xf>
    <xf numFmtId="0" fontId="13" fillId="34" borderId="13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171" fontId="3" fillId="34" borderId="35" xfId="51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21" fillId="34" borderId="19" xfId="0" applyFont="1" applyFill="1" applyBorder="1" applyAlignment="1">
      <alignment/>
    </xf>
    <xf numFmtId="0" fontId="20" fillId="34" borderId="15" xfId="0" applyFont="1" applyFill="1" applyBorder="1" applyAlignment="1">
      <alignment/>
    </xf>
    <xf numFmtId="0" fontId="20" fillId="34" borderId="17" xfId="0" applyFont="1" applyFill="1" applyBorder="1" applyAlignment="1">
      <alignment/>
    </xf>
    <xf numFmtId="173" fontId="20" fillId="34" borderId="51" xfId="48" applyNumberFormat="1" applyFont="1" applyFill="1" applyBorder="1" applyAlignment="1">
      <alignment/>
    </xf>
    <xf numFmtId="0" fontId="13" fillId="34" borderId="55" xfId="0" applyFont="1" applyFill="1" applyBorder="1" applyAlignment="1">
      <alignment/>
    </xf>
    <xf numFmtId="173" fontId="13" fillId="34" borderId="56" xfId="48" applyNumberFormat="1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34" borderId="37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173" fontId="3" fillId="34" borderId="57" xfId="48" applyNumberFormat="1" applyFont="1" applyFill="1" applyBorder="1" applyAlignment="1">
      <alignment/>
    </xf>
    <xf numFmtId="173" fontId="3" fillId="34" borderId="23" xfId="48" applyNumberFormat="1" applyFont="1" applyFill="1" applyBorder="1" applyAlignment="1">
      <alignment/>
    </xf>
    <xf numFmtId="0" fontId="3" fillId="34" borderId="15" xfId="0" applyFont="1" applyFill="1" applyBorder="1" applyAlignment="1">
      <alignment horizontal="justify"/>
    </xf>
    <xf numFmtId="0" fontId="20" fillId="34" borderId="19" xfId="0" applyFont="1" applyFill="1" applyBorder="1" applyAlignment="1">
      <alignment/>
    </xf>
    <xf numFmtId="0" fontId="20" fillId="34" borderId="49" xfId="0" applyFont="1" applyFill="1" applyBorder="1" applyAlignment="1">
      <alignment/>
    </xf>
    <xf numFmtId="173" fontId="20" fillId="34" borderId="53" xfId="48" applyNumberFormat="1" applyFont="1" applyFill="1" applyBorder="1" applyAlignment="1">
      <alignment/>
    </xf>
    <xf numFmtId="0" fontId="3" fillId="34" borderId="28" xfId="0" applyFont="1" applyFill="1" applyBorder="1" applyAlignment="1">
      <alignment/>
    </xf>
    <xf numFmtId="0" fontId="3" fillId="34" borderId="54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171" fontId="3" fillId="34" borderId="35" xfId="0" applyNumberFormat="1" applyFont="1" applyFill="1" applyBorder="1" applyAlignment="1">
      <alignment/>
    </xf>
    <xf numFmtId="0" fontId="13" fillId="34" borderId="15" xfId="0" applyFont="1" applyFill="1" applyBorder="1" applyAlignment="1">
      <alignment/>
    </xf>
    <xf numFmtId="0" fontId="13" fillId="34" borderId="19" xfId="0" applyFont="1" applyFill="1" applyBorder="1" applyAlignment="1">
      <alignment/>
    </xf>
    <xf numFmtId="173" fontId="13" fillId="34" borderId="57" xfId="48" applyNumberFormat="1" applyFont="1" applyFill="1" applyBorder="1" applyAlignment="1">
      <alignment/>
    </xf>
    <xf numFmtId="0" fontId="13" fillId="34" borderId="17" xfId="0" applyFont="1" applyFill="1" applyBorder="1" applyAlignment="1">
      <alignment/>
    </xf>
    <xf numFmtId="171" fontId="13" fillId="34" borderId="35" xfId="0" applyNumberFormat="1" applyFont="1" applyFill="1" applyBorder="1" applyAlignment="1">
      <alignment/>
    </xf>
    <xf numFmtId="49" fontId="3" fillId="34" borderId="13" xfId="0" applyNumberFormat="1" applyFont="1" applyFill="1" applyBorder="1" applyAlignment="1">
      <alignment wrapText="1"/>
    </xf>
    <xf numFmtId="0" fontId="3" fillId="34" borderId="57" xfId="0" applyFont="1" applyFill="1" applyBorder="1" applyAlignment="1">
      <alignment/>
    </xf>
    <xf numFmtId="49" fontId="13" fillId="34" borderId="15" xfId="0" applyNumberFormat="1" applyFont="1" applyFill="1" applyBorder="1" applyAlignment="1">
      <alignment wrapText="1"/>
    </xf>
    <xf numFmtId="49" fontId="3" fillId="34" borderId="17" xfId="0" applyNumberFormat="1" applyFont="1" applyFill="1" applyBorder="1" applyAlignment="1">
      <alignment wrapText="1"/>
    </xf>
    <xf numFmtId="49" fontId="13" fillId="34" borderId="15" xfId="0" applyNumberFormat="1" applyFont="1" applyFill="1" applyBorder="1" applyAlignment="1">
      <alignment/>
    </xf>
    <xf numFmtId="49" fontId="3" fillId="34" borderId="15" xfId="0" applyNumberFormat="1" applyFont="1" applyFill="1" applyBorder="1" applyAlignment="1">
      <alignment/>
    </xf>
    <xf numFmtId="49" fontId="3" fillId="34" borderId="17" xfId="0" applyNumberFormat="1" applyFont="1" applyFill="1" applyBorder="1" applyAlignment="1">
      <alignment/>
    </xf>
    <xf numFmtId="49" fontId="13" fillId="34" borderId="19" xfId="0" applyNumberFormat="1" applyFont="1" applyFill="1" applyBorder="1" applyAlignment="1">
      <alignment/>
    </xf>
    <xf numFmtId="49" fontId="20" fillId="34" borderId="15" xfId="0" applyNumberFormat="1" applyFont="1" applyFill="1" applyBorder="1" applyAlignment="1">
      <alignment/>
    </xf>
    <xf numFmtId="49" fontId="3" fillId="34" borderId="15" xfId="0" applyNumberFormat="1" applyFont="1" applyFill="1" applyBorder="1" applyAlignment="1">
      <alignment horizontal="left"/>
    </xf>
    <xf numFmtId="49" fontId="13" fillId="34" borderId="19" xfId="0" applyNumberFormat="1" applyFont="1" applyFill="1" applyBorder="1" applyAlignment="1">
      <alignment wrapText="1"/>
    </xf>
    <xf numFmtId="49" fontId="13" fillId="34" borderId="17" xfId="0" applyNumberFormat="1" applyFont="1" applyFill="1" applyBorder="1" applyAlignment="1">
      <alignment wrapText="1"/>
    </xf>
    <xf numFmtId="49" fontId="13" fillId="34" borderId="37" xfId="0" applyNumberFormat="1" applyFont="1" applyFill="1" applyBorder="1" applyAlignment="1">
      <alignment wrapText="1"/>
    </xf>
    <xf numFmtId="3" fontId="3" fillId="34" borderId="51" xfId="48" applyNumberFormat="1" applyFont="1" applyFill="1" applyBorder="1" applyAlignment="1">
      <alignment/>
    </xf>
    <xf numFmtId="9" fontId="3" fillId="34" borderId="52" xfId="48" applyNumberFormat="1" applyFont="1" applyFill="1" applyBorder="1" applyAlignment="1">
      <alignment/>
    </xf>
    <xf numFmtId="171" fontId="3" fillId="34" borderId="0" xfId="0" applyNumberFormat="1" applyFont="1" applyFill="1" applyBorder="1" applyAlignment="1">
      <alignment/>
    </xf>
    <xf numFmtId="0" fontId="3" fillId="34" borderId="57" xfId="0" applyFont="1" applyFill="1" applyBorder="1" applyAlignment="1">
      <alignment horizontal="center"/>
    </xf>
    <xf numFmtId="0" fontId="3" fillId="34" borderId="58" xfId="0" applyFont="1" applyFill="1" applyBorder="1" applyAlignment="1">
      <alignment/>
    </xf>
    <xf numFmtId="0" fontId="0" fillId="34" borderId="17" xfId="0" applyFill="1" applyBorder="1" applyAlignment="1">
      <alignment/>
    </xf>
    <xf numFmtId="173" fontId="21" fillId="34" borderId="57" xfId="48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3" fillId="34" borderId="19" xfId="0" applyFont="1" applyFill="1" applyBorder="1" applyAlignment="1">
      <alignment horizontal="justify"/>
    </xf>
    <xf numFmtId="0" fontId="3" fillId="34" borderId="52" xfId="48" applyNumberFormat="1" applyFont="1" applyFill="1" applyBorder="1" applyAlignment="1">
      <alignment/>
    </xf>
    <xf numFmtId="0" fontId="1" fillId="33" borderId="55" xfId="0" applyFont="1" applyFill="1" applyBorder="1" applyAlignment="1">
      <alignment horizontal="center"/>
    </xf>
    <xf numFmtId="0" fontId="1" fillId="33" borderId="56" xfId="0" applyFont="1" applyFill="1" applyBorder="1" applyAlignment="1">
      <alignment horizontal="center"/>
    </xf>
    <xf numFmtId="0" fontId="13" fillId="33" borderId="56" xfId="0" applyFont="1" applyFill="1" applyBorder="1" applyAlignment="1">
      <alignment horizontal="center"/>
    </xf>
    <xf numFmtId="0" fontId="13" fillId="33" borderId="59" xfId="0" applyFont="1" applyFill="1" applyBorder="1" applyAlignment="1">
      <alignment horizontal="center"/>
    </xf>
    <xf numFmtId="0" fontId="19" fillId="12" borderId="55" xfId="0" applyFont="1" applyFill="1" applyBorder="1" applyAlignment="1">
      <alignment/>
    </xf>
    <xf numFmtId="0" fontId="1" fillId="12" borderId="56" xfId="0" applyFont="1" applyFill="1" applyBorder="1" applyAlignment="1">
      <alignment horizontal="center"/>
    </xf>
    <xf numFmtId="0" fontId="13" fillId="12" borderId="56" xfId="0" applyFont="1" applyFill="1" applyBorder="1" applyAlignment="1">
      <alignment horizontal="center"/>
    </xf>
    <xf numFmtId="0" fontId="13" fillId="12" borderId="59" xfId="48" applyNumberFormat="1" applyFont="1" applyFill="1" applyBorder="1" applyAlignment="1">
      <alignment horizontal="center"/>
    </xf>
    <xf numFmtId="0" fontId="19" fillId="12" borderId="13" xfId="0" applyFont="1" applyFill="1" applyBorder="1" applyAlignment="1">
      <alignment/>
    </xf>
    <xf numFmtId="0" fontId="1" fillId="12" borderId="57" xfId="0" applyFont="1" applyFill="1" applyBorder="1" applyAlignment="1">
      <alignment horizontal="center"/>
    </xf>
    <xf numFmtId="0" fontId="13" fillId="12" borderId="57" xfId="0" applyFont="1" applyFill="1" applyBorder="1" applyAlignment="1">
      <alignment horizontal="center"/>
    </xf>
    <xf numFmtId="0" fontId="13" fillId="12" borderId="45" xfId="0" applyFont="1" applyFill="1" applyBorder="1" applyAlignment="1">
      <alignment horizontal="center"/>
    </xf>
    <xf numFmtId="0" fontId="19" fillId="12" borderId="13" xfId="0" applyFont="1" applyFill="1" applyBorder="1" applyAlignment="1">
      <alignment/>
    </xf>
    <xf numFmtId="0" fontId="1" fillId="12" borderId="57" xfId="48" applyNumberFormat="1" applyFont="1" applyFill="1" applyBorder="1" applyAlignment="1">
      <alignment horizontal="center"/>
    </xf>
    <xf numFmtId="0" fontId="13" fillId="12" borderId="57" xfId="48" applyNumberFormat="1" applyFont="1" applyFill="1" applyBorder="1" applyAlignment="1">
      <alignment horizontal="center"/>
    </xf>
    <xf numFmtId="0" fontId="13" fillId="12" borderId="45" xfId="48" applyNumberFormat="1" applyFont="1" applyFill="1" applyBorder="1" applyAlignment="1">
      <alignment horizontal="center"/>
    </xf>
    <xf numFmtId="0" fontId="19" fillId="12" borderId="13" xfId="0" applyFont="1" applyFill="1" applyBorder="1" applyAlignment="1">
      <alignment horizontal="left"/>
    </xf>
    <xf numFmtId="0" fontId="18" fillId="12" borderId="49" xfId="0" applyFont="1" applyFill="1" applyBorder="1" applyAlignment="1">
      <alignment horizontal="justify"/>
    </xf>
    <xf numFmtId="0" fontId="0" fillId="33" borderId="60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61" xfId="0" applyFill="1" applyBorder="1" applyAlignment="1">
      <alignment/>
    </xf>
    <xf numFmtId="0" fontId="15" fillId="33" borderId="37" xfId="0" applyFont="1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28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0" fillId="33" borderId="37" xfId="0" applyFill="1" applyBorder="1" applyAlignment="1">
      <alignment/>
    </xf>
    <xf numFmtId="43" fontId="3" fillId="34" borderId="57" xfId="0" applyNumberFormat="1" applyFont="1" applyFill="1" applyBorder="1" applyAlignment="1">
      <alignment/>
    </xf>
    <xf numFmtId="0" fontId="21" fillId="34" borderId="13" xfId="0" applyFont="1" applyFill="1" applyBorder="1" applyAlignment="1">
      <alignment/>
    </xf>
    <xf numFmtId="0" fontId="13" fillId="12" borderId="59" xfId="0" applyFont="1" applyFill="1" applyBorder="1" applyAlignment="1">
      <alignment horizontal="center"/>
    </xf>
    <xf numFmtId="0" fontId="20" fillId="34" borderId="13" xfId="0" applyFont="1" applyFill="1" applyBorder="1" applyAlignment="1">
      <alignment/>
    </xf>
    <xf numFmtId="0" fontId="20" fillId="34" borderId="58" xfId="0" applyFont="1" applyFill="1" applyBorder="1" applyAlignment="1">
      <alignment/>
    </xf>
    <xf numFmtId="0" fontId="3" fillId="34" borderId="62" xfId="0" applyFont="1" applyFill="1" applyBorder="1" applyAlignment="1">
      <alignment/>
    </xf>
    <xf numFmtId="0" fontId="13" fillId="34" borderId="40" xfId="0" applyFont="1" applyFill="1" applyBorder="1" applyAlignment="1">
      <alignment/>
    </xf>
    <xf numFmtId="0" fontId="3" fillId="34" borderId="60" xfId="0" applyFont="1" applyFill="1" applyBorder="1" applyAlignment="1">
      <alignment/>
    </xf>
    <xf numFmtId="173" fontId="3" fillId="34" borderId="39" xfId="48" applyNumberFormat="1" applyFont="1" applyFill="1" applyBorder="1" applyAlignment="1">
      <alignment/>
    </xf>
    <xf numFmtId="173" fontId="3" fillId="34" borderId="63" xfId="48" applyNumberFormat="1" applyFont="1" applyFill="1" applyBorder="1" applyAlignment="1">
      <alignment/>
    </xf>
    <xf numFmtId="49" fontId="13" fillId="34" borderId="37" xfId="0" applyNumberFormat="1" applyFont="1" applyFill="1" applyBorder="1" applyAlignment="1">
      <alignment/>
    </xf>
    <xf numFmtId="171" fontId="3" fillId="34" borderId="35" xfId="48" applyNumberFormat="1" applyFont="1" applyFill="1" applyBorder="1" applyAlignment="1">
      <alignment/>
    </xf>
    <xf numFmtId="173" fontId="20" fillId="34" borderId="57" xfId="48" applyNumberFormat="1" applyFont="1" applyFill="1" applyBorder="1" applyAlignment="1">
      <alignment/>
    </xf>
    <xf numFmtId="173" fontId="13" fillId="34" borderId="64" xfId="48" applyNumberFormat="1" applyFont="1" applyFill="1" applyBorder="1" applyAlignment="1">
      <alignment/>
    </xf>
    <xf numFmtId="171" fontId="13" fillId="34" borderId="35" xfId="48" applyNumberFormat="1" applyFont="1" applyFill="1" applyBorder="1" applyAlignment="1">
      <alignment/>
    </xf>
    <xf numFmtId="49" fontId="3" fillId="34" borderId="58" xfId="0" applyNumberFormat="1" applyFont="1" applyFill="1" applyBorder="1" applyAlignment="1">
      <alignment/>
    </xf>
    <xf numFmtId="49" fontId="13" fillId="34" borderId="13" xfId="0" applyNumberFormat="1" applyFont="1" applyFill="1" applyBorder="1" applyAlignment="1">
      <alignment/>
    </xf>
    <xf numFmtId="49" fontId="13" fillId="34" borderId="60" xfId="0" applyNumberFormat="1" applyFont="1" applyFill="1" applyBorder="1" applyAlignment="1">
      <alignment/>
    </xf>
    <xf numFmtId="49" fontId="13" fillId="34" borderId="13" xfId="0" applyNumberFormat="1" applyFont="1" applyFill="1" applyBorder="1" applyAlignment="1">
      <alignment wrapText="1"/>
    </xf>
    <xf numFmtId="49" fontId="13" fillId="34" borderId="60" xfId="0" applyNumberFormat="1" applyFont="1" applyFill="1" applyBorder="1" applyAlignment="1">
      <alignment wrapText="1"/>
    </xf>
    <xf numFmtId="49" fontId="13" fillId="34" borderId="28" xfId="0" applyNumberFormat="1" applyFont="1" applyFill="1" applyBorder="1" applyAlignment="1">
      <alignment wrapText="1"/>
    </xf>
    <xf numFmtId="0" fontId="0" fillId="34" borderId="58" xfId="0" applyFill="1" applyBorder="1" applyAlignment="1">
      <alignment/>
    </xf>
    <xf numFmtId="0" fontId="18" fillId="12" borderId="22" xfId="0" applyFont="1" applyFill="1" applyBorder="1" applyAlignment="1">
      <alignment horizontal="justify"/>
    </xf>
    <xf numFmtId="0" fontId="3" fillId="34" borderId="65" xfId="0" applyFont="1" applyFill="1" applyBorder="1" applyAlignment="1">
      <alignment/>
    </xf>
    <xf numFmtId="0" fontId="18" fillId="12" borderId="40" xfId="0" applyFont="1" applyFill="1" applyBorder="1" applyAlignment="1">
      <alignment/>
    </xf>
    <xf numFmtId="0" fontId="1" fillId="12" borderId="64" xfId="0" applyFont="1" applyFill="1" applyBorder="1" applyAlignment="1">
      <alignment horizontal="center"/>
    </xf>
    <xf numFmtId="0" fontId="1" fillId="34" borderId="64" xfId="0" applyFont="1" applyFill="1" applyBorder="1" applyAlignment="1">
      <alignment horizontal="center"/>
    </xf>
    <xf numFmtId="0" fontId="13" fillId="34" borderId="64" xfId="0" applyFont="1" applyFill="1" applyBorder="1" applyAlignment="1">
      <alignment horizontal="center"/>
    </xf>
    <xf numFmtId="0" fontId="13" fillId="34" borderId="40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0" fontId="13" fillId="34" borderId="65" xfId="0" applyFont="1" applyFill="1" applyBorder="1" applyAlignment="1">
      <alignment horizontal="center"/>
    </xf>
    <xf numFmtId="0" fontId="13" fillId="35" borderId="64" xfId="0" applyFont="1" applyFill="1" applyBorder="1" applyAlignment="1">
      <alignment horizontal="center"/>
    </xf>
    <xf numFmtId="0" fontId="13" fillId="35" borderId="61" xfId="0" applyFont="1" applyFill="1" applyBorder="1" applyAlignment="1">
      <alignment horizontal="center"/>
    </xf>
    <xf numFmtId="0" fontId="13" fillId="35" borderId="65" xfId="0" applyFont="1" applyFill="1" applyBorder="1" applyAlignment="1">
      <alignment horizontal="center"/>
    </xf>
    <xf numFmtId="0" fontId="13" fillId="35" borderId="66" xfId="0" applyFont="1" applyFill="1" applyBorder="1" applyAlignment="1">
      <alignment horizontal="center"/>
    </xf>
    <xf numFmtId="0" fontId="3" fillId="35" borderId="57" xfId="0" applyFont="1" applyFill="1" applyBorder="1" applyAlignment="1">
      <alignment/>
    </xf>
    <xf numFmtId="0" fontId="3" fillId="35" borderId="45" xfId="0" applyFont="1" applyFill="1" applyBorder="1" applyAlignment="1">
      <alignment horizontal="right"/>
    </xf>
    <xf numFmtId="173" fontId="3" fillId="35" borderId="35" xfId="48" applyNumberFormat="1" applyFont="1" applyFill="1" applyBorder="1" applyAlignment="1">
      <alignment/>
    </xf>
    <xf numFmtId="173" fontId="3" fillId="35" borderId="42" xfId="48" applyNumberFormat="1" applyFont="1" applyFill="1" applyBorder="1" applyAlignment="1">
      <alignment/>
    </xf>
    <xf numFmtId="173" fontId="3" fillId="35" borderId="51" xfId="48" applyNumberFormat="1" applyFont="1" applyFill="1" applyBorder="1" applyAlignment="1">
      <alignment/>
    </xf>
    <xf numFmtId="173" fontId="3" fillId="35" borderId="44" xfId="48" applyNumberFormat="1" applyFont="1" applyFill="1" applyBorder="1" applyAlignment="1">
      <alignment/>
    </xf>
    <xf numFmtId="173" fontId="21" fillId="35" borderId="57" xfId="48" applyNumberFormat="1" applyFont="1" applyFill="1" applyBorder="1" applyAlignment="1">
      <alignment/>
    </xf>
    <xf numFmtId="173" fontId="21" fillId="35" borderId="45" xfId="48" applyNumberFormat="1" applyFont="1" applyFill="1" applyBorder="1" applyAlignment="1">
      <alignment/>
    </xf>
    <xf numFmtId="173" fontId="20" fillId="35" borderId="35" xfId="48" applyNumberFormat="1" applyFont="1" applyFill="1" applyBorder="1" applyAlignment="1">
      <alignment/>
    </xf>
    <xf numFmtId="171" fontId="3" fillId="35" borderId="42" xfId="51" applyNumberFormat="1" applyFont="1" applyFill="1" applyBorder="1" applyAlignment="1">
      <alignment/>
    </xf>
    <xf numFmtId="173" fontId="21" fillId="35" borderId="52" xfId="48" applyNumberFormat="1" applyFont="1" applyFill="1" applyBorder="1" applyAlignment="1">
      <alignment/>
    </xf>
    <xf numFmtId="173" fontId="21" fillId="35" borderId="46" xfId="48" applyNumberFormat="1" applyFont="1" applyFill="1" applyBorder="1" applyAlignment="1">
      <alignment/>
    </xf>
    <xf numFmtId="173" fontId="20" fillId="35" borderId="51" xfId="48" applyNumberFormat="1" applyFont="1" applyFill="1" applyBorder="1" applyAlignment="1">
      <alignment/>
    </xf>
    <xf numFmtId="171" fontId="3" fillId="35" borderId="44" xfId="51" applyNumberFormat="1" applyFont="1" applyFill="1" applyBorder="1" applyAlignment="1">
      <alignment/>
    </xf>
    <xf numFmtId="173" fontId="13" fillId="35" borderId="56" xfId="48" applyNumberFormat="1" applyFont="1" applyFill="1" applyBorder="1" applyAlignment="1">
      <alignment/>
    </xf>
    <xf numFmtId="173" fontId="13" fillId="35" borderId="59" xfId="48" applyNumberFormat="1" applyFont="1" applyFill="1" applyBorder="1" applyAlignment="1">
      <alignment/>
    </xf>
    <xf numFmtId="173" fontId="3" fillId="35" borderId="52" xfId="48" applyNumberFormat="1" applyFont="1" applyFill="1" applyBorder="1" applyAlignment="1">
      <alignment/>
    </xf>
    <xf numFmtId="171" fontId="3" fillId="35" borderId="46" xfId="51" applyNumberFormat="1" applyFont="1" applyFill="1" applyBorder="1" applyAlignment="1">
      <alignment/>
    </xf>
    <xf numFmtId="173" fontId="3" fillId="35" borderId="54" xfId="48" applyNumberFormat="1" applyFont="1" applyFill="1" applyBorder="1" applyAlignment="1">
      <alignment/>
    </xf>
    <xf numFmtId="173" fontId="3" fillId="35" borderId="67" xfId="48" applyNumberFormat="1" applyFont="1" applyFill="1" applyBorder="1" applyAlignment="1">
      <alignment/>
    </xf>
    <xf numFmtId="173" fontId="3" fillId="35" borderId="0" xfId="48" applyNumberFormat="1" applyFont="1" applyFill="1" applyBorder="1" applyAlignment="1">
      <alignment/>
    </xf>
    <xf numFmtId="171" fontId="3" fillId="35" borderId="43" xfId="51" applyNumberFormat="1" applyFont="1" applyFill="1" applyBorder="1" applyAlignment="1">
      <alignment/>
    </xf>
    <xf numFmtId="173" fontId="13" fillId="35" borderId="57" xfId="48" applyNumberFormat="1" applyFont="1" applyFill="1" applyBorder="1" applyAlignment="1">
      <alignment/>
    </xf>
    <xf numFmtId="173" fontId="13" fillId="35" borderId="45" xfId="48" applyNumberFormat="1" applyFont="1" applyFill="1" applyBorder="1" applyAlignment="1">
      <alignment/>
    </xf>
    <xf numFmtId="173" fontId="13" fillId="35" borderId="52" xfId="48" applyNumberFormat="1" applyFont="1" applyFill="1" applyBorder="1" applyAlignment="1">
      <alignment/>
    </xf>
    <xf numFmtId="173" fontId="13" fillId="35" borderId="46" xfId="48" applyNumberFormat="1" applyFont="1" applyFill="1" applyBorder="1" applyAlignment="1">
      <alignment/>
    </xf>
    <xf numFmtId="173" fontId="13" fillId="35" borderId="35" xfId="48" applyNumberFormat="1" applyFont="1" applyFill="1" applyBorder="1" applyAlignment="1">
      <alignment/>
    </xf>
    <xf numFmtId="173" fontId="13" fillId="35" borderId="42" xfId="48" applyNumberFormat="1" applyFont="1" applyFill="1" applyBorder="1" applyAlignment="1">
      <alignment/>
    </xf>
    <xf numFmtId="173" fontId="13" fillId="35" borderId="51" xfId="48" applyNumberFormat="1" applyFont="1" applyFill="1" applyBorder="1" applyAlignment="1">
      <alignment/>
    </xf>
    <xf numFmtId="173" fontId="13" fillId="35" borderId="44" xfId="48" applyNumberFormat="1" applyFont="1" applyFill="1" applyBorder="1" applyAlignment="1">
      <alignment/>
    </xf>
    <xf numFmtId="0" fontId="3" fillId="35" borderId="52" xfId="0" applyFont="1" applyFill="1" applyBorder="1" applyAlignment="1">
      <alignment/>
    </xf>
    <xf numFmtId="0" fontId="3" fillId="35" borderId="35" xfId="0" applyFont="1" applyFill="1" applyBorder="1" applyAlignment="1">
      <alignment/>
    </xf>
    <xf numFmtId="173" fontId="20" fillId="35" borderId="57" xfId="48" applyNumberFormat="1" applyFont="1" applyFill="1" applyBorder="1" applyAlignment="1">
      <alignment/>
    </xf>
    <xf numFmtId="173" fontId="20" fillId="35" borderId="45" xfId="48" applyNumberFormat="1" applyFont="1" applyFill="1" applyBorder="1" applyAlignment="1">
      <alignment/>
    </xf>
    <xf numFmtId="173" fontId="20" fillId="35" borderId="52" xfId="48" applyNumberFormat="1" applyFont="1" applyFill="1" applyBorder="1" applyAlignment="1">
      <alignment/>
    </xf>
    <xf numFmtId="173" fontId="20" fillId="35" borderId="46" xfId="48" applyNumberFormat="1" applyFont="1" applyFill="1" applyBorder="1" applyAlignment="1">
      <alignment/>
    </xf>
    <xf numFmtId="173" fontId="3" fillId="35" borderId="57" xfId="48" applyNumberFormat="1" applyFont="1" applyFill="1" applyBorder="1" applyAlignment="1">
      <alignment/>
    </xf>
    <xf numFmtId="173" fontId="3" fillId="35" borderId="45" xfId="48" applyNumberFormat="1" applyFont="1" applyFill="1" applyBorder="1" applyAlignment="1">
      <alignment/>
    </xf>
    <xf numFmtId="173" fontId="13" fillId="35" borderId="64" xfId="48" applyNumberFormat="1" applyFont="1" applyFill="1" applyBorder="1" applyAlignment="1">
      <alignment/>
    </xf>
    <xf numFmtId="173" fontId="13" fillId="35" borderId="68" xfId="48" applyNumberFormat="1" applyFont="1" applyFill="1" applyBorder="1" applyAlignment="1">
      <alignment/>
    </xf>
    <xf numFmtId="173" fontId="3" fillId="35" borderId="39" xfId="48" applyNumberFormat="1" applyFont="1" applyFill="1" applyBorder="1" applyAlignment="1">
      <alignment/>
    </xf>
    <xf numFmtId="173" fontId="3" fillId="35" borderId="61" xfId="48" applyNumberFormat="1" applyFont="1" applyFill="1" applyBorder="1" applyAlignment="1">
      <alignment/>
    </xf>
    <xf numFmtId="173" fontId="3" fillId="35" borderId="23" xfId="48" applyNumberFormat="1" applyFont="1" applyFill="1" applyBorder="1" applyAlignment="1">
      <alignment/>
    </xf>
    <xf numFmtId="173" fontId="3" fillId="35" borderId="66" xfId="48" applyNumberFormat="1" applyFont="1" applyFill="1" applyBorder="1" applyAlignment="1">
      <alignment/>
    </xf>
    <xf numFmtId="173" fontId="3" fillId="35" borderId="46" xfId="48" applyNumberFormat="1" applyFont="1" applyFill="1" applyBorder="1" applyAlignment="1">
      <alignment/>
    </xf>
    <xf numFmtId="173" fontId="3" fillId="35" borderId="63" xfId="48" applyNumberFormat="1" applyFont="1" applyFill="1" applyBorder="1" applyAlignment="1">
      <alignment/>
    </xf>
    <xf numFmtId="173" fontId="3" fillId="35" borderId="69" xfId="48" applyNumberFormat="1" applyFont="1" applyFill="1" applyBorder="1" applyAlignment="1">
      <alignment/>
    </xf>
    <xf numFmtId="0" fontId="3" fillId="35" borderId="52" xfId="48" applyNumberFormat="1" applyFont="1" applyFill="1" applyBorder="1" applyAlignment="1">
      <alignment/>
    </xf>
    <xf numFmtId="173" fontId="3" fillId="35" borderId="43" xfId="48" applyNumberFormat="1" applyFont="1" applyFill="1" applyBorder="1" applyAlignment="1">
      <alignment/>
    </xf>
    <xf numFmtId="171" fontId="13" fillId="35" borderId="35" xfId="48" applyNumberFormat="1" applyFont="1" applyFill="1" applyBorder="1" applyAlignment="1">
      <alignment/>
    </xf>
    <xf numFmtId="171" fontId="13" fillId="35" borderId="42" xfId="48" applyNumberFormat="1" applyFont="1" applyFill="1" applyBorder="1" applyAlignment="1">
      <alignment/>
    </xf>
    <xf numFmtId="0" fontId="3" fillId="35" borderId="51" xfId="0" applyFont="1" applyFill="1" applyBorder="1" applyAlignment="1">
      <alignment/>
    </xf>
    <xf numFmtId="171" fontId="3" fillId="35" borderId="35" xfId="48" applyNumberFormat="1" applyFont="1" applyFill="1" applyBorder="1" applyAlignment="1">
      <alignment/>
    </xf>
    <xf numFmtId="171" fontId="3" fillId="35" borderId="42" xfId="48" applyNumberFormat="1" applyFont="1" applyFill="1" applyBorder="1" applyAlignment="1">
      <alignment/>
    </xf>
    <xf numFmtId="0" fontId="3" fillId="35" borderId="65" xfId="0" applyFont="1" applyFill="1" applyBorder="1" applyAlignment="1">
      <alignment/>
    </xf>
    <xf numFmtId="171" fontId="3" fillId="35" borderId="50" xfId="51" applyNumberFormat="1" applyFont="1" applyFill="1" applyBorder="1" applyAlignment="1">
      <alignment/>
    </xf>
    <xf numFmtId="0" fontId="1" fillId="35" borderId="64" xfId="0" applyFont="1" applyFill="1" applyBorder="1" applyAlignment="1">
      <alignment horizontal="center"/>
    </xf>
    <xf numFmtId="0" fontId="13" fillId="35" borderId="68" xfId="0" applyFont="1" applyFill="1" applyBorder="1" applyAlignment="1">
      <alignment horizontal="center"/>
    </xf>
    <xf numFmtId="0" fontId="3" fillId="35" borderId="52" xfId="0" applyFont="1" applyFill="1" applyBorder="1" applyAlignment="1">
      <alignment horizontal="right"/>
    </xf>
    <xf numFmtId="0" fontId="3" fillId="35" borderId="46" xfId="48" applyNumberFormat="1" applyFont="1" applyFill="1" applyBorder="1" applyAlignment="1">
      <alignment/>
    </xf>
    <xf numFmtId="171" fontId="3" fillId="35" borderId="35" xfId="51" applyNumberFormat="1" applyFont="1" applyFill="1" applyBorder="1" applyAlignment="1">
      <alignment/>
    </xf>
    <xf numFmtId="171" fontId="3" fillId="35" borderId="51" xfId="51" applyNumberFormat="1" applyFont="1" applyFill="1" applyBorder="1" applyAlignment="1">
      <alignment/>
    </xf>
    <xf numFmtId="171" fontId="13" fillId="35" borderId="52" xfId="51" applyNumberFormat="1" applyFont="1" applyFill="1" applyBorder="1" applyAlignment="1">
      <alignment/>
    </xf>
    <xf numFmtId="171" fontId="13" fillId="35" borderId="56" xfId="51" applyNumberFormat="1" applyFont="1" applyFill="1" applyBorder="1" applyAlignment="1">
      <alignment/>
    </xf>
    <xf numFmtId="171" fontId="3" fillId="35" borderId="52" xfId="51" applyNumberFormat="1" applyFont="1" applyFill="1" applyBorder="1" applyAlignment="1">
      <alignment/>
    </xf>
    <xf numFmtId="171" fontId="3" fillId="35" borderId="0" xfId="51" applyNumberFormat="1" applyFont="1" applyFill="1" applyBorder="1" applyAlignment="1">
      <alignment/>
    </xf>
    <xf numFmtId="171" fontId="13" fillId="35" borderId="57" xfId="51" applyNumberFormat="1" applyFont="1" applyFill="1" applyBorder="1" applyAlignment="1">
      <alignment/>
    </xf>
    <xf numFmtId="171" fontId="13" fillId="35" borderId="35" xfId="51" applyNumberFormat="1" applyFont="1" applyFill="1" applyBorder="1" applyAlignment="1">
      <alignment/>
    </xf>
    <xf numFmtId="171" fontId="13" fillId="35" borderId="51" xfId="51" applyNumberFormat="1" applyFont="1" applyFill="1" applyBorder="1" applyAlignment="1">
      <alignment/>
    </xf>
    <xf numFmtId="171" fontId="3" fillId="35" borderId="23" xfId="51" applyNumberFormat="1" applyFont="1" applyFill="1" applyBorder="1" applyAlignment="1">
      <alignment/>
    </xf>
    <xf numFmtId="171" fontId="3" fillId="35" borderId="57" xfId="51" applyNumberFormat="1" applyFont="1" applyFill="1" applyBorder="1" applyAlignment="1">
      <alignment/>
    </xf>
    <xf numFmtId="173" fontId="3" fillId="35" borderId="50" xfId="48" applyNumberFormat="1" applyFont="1" applyFill="1" applyBorder="1" applyAlignment="1">
      <alignment/>
    </xf>
    <xf numFmtId="171" fontId="13" fillId="35" borderId="42" xfId="51" applyNumberFormat="1" applyFont="1" applyFill="1" applyBorder="1" applyAlignment="1">
      <alignment/>
    </xf>
    <xf numFmtId="171" fontId="3" fillId="35" borderId="54" xfId="51" applyNumberFormat="1" applyFont="1" applyFill="1" applyBorder="1" applyAlignment="1">
      <alignment/>
    </xf>
    <xf numFmtId="171" fontId="3" fillId="35" borderId="67" xfId="51" applyNumberFormat="1" applyFont="1" applyFill="1" applyBorder="1" applyAlignment="1">
      <alignment/>
    </xf>
    <xf numFmtId="0" fontId="0" fillId="35" borderId="51" xfId="0" applyFill="1" applyBorder="1" applyAlignment="1">
      <alignment/>
    </xf>
    <xf numFmtId="0" fontId="0" fillId="35" borderId="44" xfId="0" applyFill="1" applyBorder="1" applyAlignment="1">
      <alignment/>
    </xf>
    <xf numFmtId="171" fontId="3" fillId="35" borderId="45" xfId="51" applyNumberFormat="1" applyFont="1" applyFill="1" applyBorder="1" applyAlignment="1">
      <alignment/>
    </xf>
    <xf numFmtId="171" fontId="3" fillId="35" borderId="53" xfId="51" applyNumberFormat="1" applyFont="1" applyFill="1" applyBorder="1" applyAlignment="1">
      <alignment/>
    </xf>
    <xf numFmtId="173" fontId="3" fillId="35" borderId="70" xfId="48" applyNumberFormat="1" applyFont="1" applyFill="1" applyBorder="1" applyAlignment="1">
      <alignment/>
    </xf>
    <xf numFmtId="171" fontId="21" fillId="35" borderId="52" xfId="51" applyNumberFormat="1" applyFont="1" applyFill="1" applyBorder="1" applyAlignment="1">
      <alignment/>
    </xf>
    <xf numFmtId="0" fontId="3" fillId="34" borderId="58" xfId="0" applyFont="1" applyFill="1" applyBorder="1" applyAlignment="1">
      <alignment/>
    </xf>
    <xf numFmtId="9" fontId="3" fillId="35" borderId="67" xfId="51" applyNumberFormat="1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6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173" fontId="3" fillId="0" borderId="43" xfId="48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1" fillId="0" borderId="71" xfId="0" applyFont="1" applyFill="1" applyBorder="1" applyAlignment="1">
      <alignment horizontal="center" vertical="justify"/>
    </xf>
    <xf numFmtId="0" fontId="1" fillId="0" borderId="38" xfId="0" applyFont="1" applyFill="1" applyBorder="1" applyAlignment="1">
      <alignment horizontal="center" vertical="justify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Selbstfinanzierungsgrad (SFG) 
</a:t>
            </a:r>
          </a:p>
        </c:rich>
      </c:tx>
      <c:layout>
        <c:manualLayout>
          <c:xMode val="factor"/>
          <c:yMode val="factor"/>
          <c:x val="0.06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275"/>
          <c:y val="0.193"/>
          <c:w val="0.68725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'[1]Grafiken'!$A$2</c:f>
              <c:strCache>
                <c:ptCount val="1"/>
                <c:pt idx="0">
                  <c:v>SFG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'[1]Grafiken'!$B$1:$G$1</c:f>
              <c:strCach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Mittelwert</c:v>
                </c:pt>
              </c:strCache>
            </c:strRef>
          </c:cat>
          <c:val>
            <c:numRef>
              <c:f>'[1]Grafiken'!$B$2:$G$2</c:f>
              <c:numCache>
                <c:ptCount val="6"/>
                <c:pt idx="0">
                  <c:v>-1.5085667244865513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-1.5085667244865513</c:v>
                </c:pt>
              </c:numCache>
            </c:numRef>
          </c:val>
        </c:ser>
        <c:axId val="12857747"/>
        <c:axId val="48610860"/>
      </c:barChart>
      <c:lineChart>
        <c:grouping val="standard"/>
        <c:varyColors val="0"/>
        <c:ser>
          <c:idx val="1"/>
          <c:order val="1"/>
          <c:tx>
            <c:strRef>
              <c:f>'[1]Grafiken'!$A$3</c:f>
              <c:strCache>
                <c:ptCount val="1"/>
                <c:pt idx="0">
                  <c:v>alle Gemeinden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'[1]Grafiken'!$B$1:$G$1</c:f>
              <c:strCach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Mittelwert</c:v>
                </c:pt>
              </c:strCache>
            </c:strRef>
          </c:cat>
          <c:val>
            <c:numRef>
              <c:f>'[1]Grafiken'!$B$3:$G$3</c:f>
              <c:numCache>
                <c:ptCount val="6"/>
                <c:pt idx="0">
                  <c:v>0.018131661629134505</c:v>
                </c:pt>
                <c:pt idx="5">
                  <c:v>0.018131661629134505</c:v>
                </c:pt>
              </c:numCache>
            </c:numRef>
          </c:val>
          <c:smooth val="0"/>
        </c:ser>
        <c:axId val="12857747"/>
        <c:axId val="48610860"/>
      </c:lineChart>
      <c:catAx>
        <c:axId val="12857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10860"/>
        <c:crosses val="autoZero"/>
        <c:auto val="1"/>
        <c:lblOffset val="100"/>
        <c:tickLblSkip val="2"/>
        <c:noMultiLvlLbl val="0"/>
      </c:catAx>
      <c:valAx>
        <c:axId val="48610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Selbstfinanzierung in % der Nettoinvestitionen</a:t>
                </a:r>
              </a:p>
            </c:rich>
          </c:tx>
          <c:layout>
            <c:manualLayout>
              <c:xMode val="factor"/>
              <c:yMode val="factor"/>
              <c:x val="0.009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577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7"/>
          <c:y val="0.8535"/>
          <c:w val="0.49125"/>
          <c:h val="0.0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Kapitaldienstanteil (KDA) 
</a:t>
            </a:r>
          </a:p>
        </c:rich>
      </c:tx>
      <c:layout>
        <c:manualLayout>
          <c:xMode val="factor"/>
          <c:yMode val="factor"/>
          <c:x val="0.02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025"/>
          <c:y val="0.2325"/>
          <c:w val="0.6255"/>
          <c:h val="0.4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'[1]Grafiken'!$A$14</c:f>
              <c:strCache>
                <c:ptCount val="1"/>
                <c:pt idx="0">
                  <c:v>KDA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'[1]Grafiken'!$B$13:$G$13</c:f>
              <c:strCach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Mittelwert</c:v>
                </c:pt>
              </c:strCache>
            </c:strRef>
          </c:cat>
          <c:val>
            <c:numRef>
              <c:f>'[1]Grafiken'!$B$14:$G$14</c:f>
              <c:numCache>
                <c:ptCount val="6"/>
                <c:pt idx="0">
                  <c:v>0.07070460516968788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0.07070460516968788</c:v>
                </c:pt>
              </c:numCache>
            </c:numRef>
          </c:val>
        </c:ser>
        <c:axId val="20538333"/>
        <c:axId val="50627270"/>
      </c:barChart>
      <c:lineChart>
        <c:grouping val="standard"/>
        <c:varyColors val="0"/>
        <c:ser>
          <c:idx val="1"/>
          <c:order val="1"/>
          <c:tx>
            <c:strRef>
              <c:f>'[1]Grafiken'!$A$15</c:f>
              <c:strCache>
                <c:ptCount val="1"/>
                <c:pt idx="0">
                  <c:v>alle Gemeinden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'[1]Grafiken'!$B$13:$G$13</c:f>
              <c:strCach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Mittelwert</c:v>
                </c:pt>
              </c:strCache>
            </c:strRef>
          </c:cat>
          <c:val>
            <c:numRef>
              <c:f>'[1]Grafiken'!$B$15:$G$15</c:f>
              <c:numCache>
                <c:ptCount val="6"/>
                <c:pt idx="0">
                  <c:v>0.06308296573288055</c:v>
                </c:pt>
                <c:pt idx="5">
                  <c:v>0.06308296573288055</c:v>
                </c:pt>
              </c:numCache>
            </c:numRef>
          </c:val>
          <c:smooth val="0"/>
        </c:ser>
        <c:axId val="20538333"/>
        <c:axId val="50627270"/>
      </c:lineChart>
      <c:catAx>
        <c:axId val="20538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27270"/>
        <c:crosses val="autoZero"/>
        <c:auto val="1"/>
        <c:lblOffset val="100"/>
        <c:tickLblSkip val="2"/>
        <c:noMultiLvlLbl val="0"/>
      </c:catAx>
      <c:valAx>
        <c:axId val="50627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 % des Finanzertrages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383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05"/>
          <c:y val="0.733"/>
          <c:w val="0.44925"/>
          <c:h val="0.0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Entwicklung Nettoschuld / Nettovermögen</a:t>
            </a:r>
          </a:p>
        </c:rich>
      </c:tx>
      <c:layout>
        <c:manualLayout>
          <c:xMode val="factor"/>
          <c:yMode val="factor"/>
          <c:x val="0.047"/>
          <c:y val="0"/>
        </c:manualLayout>
      </c:layout>
      <c:spPr>
        <a:noFill/>
        <a:ln w="3175">
          <a:noFill/>
        </a:ln>
      </c:spPr>
    </c:title>
    <c:view3D>
      <c:rotX val="18"/>
      <c:hPercent val="33"/>
      <c:rotY val="25"/>
      <c:depthPercent val="100"/>
      <c:rAngAx val="1"/>
    </c:view3D>
    <c:plotArea>
      <c:layout>
        <c:manualLayout>
          <c:xMode val="edge"/>
          <c:yMode val="edge"/>
          <c:x val="0.17725"/>
          <c:y val="0.20125"/>
          <c:w val="0.819"/>
          <c:h val="0.43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'[1]Grafiken'!$A$22</c:f>
              <c:strCache>
                <c:ptCount val="1"/>
                <c:pt idx="0">
                  <c:v>Nettoschuld(-)/Nettovermögen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'[1]Grafiken'!$B$21:$F$21</c:f>
              <c:num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'[1]Grafiken'!$B$22:$F$22</c:f>
              <c:numCache>
                <c:ptCount val="5"/>
                <c:pt idx="0">
                  <c:v>-50000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52992247"/>
        <c:axId val="7168176"/>
      </c:bar3DChart>
      <c:catAx>
        <c:axId val="52992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68176"/>
        <c:crosses val="autoZero"/>
        <c:auto val="1"/>
        <c:lblOffset val="100"/>
        <c:tickLblSkip val="1"/>
        <c:noMultiLvlLbl val="0"/>
      </c:catAx>
      <c:valAx>
        <c:axId val="7168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Beträge in 1'000 Franken</a:t>
                </a:r>
              </a:p>
            </c:rich>
          </c:tx>
          <c:layout>
            <c:manualLayout>
              <c:xMode val="factor"/>
              <c:yMode val="factor"/>
              <c:x val="-0.20875"/>
              <c:y val="0.18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922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5865"/>
          <c:w val="0.43825"/>
          <c:h val="0.0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Nettoinvestitionen und Finanzierungsüberschuss / -fehlbetrag </a:t>
            </a:r>
          </a:p>
        </c:rich>
      </c:tx>
      <c:layout>
        <c:manualLayout>
          <c:xMode val="factor"/>
          <c:yMode val="factor"/>
          <c:x val="-0.024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275"/>
          <c:y val="0.3805"/>
          <c:w val="0.7495"/>
          <c:h val="0.3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'[1]Grafiken'!$A$18</c:f>
              <c:strCache>
                <c:ptCount val="1"/>
                <c:pt idx="0">
                  <c:v>Nettoinvestitionen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'[1]Grafiken'!$B$17:$G$17</c:f>
              <c:strCach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Mittelwert</c:v>
                </c:pt>
              </c:strCache>
            </c:strRef>
          </c:cat>
          <c:val>
            <c:numRef>
              <c:f>'[1]Grafiken'!$B$18:$G$18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'[1]Grafiken'!$A$19</c:f>
              <c:strCache>
                <c:ptCount val="1"/>
                <c:pt idx="0">
                  <c:v>Überschuss (+), Fehlbetrag (-)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'[1]Grafiken'!$B$17:$G$17</c:f>
              <c:strCach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Mittelwert</c:v>
                </c:pt>
              </c:strCache>
            </c:strRef>
          </c:cat>
          <c:val>
            <c:numRef>
              <c:f>'[1]Grafiken'!$B$19:$G$19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4513585"/>
        <c:axId val="43751354"/>
      </c:barChart>
      <c:catAx>
        <c:axId val="64513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751354"/>
        <c:crosses val="autoZero"/>
        <c:auto val="1"/>
        <c:lblOffset val="100"/>
        <c:tickLblSkip val="2"/>
        <c:noMultiLvlLbl val="0"/>
      </c:catAx>
      <c:valAx>
        <c:axId val="43751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Beträge in 1'000 Franken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135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565"/>
          <c:w val="0.77375"/>
          <c:h val="0.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Nettoverschuldungsquotient (NVQ) 
</a:t>
            </a:r>
          </a:p>
        </c:rich>
      </c:tx>
      <c:layout>
        <c:manualLayout>
          <c:xMode val="factor"/>
          <c:yMode val="factor"/>
          <c:x val="0.06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35"/>
          <c:y val="0.22025"/>
          <c:w val="0.65575"/>
          <c:h val="0.6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'[1]Grafiken'!$A$6</c:f>
              <c:strCache>
                <c:ptCount val="1"/>
                <c:pt idx="0">
                  <c:v>NVQ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'[1]Grafiken'!$B$5:$G$5</c:f>
              <c:strCach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Mittelwert</c:v>
                </c:pt>
              </c:strCache>
            </c:strRef>
          </c:cat>
          <c:val>
            <c:numRef>
              <c:f>'[1]Grafiken'!$B$6:$G$6</c:f>
              <c:numCache>
                <c:ptCount val="6"/>
                <c:pt idx="0">
                  <c:v>-0.8227879346377265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-0.8227879346377265</c:v>
                </c:pt>
              </c:numCache>
            </c:numRef>
          </c:val>
        </c:ser>
        <c:axId val="34844557"/>
        <c:axId val="45165558"/>
      </c:barChart>
      <c:lineChart>
        <c:grouping val="standard"/>
        <c:varyColors val="0"/>
        <c:ser>
          <c:idx val="1"/>
          <c:order val="1"/>
          <c:tx>
            <c:strRef>
              <c:f>'[1]Grafiken'!$A$7</c:f>
              <c:strCache>
                <c:ptCount val="1"/>
                <c:pt idx="0">
                  <c:v>alle Gemeinden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'[1]Grafiken'!$B$5:$G$5</c:f>
              <c:strCach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Mittelwert</c:v>
                </c:pt>
              </c:strCache>
            </c:strRef>
          </c:cat>
          <c:val>
            <c:numRef>
              <c:f>'[1]Grafiken'!$B$7:$G$7</c:f>
              <c:numCache>
                <c:ptCount val="6"/>
                <c:pt idx="0">
                  <c:v>-0.1906163388701026</c:v>
                </c:pt>
                <c:pt idx="5">
                  <c:v>-0.1906163388701026</c:v>
                </c:pt>
              </c:numCache>
            </c:numRef>
          </c:val>
          <c:smooth val="0"/>
        </c:ser>
        <c:axId val="34844557"/>
        <c:axId val="45165558"/>
      </c:lineChart>
      <c:catAx>
        <c:axId val="34844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65558"/>
        <c:crosses val="autoZero"/>
        <c:auto val="1"/>
        <c:lblOffset val="100"/>
        <c:tickLblSkip val="2"/>
        <c:noMultiLvlLbl val="0"/>
      </c:catAx>
      <c:valAx>
        <c:axId val="45165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 % des Finanzertrages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445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3"/>
          <c:y val="0.88725"/>
          <c:w val="0.45375"/>
          <c:h val="0.0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Zinsbelastungsanteil (ZBA) 
</a:t>
            </a:r>
          </a:p>
        </c:rich>
      </c:tx>
      <c:layout>
        <c:manualLayout>
          <c:xMode val="factor"/>
          <c:yMode val="factor"/>
          <c:x val="0.07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25"/>
          <c:y val="0.22425"/>
          <c:w val="0.79825"/>
          <c:h val="0.4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'[1]Grafiken'!$A$10</c:f>
              <c:strCache>
                <c:ptCount val="1"/>
                <c:pt idx="0">
                  <c:v>ZBA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'[1]Grafiken'!$B$9:$G$9</c:f>
              <c:strCach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Mittelwert</c:v>
                </c:pt>
              </c:strCache>
            </c:strRef>
          </c:cat>
          <c:val>
            <c:numRef>
              <c:f>'[1]Grafiken'!$B$10:$G$10</c:f>
              <c:numCache>
                <c:ptCount val="6"/>
                <c:pt idx="0">
                  <c:v>-0.018365741009941233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-0.018365741009941233</c:v>
                </c:pt>
              </c:numCache>
            </c:numRef>
          </c:val>
        </c:ser>
        <c:axId val="3836839"/>
        <c:axId val="34531552"/>
      </c:barChart>
      <c:lineChart>
        <c:grouping val="standard"/>
        <c:varyColors val="0"/>
        <c:ser>
          <c:idx val="1"/>
          <c:order val="1"/>
          <c:tx>
            <c:strRef>
              <c:f>'[1]Grafiken'!$A$11</c:f>
              <c:strCache>
                <c:ptCount val="1"/>
                <c:pt idx="0">
                  <c:v>alle Gemeinden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'[1]Grafiken'!$B$9:$G$9</c:f>
              <c:strCach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Mittelwert</c:v>
                </c:pt>
              </c:strCache>
            </c:strRef>
          </c:cat>
          <c:val>
            <c:numRef>
              <c:f>'[1]Grafiken'!$B$11:$G$11</c:f>
              <c:numCache>
                <c:ptCount val="6"/>
                <c:pt idx="0">
                  <c:v>-0.016385996470931093</c:v>
                </c:pt>
                <c:pt idx="5">
                  <c:v>-0.016385996470931093</c:v>
                </c:pt>
              </c:numCache>
            </c:numRef>
          </c:val>
          <c:smooth val="0"/>
        </c:ser>
        <c:axId val="3836839"/>
        <c:axId val="34531552"/>
      </c:lineChart>
      <c:catAx>
        <c:axId val="3836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31552"/>
        <c:crosses val="autoZero"/>
        <c:auto val="1"/>
        <c:lblOffset val="100"/>
        <c:tickLblSkip val="2"/>
        <c:noMultiLvlLbl val="0"/>
      </c:catAx>
      <c:valAx>
        <c:axId val="34531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 % des Finanzertrages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68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255"/>
          <c:w val="0.4895"/>
          <c:h val="0.0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Kapitaldienstanteil (KDA) 
</a:t>
            </a:r>
          </a:p>
        </c:rich>
      </c:tx>
      <c:layout>
        <c:manualLayout>
          <c:xMode val="factor"/>
          <c:yMode val="factor"/>
          <c:x val="0.04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875"/>
          <c:y val="0.2325"/>
          <c:w val="0.609"/>
          <c:h val="0.42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'[1]Grafiken'!$A$14</c:f>
              <c:strCache>
                <c:ptCount val="1"/>
                <c:pt idx="0">
                  <c:v>KDA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'[1]Grafiken'!$B$13:$G$13</c:f>
              <c:strCach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Mittelwert</c:v>
                </c:pt>
              </c:strCache>
            </c:strRef>
          </c:cat>
          <c:val>
            <c:numRef>
              <c:f>'[1]Grafiken'!$B$14:$G$14</c:f>
              <c:numCache>
                <c:ptCount val="6"/>
                <c:pt idx="0">
                  <c:v>0.07070460516968788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0.07070460516968788</c:v>
                </c:pt>
              </c:numCache>
            </c:numRef>
          </c:val>
        </c:ser>
        <c:axId val="42348513"/>
        <c:axId val="45592298"/>
      </c:barChart>
      <c:lineChart>
        <c:grouping val="standard"/>
        <c:varyColors val="0"/>
        <c:ser>
          <c:idx val="1"/>
          <c:order val="1"/>
          <c:tx>
            <c:strRef>
              <c:f>'[1]Grafiken'!$A$15</c:f>
              <c:strCache>
                <c:ptCount val="1"/>
                <c:pt idx="0">
                  <c:v>alle Gemeinden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'[1]Grafiken'!$B$13:$G$13</c:f>
              <c:strCach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Mittelwert</c:v>
                </c:pt>
              </c:strCache>
            </c:strRef>
          </c:cat>
          <c:val>
            <c:numRef>
              <c:f>'[1]Grafiken'!$B$15:$G$15</c:f>
              <c:numCache>
                <c:ptCount val="6"/>
                <c:pt idx="0">
                  <c:v>0.06308296573288055</c:v>
                </c:pt>
                <c:pt idx="5">
                  <c:v>0.06308296573288055</c:v>
                </c:pt>
              </c:numCache>
            </c:numRef>
          </c:val>
          <c:smooth val="0"/>
        </c:ser>
        <c:axId val="42348513"/>
        <c:axId val="45592298"/>
      </c:lineChart>
      <c:catAx>
        <c:axId val="42348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92298"/>
        <c:crosses val="autoZero"/>
        <c:auto val="1"/>
        <c:lblOffset val="100"/>
        <c:tickLblSkip val="2"/>
        <c:noMultiLvlLbl val="0"/>
      </c:catAx>
      <c:valAx>
        <c:axId val="45592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 % des Finanzertrages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485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025"/>
          <c:y val="0.733"/>
          <c:w val="0.455"/>
          <c:h val="0.0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Entwicklung Nettoschuld / Nettovermögen</a:t>
            </a:r>
          </a:p>
        </c:rich>
      </c:tx>
      <c:layout>
        <c:manualLayout>
          <c:xMode val="factor"/>
          <c:yMode val="factor"/>
          <c:x val="-0.08975"/>
          <c:y val="0"/>
        </c:manualLayout>
      </c:layout>
      <c:spPr>
        <a:noFill/>
        <a:ln>
          <a:noFill/>
        </a:ln>
      </c:spPr>
    </c:title>
    <c:view3D>
      <c:rotX val="18"/>
      <c:hPercent val="33"/>
      <c:rotY val="25"/>
      <c:depthPercent val="100"/>
      <c:rAngAx val="1"/>
    </c:view3D>
    <c:plotArea>
      <c:layout>
        <c:manualLayout>
          <c:xMode val="edge"/>
          <c:yMode val="edge"/>
          <c:x val="0.07325"/>
          <c:y val="0.215"/>
          <c:w val="0.92025"/>
          <c:h val="0.42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'[1]Grafiken'!$A$22</c:f>
              <c:strCache>
                <c:ptCount val="1"/>
                <c:pt idx="0">
                  <c:v>Nettoschuld(-)/Nettovermögen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'[1]Grafiken'!$B$21:$F$21</c:f>
              <c:num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'[1]Grafiken'!$B$22:$F$22</c:f>
              <c:numCache>
                <c:ptCount val="5"/>
                <c:pt idx="0">
                  <c:v>-50000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7677499"/>
        <c:axId val="1988628"/>
      </c:bar3DChart>
      <c:catAx>
        <c:axId val="7677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8628"/>
        <c:crosses val="autoZero"/>
        <c:auto val="1"/>
        <c:lblOffset val="100"/>
        <c:tickLblSkip val="1"/>
        <c:noMultiLvlLbl val="0"/>
      </c:catAx>
      <c:valAx>
        <c:axId val="1988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Beträge in 1'000 Franken</a:t>
                </a:r>
              </a:p>
            </c:rich>
          </c:tx>
          <c:layout>
            <c:manualLayout>
              <c:xMode val="factor"/>
              <c:yMode val="factor"/>
              <c:x val="-0.111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774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5865"/>
          <c:w val="0.4365"/>
          <c:h val="0.0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Nettoinvestitionen und Finanzierungsüberschuss / -fehlbetrag </a:t>
            </a:r>
          </a:p>
        </c:rich>
      </c:tx>
      <c:layout>
        <c:manualLayout>
          <c:xMode val="factor"/>
          <c:yMode val="factor"/>
          <c:x val="-0.024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5"/>
          <c:y val="0.38525"/>
          <c:w val="0.73225"/>
          <c:h val="0.3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'[1]Grafiken'!$A$18</c:f>
              <c:strCache>
                <c:ptCount val="1"/>
                <c:pt idx="0">
                  <c:v>Nettoinvestitionen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'[1]Grafiken'!$B$17:$G$17</c:f>
              <c:strCach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Mittelwert</c:v>
                </c:pt>
              </c:strCache>
            </c:strRef>
          </c:cat>
          <c:val>
            <c:numRef>
              <c:f>'[1]Grafiken'!$B$18:$G$18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'[1]Grafiken'!$A$19</c:f>
              <c:strCache>
                <c:ptCount val="1"/>
                <c:pt idx="0">
                  <c:v>Überschuss (+), Fehlbetrag (-)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'[1]Grafiken'!$B$17:$G$17</c:f>
              <c:strCach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Mittelwert</c:v>
                </c:pt>
              </c:strCache>
            </c:strRef>
          </c:cat>
          <c:val>
            <c:numRef>
              <c:f>'[1]Grafiken'!$B$19:$G$19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7897653"/>
        <c:axId val="26861150"/>
      </c:barChart>
      <c:catAx>
        <c:axId val="17897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861150"/>
        <c:crosses val="autoZero"/>
        <c:auto val="1"/>
        <c:lblOffset val="100"/>
        <c:tickLblSkip val="2"/>
        <c:noMultiLvlLbl val="0"/>
      </c:catAx>
      <c:valAx>
        <c:axId val="26861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Beträge in 1'000 Franken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976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565"/>
          <c:w val="0.77375"/>
          <c:h val="0.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Selbstfinanzierungsgrad (SFG) 
</a:t>
            </a:r>
          </a:p>
        </c:rich>
      </c:tx>
      <c:layout>
        <c:manualLayout>
          <c:xMode val="factor"/>
          <c:yMode val="factor"/>
          <c:x val="0.06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85"/>
          <c:y val="0.19"/>
          <c:w val="0.71225"/>
          <c:h val="0.6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'[1]Grafiken'!$A$2</c:f>
              <c:strCache>
                <c:ptCount val="1"/>
                <c:pt idx="0">
                  <c:v>SFG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'[1]Grafiken'!$B$1:$G$1</c:f>
              <c:strCach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Mittelwert</c:v>
                </c:pt>
              </c:strCache>
            </c:strRef>
          </c:cat>
          <c:val>
            <c:numRef>
              <c:f>'[1]Grafiken'!$B$2:$G$2</c:f>
              <c:numCache>
                <c:ptCount val="6"/>
                <c:pt idx="0">
                  <c:v>-1.5085667244865513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-1.5085667244865513</c:v>
                </c:pt>
              </c:numCache>
            </c:numRef>
          </c:val>
        </c:ser>
        <c:axId val="40423759"/>
        <c:axId val="28269512"/>
      </c:barChart>
      <c:lineChart>
        <c:grouping val="standard"/>
        <c:varyColors val="0"/>
        <c:ser>
          <c:idx val="1"/>
          <c:order val="1"/>
          <c:tx>
            <c:strRef>
              <c:f>'[1]Grafiken'!$A$3</c:f>
              <c:strCache>
                <c:ptCount val="1"/>
                <c:pt idx="0">
                  <c:v>alle Gemeinden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'[1]Grafiken'!$B$1:$G$1</c:f>
              <c:strCach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Mittelwert</c:v>
                </c:pt>
              </c:strCache>
            </c:strRef>
          </c:cat>
          <c:val>
            <c:numRef>
              <c:f>'[1]Grafiken'!$B$3:$G$3</c:f>
              <c:numCache>
                <c:ptCount val="6"/>
                <c:pt idx="0">
                  <c:v>0.018131661629134505</c:v>
                </c:pt>
                <c:pt idx="5">
                  <c:v>0.018131661629134505</c:v>
                </c:pt>
              </c:numCache>
            </c:numRef>
          </c:val>
          <c:smooth val="0"/>
        </c:ser>
        <c:axId val="40423759"/>
        <c:axId val="28269512"/>
      </c:lineChart>
      <c:catAx>
        <c:axId val="40423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69512"/>
        <c:crosses val="autoZero"/>
        <c:auto val="1"/>
        <c:lblOffset val="100"/>
        <c:tickLblSkip val="2"/>
        <c:noMultiLvlLbl val="0"/>
      </c:catAx>
      <c:valAx>
        <c:axId val="28269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Selbstfinanzierung in % der Nettoinvestitionen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237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7"/>
          <c:y val="0.8535"/>
          <c:w val="0.49125"/>
          <c:h val="0.0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Nettoverschuldungsquotient (NVQ) 
</a:t>
            </a:r>
          </a:p>
        </c:rich>
      </c:tx>
      <c:layout>
        <c:manualLayout>
          <c:xMode val="factor"/>
          <c:yMode val="factor"/>
          <c:x val="0.04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9"/>
          <c:y val="0.22325"/>
          <c:w val="0.671"/>
          <c:h val="0.6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'[1]Grafiken'!$A$6</c:f>
              <c:strCache>
                <c:ptCount val="1"/>
                <c:pt idx="0">
                  <c:v>NVQ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'[1]Grafiken'!$B$5:$G$5</c:f>
              <c:strCach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Mittelwert</c:v>
                </c:pt>
              </c:strCache>
            </c:strRef>
          </c:cat>
          <c:val>
            <c:numRef>
              <c:f>'[1]Grafiken'!$B$6:$G$6</c:f>
              <c:numCache>
                <c:ptCount val="6"/>
                <c:pt idx="0">
                  <c:v>-0.8227879346377265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-0.8227879346377265</c:v>
                </c:pt>
              </c:numCache>
            </c:numRef>
          </c:val>
        </c:ser>
        <c:axId val="53099017"/>
        <c:axId val="8129106"/>
      </c:barChart>
      <c:lineChart>
        <c:grouping val="standard"/>
        <c:varyColors val="0"/>
        <c:ser>
          <c:idx val="1"/>
          <c:order val="1"/>
          <c:tx>
            <c:strRef>
              <c:f>'[1]Grafiken'!$A$7</c:f>
              <c:strCache>
                <c:ptCount val="1"/>
                <c:pt idx="0">
                  <c:v>alle Gemeinden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'[1]Grafiken'!$B$5:$G$5</c:f>
              <c:strCach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Mittelwert</c:v>
                </c:pt>
              </c:strCache>
            </c:strRef>
          </c:cat>
          <c:val>
            <c:numRef>
              <c:f>'[1]Grafiken'!$B$7:$G$7</c:f>
              <c:numCache>
                <c:ptCount val="6"/>
                <c:pt idx="0">
                  <c:v>-0.1906163388701026</c:v>
                </c:pt>
                <c:pt idx="5">
                  <c:v>-0.1906163388701026</c:v>
                </c:pt>
              </c:numCache>
            </c:numRef>
          </c:val>
          <c:smooth val="0"/>
        </c:ser>
        <c:axId val="53099017"/>
        <c:axId val="8129106"/>
      </c:lineChart>
      <c:catAx>
        <c:axId val="5309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29106"/>
        <c:crosses val="autoZero"/>
        <c:auto val="1"/>
        <c:lblOffset val="100"/>
        <c:tickLblSkip val="2"/>
        <c:noMultiLvlLbl val="0"/>
      </c:catAx>
      <c:valAx>
        <c:axId val="8129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 % des Finanzertrages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990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425"/>
          <c:y val="0.88725"/>
          <c:w val="0.45075"/>
          <c:h val="0.0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Zinsbelastungsanteil (ZBA) 
</a:t>
            </a:r>
          </a:p>
        </c:rich>
      </c:tx>
      <c:layout>
        <c:manualLayout>
          <c:xMode val="factor"/>
          <c:yMode val="factor"/>
          <c:x val="0.07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25"/>
          <c:y val="0.224"/>
          <c:w val="0.82625"/>
          <c:h val="0.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'[1]Grafiken'!$A$10</c:f>
              <c:strCache>
                <c:ptCount val="1"/>
                <c:pt idx="0">
                  <c:v>ZBA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'[1]Grafiken'!$B$9:$G$9</c:f>
              <c:strCach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Mittelwert</c:v>
                </c:pt>
              </c:strCache>
            </c:strRef>
          </c:cat>
          <c:val>
            <c:numRef>
              <c:f>'[1]Grafiken'!$B$10:$G$10</c:f>
              <c:numCache>
                <c:ptCount val="6"/>
                <c:pt idx="0">
                  <c:v>-0.018365741009941233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-0.018365741009941233</c:v>
                </c:pt>
              </c:numCache>
            </c:numRef>
          </c:val>
        </c:ser>
        <c:axId val="6053091"/>
        <c:axId val="54477820"/>
      </c:barChart>
      <c:lineChart>
        <c:grouping val="standard"/>
        <c:varyColors val="0"/>
        <c:ser>
          <c:idx val="1"/>
          <c:order val="1"/>
          <c:tx>
            <c:strRef>
              <c:f>'[1]Grafiken'!$A$11</c:f>
              <c:strCache>
                <c:ptCount val="1"/>
                <c:pt idx="0">
                  <c:v>alle Gemeinden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'[1]Grafiken'!$B$9:$G$9</c:f>
              <c:strCach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Mittelwert</c:v>
                </c:pt>
              </c:strCache>
            </c:strRef>
          </c:cat>
          <c:val>
            <c:numRef>
              <c:f>'[1]Grafiken'!$B$11:$G$11</c:f>
              <c:numCache>
                <c:ptCount val="6"/>
                <c:pt idx="0">
                  <c:v>-0.016385996470931093</c:v>
                </c:pt>
                <c:pt idx="5">
                  <c:v>-0.016385996470931093</c:v>
                </c:pt>
              </c:numCache>
            </c:numRef>
          </c:val>
          <c:smooth val="0"/>
        </c:ser>
        <c:axId val="6053091"/>
        <c:axId val="54477820"/>
      </c:lineChart>
      <c:catAx>
        <c:axId val="6053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77820"/>
        <c:crosses val="autoZero"/>
        <c:auto val="1"/>
        <c:lblOffset val="100"/>
        <c:tickLblSkip val="2"/>
        <c:noMultiLvlLbl val="0"/>
      </c:catAx>
      <c:valAx>
        <c:axId val="54477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 % des Finanzertrages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30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255"/>
          <c:w val="0.4895"/>
          <c:h val="0.0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391</xdr:row>
      <xdr:rowOff>66675</xdr:rowOff>
    </xdr:from>
    <xdr:to>
      <xdr:col>2</xdr:col>
      <xdr:colOff>447675</xdr:colOff>
      <xdr:row>407</xdr:row>
      <xdr:rowOff>95250</xdr:rowOff>
    </xdr:to>
    <xdr:graphicFrame>
      <xdr:nvGraphicFramePr>
        <xdr:cNvPr id="1" name="Diagramm 2"/>
        <xdr:cNvGraphicFramePr/>
      </xdr:nvGraphicFramePr>
      <xdr:xfrm>
        <a:off x="38100" y="64541400"/>
        <a:ext cx="27813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523875</xdr:colOff>
      <xdr:row>391</xdr:row>
      <xdr:rowOff>57150</xdr:rowOff>
    </xdr:from>
    <xdr:to>
      <xdr:col>7</xdr:col>
      <xdr:colOff>0</xdr:colOff>
      <xdr:row>407</xdr:row>
      <xdr:rowOff>85725</xdr:rowOff>
    </xdr:to>
    <xdr:graphicFrame>
      <xdr:nvGraphicFramePr>
        <xdr:cNvPr id="2" name="Diagramm 3"/>
        <xdr:cNvGraphicFramePr/>
      </xdr:nvGraphicFramePr>
      <xdr:xfrm>
        <a:off x="2895600" y="64531875"/>
        <a:ext cx="31718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408</xdr:row>
      <xdr:rowOff>0</xdr:rowOff>
    </xdr:from>
    <xdr:to>
      <xdr:col>2</xdr:col>
      <xdr:colOff>466725</xdr:colOff>
      <xdr:row>424</xdr:row>
      <xdr:rowOff>28575</xdr:rowOff>
    </xdr:to>
    <xdr:graphicFrame>
      <xdr:nvGraphicFramePr>
        <xdr:cNvPr id="3" name="Diagramm 4"/>
        <xdr:cNvGraphicFramePr/>
      </xdr:nvGraphicFramePr>
      <xdr:xfrm>
        <a:off x="47625" y="67227450"/>
        <a:ext cx="27908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533400</xdr:colOff>
      <xdr:row>408</xdr:row>
      <xdr:rowOff>19050</xdr:rowOff>
    </xdr:from>
    <xdr:to>
      <xdr:col>7</xdr:col>
      <xdr:colOff>0</xdr:colOff>
      <xdr:row>424</xdr:row>
      <xdr:rowOff>47625</xdr:rowOff>
    </xdr:to>
    <xdr:graphicFrame>
      <xdr:nvGraphicFramePr>
        <xdr:cNvPr id="4" name="Diagramm 5"/>
        <xdr:cNvGraphicFramePr/>
      </xdr:nvGraphicFramePr>
      <xdr:xfrm>
        <a:off x="2905125" y="67246500"/>
        <a:ext cx="31623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581025</xdr:colOff>
      <xdr:row>422</xdr:row>
      <xdr:rowOff>133350</xdr:rowOff>
    </xdr:from>
    <xdr:to>
      <xdr:col>7</xdr:col>
      <xdr:colOff>47625</xdr:colOff>
      <xdr:row>439</xdr:row>
      <xdr:rowOff>0</xdr:rowOff>
    </xdr:to>
    <xdr:graphicFrame>
      <xdr:nvGraphicFramePr>
        <xdr:cNvPr id="5" name="Diagramm 6"/>
        <xdr:cNvGraphicFramePr/>
      </xdr:nvGraphicFramePr>
      <xdr:xfrm>
        <a:off x="2952750" y="69627750"/>
        <a:ext cx="316230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423</xdr:row>
      <xdr:rowOff>38100</xdr:rowOff>
    </xdr:from>
    <xdr:to>
      <xdr:col>2</xdr:col>
      <xdr:colOff>428625</xdr:colOff>
      <xdr:row>439</xdr:row>
      <xdr:rowOff>76200</xdr:rowOff>
    </xdr:to>
    <xdr:graphicFrame>
      <xdr:nvGraphicFramePr>
        <xdr:cNvPr id="6" name="Diagramm 10"/>
        <xdr:cNvGraphicFramePr/>
      </xdr:nvGraphicFramePr>
      <xdr:xfrm>
        <a:off x="19050" y="69694425"/>
        <a:ext cx="2781300" cy="2628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2966</xdr:row>
      <xdr:rowOff>66675</xdr:rowOff>
    </xdr:from>
    <xdr:to>
      <xdr:col>2</xdr:col>
      <xdr:colOff>447675</xdr:colOff>
      <xdr:row>2982</xdr:row>
      <xdr:rowOff>95250</xdr:rowOff>
    </xdr:to>
    <xdr:graphicFrame>
      <xdr:nvGraphicFramePr>
        <xdr:cNvPr id="1" name="Diagramm 2"/>
        <xdr:cNvGraphicFramePr/>
      </xdr:nvGraphicFramePr>
      <xdr:xfrm>
        <a:off x="38100" y="481479225"/>
        <a:ext cx="27813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523875</xdr:colOff>
      <xdr:row>2966</xdr:row>
      <xdr:rowOff>57150</xdr:rowOff>
    </xdr:from>
    <xdr:to>
      <xdr:col>7</xdr:col>
      <xdr:colOff>0</xdr:colOff>
      <xdr:row>2982</xdr:row>
      <xdr:rowOff>85725</xdr:rowOff>
    </xdr:to>
    <xdr:graphicFrame>
      <xdr:nvGraphicFramePr>
        <xdr:cNvPr id="2" name="Diagramm 3"/>
        <xdr:cNvGraphicFramePr/>
      </xdr:nvGraphicFramePr>
      <xdr:xfrm>
        <a:off x="2895600" y="481469700"/>
        <a:ext cx="33813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2983</xdr:row>
      <xdr:rowOff>0</xdr:rowOff>
    </xdr:from>
    <xdr:to>
      <xdr:col>2</xdr:col>
      <xdr:colOff>466725</xdr:colOff>
      <xdr:row>2999</xdr:row>
      <xdr:rowOff>28575</xdr:rowOff>
    </xdr:to>
    <xdr:graphicFrame>
      <xdr:nvGraphicFramePr>
        <xdr:cNvPr id="3" name="Diagramm 4"/>
        <xdr:cNvGraphicFramePr/>
      </xdr:nvGraphicFramePr>
      <xdr:xfrm>
        <a:off x="47625" y="484165275"/>
        <a:ext cx="27908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533400</xdr:colOff>
      <xdr:row>2983</xdr:row>
      <xdr:rowOff>19050</xdr:rowOff>
    </xdr:from>
    <xdr:to>
      <xdr:col>7</xdr:col>
      <xdr:colOff>0</xdr:colOff>
      <xdr:row>2999</xdr:row>
      <xdr:rowOff>47625</xdr:rowOff>
    </xdr:to>
    <xdr:graphicFrame>
      <xdr:nvGraphicFramePr>
        <xdr:cNvPr id="4" name="Diagramm 5"/>
        <xdr:cNvGraphicFramePr/>
      </xdr:nvGraphicFramePr>
      <xdr:xfrm>
        <a:off x="2905125" y="484184325"/>
        <a:ext cx="337185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581025</xdr:colOff>
      <xdr:row>2997</xdr:row>
      <xdr:rowOff>133350</xdr:rowOff>
    </xdr:from>
    <xdr:to>
      <xdr:col>7</xdr:col>
      <xdr:colOff>0</xdr:colOff>
      <xdr:row>3014</xdr:row>
      <xdr:rowOff>0</xdr:rowOff>
    </xdr:to>
    <xdr:graphicFrame>
      <xdr:nvGraphicFramePr>
        <xdr:cNvPr id="5" name="Diagramm 6"/>
        <xdr:cNvGraphicFramePr/>
      </xdr:nvGraphicFramePr>
      <xdr:xfrm>
        <a:off x="2952750" y="486565575"/>
        <a:ext cx="332422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2998</xdr:row>
      <xdr:rowOff>38100</xdr:rowOff>
    </xdr:from>
    <xdr:to>
      <xdr:col>2</xdr:col>
      <xdr:colOff>428625</xdr:colOff>
      <xdr:row>3014</xdr:row>
      <xdr:rowOff>76200</xdr:rowOff>
    </xdr:to>
    <xdr:graphicFrame>
      <xdr:nvGraphicFramePr>
        <xdr:cNvPr id="6" name="Diagramm 10"/>
        <xdr:cNvGraphicFramePr/>
      </xdr:nvGraphicFramePr>
      <xdr:xfrm>
        <a:off x="19050" y="486632250"/>
        <a:ext cx="2781300" cy="2628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nzkennzahlen%20EG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frage"/>
      <sheetName val="Grafiken"/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</sheetNames>
    <sheetDataSet>
      <sheetData sheetId="0">
        <row r="12">
          <cell r="B12">
            <v>-50000000</v>
          </cell>
        </row>
        <row r="67">
          <cell r="B67">
            <v>2011</v>
          </cell>
          <cell r="C67">
            <v>2012</v>
          </cell>
          <cell r="D67">
            <v>2013</v>
          </cell>
          <cell r="E67">
            <v>2014</v>
          </cell>
          <cell r="F67">
            <v>2015</v>
          </cell>
          <cell r="G67" t="str">
            <v>Mittelwert</v>
          </cell>
        </row>
        <row r="70">
          <cell r="B70">
            <v>-0.8227879346377265</v>
          </cell>
          <cell r="G70">
            <v>-0.8227879346377265</v>
          </cell>
        </row>
        <row r="71">
          <cell r="B71">
            <v>-1.5085667244865513</v>
          </cell>
          <cell r="G71">
            <v>-1.5085667244865513</v>
          </cell>
        </row>
        <row r="72">
          <cell r="B72">
            <v>-0.018365741009941233</v>
          </cell>
          <cell r="G72">
            <v>-0.018365741009941233</v>
          </cell>
        </row>
        <row r="77">
          <cell r="B77">
            <v>0.07070460516968788</v>
          </cell>
          <cell r="G77">
            <v>0.07070460516968788</v>
          </cell>
        </row>
      </sheetData>
      <sheetData sheetId="1">
        <row r="1">
          <cell r="B1">
            <v>2011</v>
          </cell>
          <cell r="C1">
            <v>2012</v>
          </cell>
          <cell r="D1">
            <v>2013</v>
          </cell>
          <cell r="E1">
            <v>2014</v>
          </cell>
          <cell r="F1">
            <v>2015</v>
          </cell>
          <cell r="G1" t="str">
            <v>Mittelwert</v>
          </cell>
        </row>
        <row r="2">
          <cell r="A2" t="str">
            <v>SFG</v>
          </cell>
          <cell r="B2">
            <v>-1.5085667244865513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-1.5085667244865513</v>
          </cell>
        </row>
        <row r="3">
          <cell r="A3" t="str">
            <v>alle Gemeinden</v>
          </cell>
          <cell r="B3">
            <v>0.018131661629134505</v>
          </cell>
          <cell r="G3">
            <v>0.018131661629134505</v>
          </cell>
        </row>
        <row r="5">
          <cell r="B5">
            <v>2011</v>
          </cell>
          <cell r="C5">
            <v>2012</v>
          </cell>
          <cell r="D5">
            <v>2013</v>
          </cell>
          <cell r="E5">
            <v>2014</v>
          </cell>
          <cell r="F5">
            <v>2015</v>
          </cell>
          <cell r="G5" t="str">
            <v>Mittelwert</v>
          </cell>
        </row>
        <row r="6">
          <cell r="A6" t="str">
            <v>NVQ</v>
          </cell>
          <cell r="B6">
            <v>-0.8227879346377265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-0.8227879346377265</v>
          </cell>
        </row>
        <row r="7">
          <cell r="A7" t="str">
            <v>alle Gemeinden</v>
          </cell>
          <cell r="B7">
            <v>-0.1906163388701026</v>
          </cell>
          <cell r="G7">
            <v>-0.1906163388701026</v>
          </cell>
        </row>
        <row r="9">
          <cell r="B9">
            <v>2011</v>
          </cell>
          <cell r="C9">
            <v>2012</v>
          </cell>
          <cell r="D9">
            <v>2013</v>
          </cell>
          <cell r="E9">
            <v>2014</v>
          </cell>
          <cell r="F9">
            <v>2015</v>
          </cell>
          <cell r="G9" t="str">
            <v>Mittelwert</v>
          </cell>
        </row>
        <row r="10">
          <cell r="A10" t="str">
            <v>ZBA</v>
          </cell>
          <cell r="B10">
            <v>-0.018365741009941233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-0.018365741009941233</v>
          </cell>
        </row>
        <row r="11">
          <cell r="A11" t="str">
            <v>alle Gemeinden</v>
          </cell>
          <cell r="B11">
            <v>-0.016385996470931093</v>
          </cell>
          <cell r="G11">
            <v>-0.016385996470931093</v>
          </cell>
        </row>
        <row r="13">
          <cell r="B13">
            <v>2011</v>
          </cell>
          <cell r="C13">
            <v>2012</v>
          </cell>
          <cell r="D13">
            <v>2013</v>
          </cell>
          <cell r="E13">
            <v>2014</v>
          </cell>
          <cell r="F13">
            <v>2015</v>
          </cell>
          <cell r="G13" t="str">
            <v>Mittelwert</v>
          </cell>
        </row>
        <row r="14">
          <cell r="A14" t="str">
            <v>KDA</v>
          </cell>
          <cell r="B14">
            <v>0.07070460516968788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0.07070460516968788</v>
          </cell>
        </row>
        <row r="15">
          <cell r="A15" t="str">
            <v>alle Gemeinden</v>
          </cell>
          <cell r="B15">
            <v>0.06308296573288055</v>
          </cell>
          <cell r="G15">
            <v>0.06308296573288055</v>
          </cell>
        </row>
        <row r="17">
          <cell r="B17">
            <v>2011</v>
          </cell>
          <cell r="C17">
            <v>2012</v>
          </cell>
          <cell r="D17">
            <v>2013</v>
          </cell>
          <cell r="E17">
            <v>2014</v>
          </cell>
          <cell r="F17">
            <v>2015</v>
          </cell>
          <cell r="G17" t="str">
            <v>Mittelwert</v>
          </cell>
        </row>
        <row r="18">
          <cell r="A18" t="str">
            <v>Nettoinvestitionen</v>
          </cell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</row>
        <row r="19">
          <cell r="A19" t="str">
            <v>Überschuss (+), Fehlbetrag (-)</v>
          </cell>
          <cell r="B19" t="e">
            <v>#REF!</v>
          </cell>
          <cell r="C19" t="e">
            <v>#REF!</v>
          </cell>
          <cell r="D19" t="e">
            <v>#REF!</v>
          </cell>
          <cell r="E19" t="e">
            <v>#REF!</v>
          </cell>
          <cell r="F19" t="e">
            <v>#REF!</v>
          </cell>
          <cell r="G19" t="e">
            <v>#REF!</v>
          </cell>
        </row>
        <row r="21">
          <cell r="B21">
            <v>2011</v>
          </cell>
          <cell r="C21">
            <v>2012</v>
          </cell>
          <cell r="D21">
            <v>2013</v>
          </cell>
          <cell r="E21">
            <v>2014</v>
          </cell>
          <cell r="F21">
            <v>2015</v>
          </cell>
        </row>
        <row r="22">
          <cell r="A22" t="str">
            <v>Nettoschuld(-)/Nettovermögen</v>
          </cell>
          <cell r="B22">
            <v>-50000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</row>
      </sheetData>
      <sheetData sheetId="13">
        <row r="410">
          <cell r="F410">
            <v>-0.1906163388701026</v>
          </cell>
        </row>
        <row r="460">
          <cell r="F460">
            <v>0.018131661629134505</v>
          </cell>
        </row>
        <row r="472">
          <cell r="F472">
            <v>0.06308296573288055</v>
          </cell>
        </row>
        <row r="503">
          <cell r="F503">
            <v>-0.016385996470931093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448"/>
  <sheetViews>
    <sheetView zoomScale="125" zoomScaleNormal="125" workbookViewId="0" topLeftCell="A1">
      <pane ySplit="5" topLeftCell="A6" activePane="bottomLeft" state="frozen"/>
      <selection pane="topLeft" activeCell="A1" sqref="A1"/>
      <selection pane="bottomLeft" activeCell="B300" sqref="B300"/>
    </sheetView>
  </sheetViews>
  <sheetFormatPr defaultColWidth="11.421875" defaultRowHeight="12.75"/>
  <cols>
    <col min="1" max="1" width="24.28125" style="0" customWidth="1"/>
    <col min="2" max="6" width="11.28125" style="0" customWidth="1"/>
    <col min="7" max="8" width="10.28125" style="0" customWidth="1"/>
    <col min="9" max="9" width="3.00390625" style="0" customWidth="1"/>
    <col min="10" max="11" width="1.8515625" style="0" customWidth="1"/>
    <col min="12" max="12" width="3.140625" style="0" customWidth="1"/>
    <col min="13" max="13" width="29.7109375" style="0" customWidth="1"/>
    <col min="14" max="14" width="2.8515625" style="0" customWidth="1"/>
    <col min="15" max="15" width="9.7109375" style="0" customWidth="1"/>
  </cols>
  <sheetData>
    <row r="1" spans="1:17" ht="9" customHeight="1">
      <c r="A1" s="291"/>
      <c r="B1" s="292"/>
      <c r="C1" s="292"/>
      <c r="D1" s="292"/>
      <c r="E1" s="292"/>
      <c r="F1" s="292"/>
      <c r="G1" s="292"/>
      <c r="H1" s="293"/>
      <c r="K1" s="67"/>
      <c r="L1" s="87"/>
      <c r="M1" s="87" t="s">
        <v>1017</v>
      </c>
      <c r="N1" s="298">
        <v>1</v>
      </c>
      <c r="O1" s="88"/>
      <c r="P1" s="67">
        <v>5</v>
      </c>
      <c r="Q1" t="str">
        <f>INDEX(M1:M7,P1)</f>
        <v>Kanton Glarus</v>
      </c>
    </row>
    <row r="2" spans="1:16" ht="18">
      <c r="A2" s="294" t="s">
        <v>952</v>
      </c>
      <c r="B2" s="86"/>
      <c r="C2" s="86"/>
      <c r="D2" s="86"/>
      <c r="E2" s="86"/>
      <c r="F2" s="86"/>
      <c r="G2" s="86"/>
      <c r="H2" s="295"/>
      <c r="K2" s="67"/>
      <c r="L2" s="89"/>
      <c r="M2" s="87" t="s">
        <v>1018</v>
      </c>
      <c r="N2" s="298">
        <v>2</v>
      </c>
      <c r="O2" s="88"/>
      <c r="P2" s="67"/>
    </row>
    <row r="3" spans="1:16" ht="18.75" thickBot="1">
      <c r="A3" s="294"/>
      <c r="B3" s="86"/>
      <c r="C3" s="86"/>
      <c r="D3" s="86"/>
      <c r="E3" s="86"/>
      <c r="F3" s="86"/>
      <c r="G3" s="86"/>
      <c r="H3" s="295"/>
      <c r="K3" s="67"/>
      <c r="L3" s="89"/>
      <c r="M3" s="87" t="s">
        <v>1019</v>
      </c>
      <c r="N3" s="298">
        <v>3</v>
      </c>
      <c r="O3" s="88"/>
      <c r="P3" s="67"/>
    </row>
    <row r="4" spans="1:16" ht="19.5" customHeight="1" thickBot="1">
      <c r="A4" s="296"/>
      <c r="B4" s="273">
        <v>2011</v>
      </c>
      <c r="C4" s="274">
        <v>2012</v>
      </c>
      <c r="D4" s="274">
        <v>2013</v>
      </c>
      <c r="E4" s="274">
        <v>2014</v>
      </c>
      <c r="F4" s="274">
        <v>2015</v>
      </c>
      <c r="G4" s="275" t="s">
        <v>877</v>
      </c>
      <c r="H4" s="276" t="s">
        <v>881</v>
      </c>
      <c r="K4" s="67"/>
      <c r="L4" s="89"/>
      <c r="M4" s="87" t="s">
        <v>949</v>
      </c>
      <c r="N4" s="298">
        <v>4</v>
      </c>
      <c r="O4" s="88"/>
      <c r="P4" s="67"/>
    </row>
    <row r="5" spans="1:15" s="268" customFormat="1" ht="6" customHeight="1" hidden="1" thickBot="1">
      <c r="A5" s="424"/>
      <c r="B5" s="191"/>
      <c r="C5" s="191"/>
      <c r="D5" s="191"/>
      <c r="E5" s="191"/>
      <c r="F5" s="191"/>
      <c r="G5" s="191"/>
      <c r="H5" s="425"/>
      <c r="J5" s="269"/>
      <c r="K5" s="166"/>
      <c r="L5" s="270"/>
      <c r="M5" s="297" t="s">
        <v>950</v>
      </c>
      <c r="N5" s="299">
        <v>5</v>
      </c>
      <c r="O5" s="269"/>
    </row>
    <row r="6" spans="1:15" ht="18.75" thickBot="1">
      <c r="A6" s="277" t="s">
        <v>308</v>
      </c>
      <c r="B6" s="278"/>
      <c r="C6" s="278"/>
      <c r="D6" s="278"/>
      <c r="E6" s="278"/>
      <c r="F6" s="278"/>
      <c r="G6" s="279"/>
      <c r="H6" s="280"/>
      <c r="J6" s="67"/>
      <c r="K6" s="89"/>
      <c r="L6" s="88"/>
      <c r="M6" s="166" t="s">
        <v>1024</v>
      </c>
      <c r="N6" s="300">
        <v>6</v>
      </c>
      <c r="O6" s="67"/>
    </row>
    <row r="7" spans="1:15" ht="12.75">
      <c r="A7" s="230"/>
      <c r="B7" s="203"/>
      <c r="C7" s="203"/>
      <c r="D7" s="203"/>
      <c r="E7" s="203"/>
      <c r="F7" s="203"/>
      <c r="G7" s="398"/>
      <c r="H7" s="399"/>
      <c r="J7" s="67"/>
      <c r="K7" s="89"/>
      <c r="L7" s="88"/>
      <c r="M7" s="166"/>
      <c r="N7" s="88"/>
      <c r="O7" s="67"/>
    </row>
    <row r="8" spans="1:15" ht="12.75">
      <c r="A8" s="423" t="s">
        <v>985</v>
      </c>
      <c r="B8" s="198">
        <f>SUMIF('2011'!$D$1:$I$1,$Q$1,'2011'!$D$6:$I$6)</f>
        <v>19033563.91</v>
      </c>
      <c r="C8" s="197"/>
      <c r="D8" s="197"/>
      <c r="E8" s="197"/>
      <c r="F8" s="197"/>
      <c r="G8" s="400">
        <f>(C8-B8)/B8</f>
        <v>-1</v>
      </c>
      <c r="H8" s="343">
        <f>AVERAGE(B8:F8)</f>
        <v>19033563.91</v>
      </c>
      <c r="J8" s="67"/>
      <c r="K8" s="89"/>
      <c r="L8" s="88"/>
      <c r="O8" s="67"/>
    </row>
    <row r="9" spans="1:15" ht="12.75">
      <c r="A9" s="221" t="s">
        <v>27</v>
      </c>
      <c r="B9" s="198">
        <f>SUMIF('2011'!$D$1:$I$1,$Q$1,'2011'!$D$7:$I$7)</f>
        <v>67431523.87</v>
      </c>
      <c r="C9" s="197"/>
      <c r="D9" s="197"/>
      <c r="E9" s="197"/>
      <c r="F9" s="197"/>
      <c r="G9" s="400">
        <f aca="true" t="shared" si="0" ref="G9:G67">(C9-B9)/B9</f>
        <v>-1</v>
      </c>
      <c r="H9" s="343">
        <f aca="true" t="shared" si="1" ref="H9:H67">AVERAGE(B9:F9)</f>
        <v>67431523.87</v>
      </c>
      <c r="J9" s="67"/>
      <c r="K9" s="89"/>
      <c r="L9" s="88"/>
      <c r="M9" s="89"/>
      <c r="N9" s="88"/>
      <c r="O9" s="67"/>
    </row>
    <row r="10" spans="1:15" ht="12.75">
      <c r="A10" s="423" t="s">
        <v>28</v>
      </c>
      <c r="B10" s="198">
        <f>SUMIF('2011'!$D$1:$I$1,$Q$1,'2011'!$D$8:$I$8)</f>
        <v>0</v>
      </c>
      <c r="C10" s="197"/>
      <c r="D10" s="197"/>
      <c r="E10" s="197"/>
      <c r="F10" s="197"/>
      <c r="G10" s="400" t="e">
        <f t="shared" si="0"/>
        <v>#DIV/0!</v>
      </c>
      <c r="H10" s="343">
        <f t="shared" si="1"/>
        <v>0</v>
      </c>
      <c r="J10" s="67"/>
      <c r="K10" s="89"/>
      <c r="L10" s="88"/>
      <c r="M10" s="89"/>
      <c r="N10" s="88"/>
      <c r="O10" s="67"/>
    </row>
    <row r="11" spans="1:15" ht="12.75">
      <c r="A11" s="221" t="s">
        <v>29</v>
      </c>
      <c r="B11" s="198">
        <f>SUMIF('2011'!$D$1:$I$1,$Q$1,'2011'!$D$9:$I$9)</f>
        <v>7186020.53</v>
      </c>
      <c r="C11" s="197"/>
      <c r="D11" s="197"/>
      <c r="E11" s="197"/>
      <c r="F11" s="197"/>
      <c r="G11" s="400">
        <f t="shared" si="0"/>
        <v>-1</v>
      </c>
      <c r="H11" s="343">
        <f t="shared" si="1"/>
        <v>7186020.53</v>
      </c>
      <c r="J11" s="67"/>
      <c r="K11" s="89"/>
      <c r="L11" s="88"/>
      <c r="M11" s="89"/>
      <c r="N11" s="88"/>
      <c r="O11" s="67"/>
    </row>
    <row r="12" spans="1:15" ht="12.75">
      <c r="A12" s="221" t="s">
        <v>30</v>
      </c>
      <c r="B12" s="198">
        <f>SUMIF('2011'!$D$1:$I$1,$Q$1,'2011'!$D$10:$I$10)</f>
        <v>0</v>
      </c>
      <c r="C12" s="197"/>
      <c r="D12" s="197"/>
      <c r="E12" s="197"/>
      <c r="F12" s="197"/>
      <c r="G12" s="400" t="e">
        <f t="shared" si="0"/>
        <v>#DIV/0!</v>
      </c>
      <c r="H12" s="343">
        <f t="shared" si="1"/>
        <v>0</v>
      </c>
      <c r="J12" s="67"/>
      <c r="K12" s="89"/>
      <c r="L12" s="88"/>
      <c r="M12" s="89"/>
      <c r="N12" s="88"/>
      <c r="O12" s="67"/>
    </row>
    <row r="13" spans="1:15" ht="12.75">
      <c r="A13" s="221" t="s">
        <v>31</v>
      </c>
      <c r="B13" s="198">
        <f>SUMIF('2011'!$D$1:$I$1,$Q$1,'2011'!$D$11:$I$11)</f>
        <v>266414618.21</v>
      </c>
      <c r="C13" s="197"/>
      <c r="D13" s="197"/>
      <c r="E13" s="197"/>
      <c r="F13" s="197"/>
      <c r="G13" s="400">
        <f t="shared" si="0"/>
        <v>-1</v>
      </c>
      <c r="H13" s="343">
        <f t="shared" si="1"/>
        <v>266414618.21</v>
      </c>
      <c r="J13" s="67"/>
      <c r="K13" s="89"/>
      <c r="L13" s="88"/>
      <c r="M13" s="89"/>
      <c r="N13" s="88"/>
      <c r="O13" s="67"/>
    </row>
    <row r="14" spans="1:15" ht="12.75">
      <c r="A14" s="221" t="s">
        <v>32</v>
      </c>
      <c r="B14" s="198">
        <f>SUMIF('2011'!$D$1:$I$1,$Q$1,'2011'!$D$12:$I$12)</f>
        <v>13899225</v>
      </c>
      <c r="C14" s="197"/>
      <c r="D14" s="197"/>
      <c r="E14" s="197"/>
      <c r="F14" s="197"/>
      <c r="G14" s="400">
        <f t="shared" si="0"/>
        <v>-1</v>
      </c>
      <c r="H14" s="343">
        <f t="shared" si="1"/>
        <v>13899225</v>
      </c>
      <c r="K14" s="89"/>
      <c r="L14" s="88"/>
      <c r="M14" s="89"/>
      <c r="N14" s="88"/>
      <c r="O14" s="67"/>
    </row>
    <row r="15" spans="1:15" ht="13.5" thickBot="1">
      <c r="A15" s="223" t="s">
        <v>959</v>
      </c>
      <c r="B15" s="200">
        <f>SUMIF('2011'!$D$1:$I$1,$Q$1,'2011'!$D$13:$I$13)</f>
        <v>0</v>
      </c>
      <c r="C15" s="199"/>
      <c r="D15" s="199"/>
      <c r="E15" s="199"/>
      <c r="F15" s="199"/>
      <c r="G15" s="401" t="e">
        <f t="shared" si="0"/>
        <v>#DIV/0!</v>
      </c>
      <c r="H15" s="345">
        <f t="shared" si="1"/>
        <v>0</v>
      </c>
      <c r="J15" s="67"/>
      <c r="K15" s="89"/>
      <c r="L15" s="88"/>
      <c r="M15" s="89"/>
      <c r="N15" s="88"/>
      <c r="O15" s="67"/>
    </row>
    <row r="16" spans="1:15" ht="12.75">
      <c r="A16" s="224" t="s">
        <v>0</v>
      </c>
      <c r="B16" s="201">
        <f>SUMIF('2011'!$D$1:$I$1,$Q$1,'2011'!$D$14:$I$14)</f>
        <v>373964951.52</v>
      </c>
      <c r="C16" s="201"/>
      <c r="D16" s="201"/>
      <c r="E16" s="201"/>
      <c r="F16" s="201"/>
      <c r="G16" s="402">
        <f t="shared" si="0"/>
        <v>-1</v>
      </c>
      <c r="H16" s="365">
        <f t="shared" si="1"/>
        <v>373964951.52</v>
      </c>
      <c r="J16" s="67"/>
      <c r="K16" s="89"/>
      <c r="L16" s="88"/>
      <c r="M16" s="89"/>
      <c r="N16" s="88"/>
      <c r="O16" s="67"/>
    </row>
    <row r="17" spans="1:15" ht="12.75">
      <c r="A17" s="225"/>
      <c r="B17" s="211"/>
      <c r="C17" s="211"/>
      <c r="D17" s="211"/>
      <c r="E17" s="211"/>
      <c r="F17" s="211"/>
      <c r="G17" s="400"/>
      <c r="H17" s="343"/>
      <c r="J17" s="67"/>
      <c r="K17" s="89"/>
      <c r="L17" s="88"/>
      <c r="M17" s="89"/>
      <c r="N17" s="88"/>
      <c r="O17" s="67"/>
    </row>
    <row r="18" spans="1:15" ht="12.75">
      <c r="A18" s="221" t="s">
        <v>33</v>
      </c>
      <c r="B18" s="198">
        <f>SUMIF('2011'!$D$1:$I$1,$Q$1,'2011'!$D$15:$I$15)</f>
        <v>20702613.06</v>
      </c>
      <c r="C18" s="198"/>
      <c r="D18" s="198"/>
      <c r="E18" s="198"/>
      <c r="F18" s="198"/>
      <c r="G18" s="400">
        <f t="shared" si="0"/>
        <v>-1</v>
      </c>
      <c r="H18" s="343">
        <f t="shared" si="1"/>
        <v>20702613.06</v>
      </c>
      <c r="J18" s="67"/>
      <c r="K18" s="89"/>
      <c r="L18" s="88"/>
      <c r="M18" s="166"/>
      <c r="N18" s="88"/>
      <c r="O18" s="67"/>
    </row>
    <row r="19" spans="1:15" ht="12.75">
      <c r="A19" s="221" t="s">
        <v>34</v>
      </c>
      <c r="B19" s="198">
        <f>SUMIF('2011'!$D$1:$I$1,$Q$1,'2011'!$D$16:$I$16)</f>
        <v>0</v>
      </c>
      <c r="C19" s="198"/>
      <c r="D19" s="198"/>
      <c r="E19" s="198"/>
      <c r="F19" s="198"/>
      <c r="G19" s="400" t="e">
        <f t="shared" si="0"/>
        <v>#DIV/0!</v>
      </c>
      <c r="H19" s="343">
        <f t="shared" si="1"/>
        <v>0</v>
      </c>
      <c r="J19" s="67"/>
      <c r="K19" s="89"/>
      <c r="L19" s="88"/>
      <c r="M19" s="166"/>
      <c r="N19" s="88"/>
      <c r="O19" s="67"/>
    </row>
    <row r="20" spans="1:15" ht="12.75">
      <c r="A20" s="221" t="s">
        <v>35</v>
      </c>
      <c r="B20" s="198">
        <f>SUMIF('2011'!$D$1:$I$1,$Q$1,'2011'!$D$17:$I$17)</f>
        <v>28436436.3</v>
      </c>
      <c r="C20" s="198"/>
      <c r="D20" s="198"/>
      <c r="E20" s="198"/>
      <c r="F20" s="198"/>
      <c r="G20" s="400">
        <f t="shared" si="0"/>
        <v>-1</v>
      </c>
      <c r="H20" s="343">
        <f t="shared" si="1"/>
        <v>28436436.3</v>
      </c>
      <c r="J20" s="67"/>
      <c r="K20" s="89"/>
      <c r="L20" s="88"/>
      <c r="M20" s="166"/>
      <c r="N20" s="88"/>
      <c r="O20" s="67"/>
    </row>
    <row r="21" spans="1:15" ht="12.75">
      <c r="A21" s="221" t="s">
        <v>36</v>
      </c>
      <c r="B21" s="198">
        <f>SUMIF('2011'!$D$1:$I$1,$Q$1,'2011'!$D$18:$I$18)</f>
        <v>79744927.6</v>
      </c>
      <c r="C21" s="198"/>
      <c r="D21" s="198"/>
      <c r="E21" s="198"/>
      <c r="F21" s="198"/>
      <c r="G21" s="400">
        <f t="shared" si="0"/>
        <v>-1</v>
      </c>
      <c r="H21" s="343">
        <f t="shared" si="1"/>
        <v>79744927.6</v>
      </c>
      <c r="J21" s="67"/>
      <c r="K21" s="89"/>
      <c r="L21" s="88"/>
      <c r="M21" s="166"/>
      <c r="N21" s="88"/>
      <c r="O21" s="67"/>
    </row>
    <row r="22" spans="1:15" ht="12.75">
      <c r="A22" s="221" t="s">
        <v>15</v>
      </c>
      <c r="B22" s="198">
        <f>SUMIF('2011'!$D$1:$I$1,$Q$1,'2011'!$D$19:$I$19)</f>
        <v>70387993.93</v>
      </c>
      <c r="C22" s="198"/>
      <c r="D22" s="198"/>
      <c r="E22" s="198"/>
      <c r="F22" s="198"/>
      <c r="G22" s="400">
        <f t="shared" si="0"/>
        <v>-1</v>
      </c>
      <c r="H22" s="343">
        <f t="shared" si="1"/>
        <v>70387993.93</v>
      </c>
      <c r="J22" s="67"/>
      <c r="K22" s="89"/>
      <c r="L22" s="88"/>
      <c r="M22" s="166"/>
      <c r="N22" s="88"/>
      <c r="O22" s="67"/>
    </row>
    <row r="23" spans="1:15" ht="13.5" thickBot="1">
      <c r="A23" s="223" t="s">
        <v>986</v>
      </c>
      <c r="B23" s="200">
        <f>SUMIF('2011'!$D$1:$I$1,$Q$1,'2011'!$D$20:$I$20)</f>
        <v>0</v>
      </c>
      <c r="C23" s="200"/>
      <c r="D23" s="200"/>
      <c r="E23" s="200"/>
      <c r="F23" s="200"/>
      <c r="G23" s="401" t="e">
        <f t="shared" si="0"/>
        <v>#DIV/0!</v>
      </c>
      <c r="H23" s="345">
        <f t="shared" si="1"/>
        <v>0</v>
      </c>
      <c r="J23" s="67"/>
      <c r="K23" s="89"/>
      <c r="L23" s="88"/>
      <c r="M23" s="166"/>
      <c r="N23" s="88"/>
      <c r="O23" s="67"/>
    </row>
    <row r="24" spans="1:15" ht="12.75">
      <c r="A24" s="224" t="s">
        <v>1</v>
      </c>
      <c r="B24" s="201">
        <f>SUMIF('2011'!$D$1:$I$1,$Q$1,'2011'!$D$21:$I$21)</f>
        <v>199271970.89</v>
      </c>
      <c r="C24" s="201"/>
      <c r="D24" s="201"/>
      <c r="E24" s="201"/>
      <c r="F24" s="201"/>
      <c r="G24" s="402">
        <f t="shared" si="0"/>
        <v>-1</v>
      </c>
      <c r="H24" s="365">
        <f t="shared" si="1"/>
        <v>199271970.89</v>
      </c>
      <c r="J24" s="67"/>
      <c r="K24" s="89"/>
      <c r="L24" s="88"/>
      <c r="M24" s="89"/>
      <c r="N24" s="88"/>
      <c r="O24" s="67"/>
    </row>
    <row r="25" spans="1:15" ht="13.5" thickBot="1">
      <c r="A25" s="226"/>
      <c r="B25" s="227"/>
      <c r="C25" s="227"/>
      <c r="D25" s="227"/>
      <c r="E25" s="227"/>
      <c r="F25" s="227"/>
      <c r="G25" s="401"/>
      <c r="H25" s="345"/>
      <c r="J25" s="67"/>
      <c r="K25" s="89"/>
      <c r="L25" s="88"/>
      <c r="M25" s="89"/>
      <c r="N25" s="88"/>
      <c r="O25" s="67"/>
    </row>
    <row r="26" spans="1:15" ht="13.5" thickBot="1">
      <c r="A26" s="228" t="s">
        <v>878</v>
      </c>
      <c r="B26" s="229">
        <f>SUMIF('2011'!$D$1:$I$1,$Q$1,'2011'!$D$22:$I$22)</f>
        <v>573236922.41</v>
      </c>
      <c r="C26" s="229"/>
      <c r="D26" s="229"/>
      <c r="E26" s="229"/>
      <c r="F26" s="229"/>
      <c r="G26" s="403">
        <f t="shared" si="0"/>
        <v>-1</v>
      </c>
      <c r="H26" s="355">
        <f t="shared" si="1"/>
        <v>573236922.41</v>
      </c>
      <c r="J26" s="67"/>
      <c r="K26" s="89"/>
      <c r="L26" s="88"/>
      <c r="M26" s="89"/>
      <c r="N26" s="88"/>
      <c r="O26" s="67"/>
    </row>
    <row r="27" spans="1:15" ht="12.75">
      <c r="A27" s="230"/>
      <c r="B27" s="202"/>
      <c r="C27" s="202"/>
      <c r="D27" s="202"/>
      <c r="E27" s="202"/>
      <c r="F27" s="202"/>
      <c r="G27" s="404"/>
      <c r="H27" s="384"/>
      <c r="J27" s="67"/>
      <c r="K27" s="89"/>
      <c r="L27" s="88"/>
      <c r="M27" s="89"/>
      <c r="N27" s="88"/>
      <c r="O27" s="67"/>
    </row>
    <row r="28" spans="1:15" ht="12.75">
      <c r="A28" s="221"/>
      <c r="B28" s="198"/>
      <c r="C28" s="198"/>
      <c r="D28" s="198"/>
      <c r="E28" s="198"/>
      <c r="F28" s="198"/>
      <c r="G28" s="400"/>
      <c r="H28" s="343"/>
      <c r="J28" s="67"/>
      <c r="K28" s="89"/>
      <c r="L28" s="88"/>
      <c r="M28" s="89"/>
      <c r="N28" s="88"/>
      <c r="O28" s="67"/>
    </row>
    <row r="29" spans="1:15" ht="12.75">
      <c r="A29" s="221" t="s">
        <v>37</v>
      </c>
      <c r="B29" s="198">
        <f>SUMIF('2011'!$D$1:$I$1,$Q$1,'2011'!$D$25:$I$25)</f>
        <v>58805076.1</v>
      </c>
      <c r="C29" s="198"/>
      <c r="D29" s="198"/>
      <c r="E29" s="198"/>
      <c r="F29" s="198"/>
      <c r="G29" s="400">
        <f t="shared" si="0"/>
        <v>-1</v>
      </c>
      <c r="H29" s="343">
        <f t="shared" si="1"/>
        <v>58805076.1</v>
      </c>
      <c r="J29" s="67"/>
      <c r="K29" s="89"/>
      <c r="L29" s="88"/>
      <c r="M29" s="89"/>
      <c r="N29" s="88"/>
      <c r="O29" s="67"/>
    </row>
    <row r="30" spans="1:15" ht="12.75">
      <c r="A30" s="221" t="s">
        <v>38</v>
      </c>
      <c r="B30" s="198">
        <f>SUMIF('2011'!$D$1:$I$1,$Q$1,'2011'!$D$26:$I$26)</f>
        <v>20425000</v>
      </c>
      <c r="C30" s="198"/>
      <c r="D30" s="198"/>
      <c r="E30" s="198"/>
      <c r="F30" s="198"/>
      <c r="G30" s="400">
        <f t="shared" si="0"/>
        <v>-1</v>
      </c>
      <c r="H30" s="343">
        <f t="shared" si="1"/>
        <v>20425000</v>
      </c>
      <c r="J30" s="67"/>
      <c r="K30" s="89"/>
      <c r="L30" s="88"/>
      <c r="M30" s="89"/>
      <c r="N30" s="88"/>
      <c r="O30" s="67"/>
    </row>
    <row r="31" spans="1:15" ht="12.75">
      <c r="A31" s="221" t="s">
        <v>957</v>
      </c>
      <c r="B31" s="198">
        <f>SUMIF('2011'!$D$1:$I$1,$Q$1,'2011'!$D$27:$I$27)</f>
        <v>10498006.5</v>
      </c>
      <c r="C31" s="198"/>
      <c r="D31" s="198"/>
      <c r="E31" s="198"/>
      <c r="F31" s="198"/>
      <c r="G31" s="400">
        <f t="shared" si="0"/>
        <v>-1</v>
      </c>
      <c r="H31" s="343">
        <f t="shared" si="1"/>
        <v>10498006.5</v>
      </c>
      <c r="J31" s="67"/>
      <c r="K31" s="89"/>
      <c r="L31" s="88"/>
      <c r="M31" s="89"/>
      <c r="N31" s="88"/>
      <c r="O31" s="67"/>
    </row>
    <row r="32" spans="1:15" ht="12.75">
      <c r="A32" s="221" t="s">
        <v>40</v>
      </c>
      <c r="B32" s="198">
        <f>SUMIF('2011'!$D$1:$I$1,$Q$1,'2011'!$D$28:$I$28)</f>
        <v>992700</v>
      </c>
      <c r="C32" s="198"/>
      <c r="D32" s="198"/>
      <c r="E32" s="198"/>
      <c r="F32" s="198"/>
      <c r="G32" s="400">
        <f t="shared" si="0"/>
        <v>-1</v>
      </c>
      <c r="H32" s="343">
        <f t="shared" si="1"/>
        <v>992700</v>
      </c>
      <c r="J32" s="67"/>
      <c r="K32" s="89"/>
      <c r="L32" s="88"/>
      <c r="M32" s="89"/>
      <c r="N32" s="88"/>
      <c r="O32" s="67"/>
    </row>
    <row r="33" spans="1:15" ht="12.75">
      <c r="A33" s="221" t="s">
        <v>41</v>
      </c>
      <c r="B33" s="198">
        <f>SUMIF('2011'!$D$1:$I$1,$Q$1,'2011'!$D$29:$I$29)</f>
        <v>82935209.94</v>
      </c>
      <c r="C33" s="198"/>
      <c r="D33" s="198"/>
      <c r="E33" s="198"/>
      <c r="F33" s="198"/>
      <c r="G33" s="400">
        <f t="shared" si="0"/>
        <v>-1</v>
      </c>
      <c r="H33" s="343">
        <f t="shared" si="1"/>
        <v>82935209.94</v>
      </c>
      <c r="J33" s="67"/>
      <c r="K33" s="89"/>
      <c r="L33" s="88"/>
      <c r="M33" s="89"/>
      <c r="N33" s="88"/>
      <c r="O33" s="67"/>
    </row>
    <row r="34" spans="1:15" ht="12.75">
      <c r="A34" s="221" t="s">
        <v>42</v>
      </c>
      <c r="B34" s="198">
        <f>SUMIF('2011'!$D$1:$I$1,$Q$1,'2011'!$D$30:$I$30)</f>
        <v>0</v>
      </c>
      <c r="C34" s="198"/>
      <c r="D34" s="198"/>
      <c r="E34" s="198"/>
      <c r="F34" s="198"/>
      <c r="G34" s="400" t="e">
        <f t="shared" si="0"/>
        <v>#DIV/0!</v>
      </c>
      <c r="H34" s="343">
        <f t="shared" si="1"/>
        <v>0</v>
      </c>
      <c r="J34" s="67"/>
      <c r="K34" s="89"/>
      <c r="L34" s="88"/>
      <c r="M34" s="89"/>
      <c r="N34" s="88"/>
      <c r="O34" s="67"/>
    </row>
    <row r="35" spans="1:15" ht="13.5" thickBot="1">
      <c r="A35" s="223" t="s">
        <v>1007</v>
      </c>
      <c r="B35" s="200">
        <f>SUMIF('2011'!$D$1:$I$1,$Q$1,'2011'!$D$31:$I$31)</f>
        <v>21066053.94</v>
      </c>
      <c r="C35" s="200"/>
      <c r="D35" s="200"/>
      <c r="E35" s="200"/>
      <c r="F35" s="200"/>
      <c r="G35" s="401">
        <f t="shared" si="0"/>
        <v>-1</v>
      </c>
      <c r="H35" s="345">
        <f t="shared" si="1"/>
        <v>21066053.94</v>
      </c>
      <c r="J35" s="67"/>
      <c r="K35" s="89"/>
      <c r="L35" s="88"/>
      <c r="M35" s="89"/>
      <c r="N35" s="88"/>
      <c r="O35" s="67"/>
    </row>
    <row r="36" spans="1:15" ht="12.75">
      <c r="A36" s="224" t="s">
        <v>5</v>
      </c>
      <c r="B36" s="201">
        <f>SUMIF('2011'!$D$1:$I$1,$Q$1,'2011'!$D$32:$I$32)</f>
        <v>194722046.48</v>
      </c>
      <c r="C36" s="201"/>
      <c r="D36" s="201"/>
      <c r="E36" s="201"/>
      <c r="F36" s="201"/>
      <c r="G36" s="402">
        <f t="shared" si="0"/>
        <v>-1</v>
      </c>
      <c r="H36" s="365">
        <f t="shared" si="1"/>
        <v>194722046.48</v>
      </c>
      <c r="J36" s="67"/>
      <c r="K36" s="89"/>
      <c r="L36" s="88"/>
      <c r="M36" s="89"/>
      <c r="N36" s="88"/>
      <c r="O36" s="67"/>
    </row>
    <row r="37" spans="1:15" ht="12.75">
      <c r="A37" s="225"/>
      <c r="B37" s="211"/>
      <c r="C37" s="211"/>
      <c r="D37" s="211"/>
      <c r="E37" s="211"/>
      <c r="F37" s="211"/>
      <c r="G37" s="400"/>
      <c r="H37" s="343"/>
      <c r="J37" s="67"/>
      <c r="K37" s="89"/>
      <c r="L37" s="88"/>
      <c r="M37" s="89"/>
      <c r="N37" s="88"/>
      <c r="O37" s="67"/>
    </row>
    <row r="38" spans="1:15" ht="12.75">
      <c r="A38" s="221" t="s">
        <v>1008</v>
      </c>
      <c r="B38" s="198">
        <f>SUMIF('2011'!$D$1:$I$1,$Q$1,'2011'!$D$33:$I$33)</f>
        <v>0</v>
      </c>
      <c r="C38" s="198"/>
      <c r="D38" s="198"/>
      <c r="E38" s="198"/>
      <c r="F38" s="198"/>
      <c r="G38" s="400" t="e">
        <f t="shared" si="0"/>
        <v>#DIV/0!</v>
      </c>
      <c r="H38" s="343">
        <f t="shared" si="1"/>
        <v>0</v>
      </c>
      <c r="J38" s="67"/>
      <c r="K38" s="89"/>
      <c r="L38" s="88"/>
      <c r="M38" s="89"/>
      <c r="N38" s="88"/>
      <c r="O38" s="67"/>
    </row>
    <row r="39" spans="1:15" ht="12.75">
      <c r="A39" s="221" t="s">
        <v>44</v>
      </c>
      <c r="B39" s="198">
        <f>SUMIF('2011'!$D$1:$I$1,$Q$1,'2011'!$D$34:$I$34)</f>
        <v>166011201.3</v>
      </c>
      <c r="C39" s="198"/>
      <c r="D39" s="198"/>
      <c r="E39" s="198"/>
      <c r="F39" s="198"/>
      <c r="G39" s="400">
        <f t="shared" si="0"/>
        <v>-1</v>
      </c>
      <c r="H39" s="343">
        <f t="shared" si="1"/>
        <v>166011201.3</v>
      </c>
      <c r="J39" s="67"/>
      <c r="K39" s="89"/>
      <c r="L39" s="88"/>
      <c r="M39" s="89"/>
      <c r="N39" s="88"/>
      <c r="O39" s="67"/>
    </row>
    <row r="40" spans="1:15" ht="12.75">
      <c r="A40" s="221" t="s">
        <v>45</v>
      </c>
      <c r="B40" s="198">
        <f>SUMIF('2011'!$D$1:$I$1,$Q$1,'2011'!$D$35:$I$35)</f>
        <v>0</v>
      </c>
      <c r="C40" s="198"/>
      <c r="D40" s="198"/>
      <c r="E40" s="198"/>
      <c r="F40" s="198"/>
      <c r="G40" s="400" t="e">
        <f t="shared" si="0"/>
        <v>#DIV/0!</v>
      </c>
      <c r="H40" s="343">
        <f t="shared" si="1"/>
        <v>0</v>
      </c>
      <c r="J40" s="67"/>
      <c r="K40" s="89"/>
      <c r="L40" s="88"/>
      <c r="M40" s="89"/>
      <c r="N40" s="88"/>
      <c r="O40" s="67"/>
    </row>
    <row r="41" spans="1:15" ht="12.75">
      <c r="A41" s="221" t="s">
        <v>46</v>
      </c>
      <c r="B41" s="198">
        <f>SUMIF('2011'!$D$1:$I$1,$Q$1,'2011'!$D$36:$I$36)</f>
        <v>0</v>
      </c>
      <c r="C41" s="198"/>
      <c r="D41" s="198"/>
      <c r="E41" s="198"/>
      <c r="F41" s="198"/>
      <c r="G41" s="400" t="e">
        <f t="shared" si="0"/>
        <v>#DIV/0!</v>
      </c>
      <c r="H41" s="343">
        <f t="shared" si="1"/>
        <v>0</v>
      </c>
      <c r="J41" s="67"/>
      <c r="K41" s="89"/>
      <c r="L41" s="88"/>
      <c r="M41" s="89"/>
      <c r="N41" s="88"/>
      <c r="O41" s="67"/>
    </row>
    <row r="42" spans="1:15" ht="12.75">
      <c r="A42" s="221" t="s">
        <v>47</v>
      </c>
      <c r="B42" s="198">
        <f>SUMIF('2011'!$D$1:$I$1,$Q$1,'2011'!$D$37:$I$37)</f>
        <v>33940732.41</v>
      </c>
      <c r="C42" s="198"/>
      <c r="D42" s="198"/>
      <c r="E42" s="198"/>
      <c r="F42" s="198"/>
      <c r="G42" s="400">
        <f t="shared" si="0"/>
        <v>-1</v>
      </c>
      <c r="H42" s="343">
        <f t="shared" si="1"/>
        <v>33940732.41</v>
      </c>
      <c r="J42" s="67"/>
      <c r="K42" s="89"/>
      <c r="L42" s="88"/>
      <c r="M42" s="89"/>
      <c r="N42" s="88"/>
      <c r="O42" s="67"/>
    </row>
    <row r="43" spans="1:15" ht="12.75">
      <c r="A43" s="221" t="s">
        <v>987</v>
      </c>
      <c r="B43" s="198">
        <f>SUMIF('2011'!$D$1:$I$1,$Q$1,'2011'!$D$38:$I$38)</f>
        <v>85440376.21</v>
      </c>
      <c r="C43" s="198"/>
      <c r="D43" s="198"/>
      <c r="E43" s="198"/>
      <c r="F43" s="198"/>
      <c r="G43" s="400">
        <f t="shared" si="0"/>
        <v>-1</v>
      </c>
      <c r="H43" s="343">
        <f t="shared" si="1"/>
        <v>85440376.21</v>
      </c>
      <c r="J43" s="67"/>
      <c r="K43" s="89"/>
      <c r="L43" s="88"/>
      <c r="M43" s="89"/>
      <c r="N43" s="88"/>
      <c r="O43" s="67"/>
    </row>
    <row r="44" spans="1:15" ht="12.75">
      <c r="A44" s="221" t="s">
        <v>49</v>
      </c>
      <c r="B44" s="198">
        <f>SUMIF('2011'!$D$1:$I$1,$Q$1,'2011'!$D$39:$I$39)</f>
        <v>41773103.47</v>
      </c>
      <c r="C44" s="198"/>
      <c r="D44" s="198"/>
      <c r="E44" s="198"/>
      <c r="F44" s="198"/>
      <c r="G44" s="400">
        <f t="shared" si="0"/>
        <v>-1</v>
      </c>
      <c r="H44" s="343">
        <f t="shared" si="1"/>
        <v>41773103.47</v>
      </c>
      <c r="J44" s="67"/>
      <c r="K44" s="89"/>
      <c r="L44" s="88"/>
      <c r="M44" s="89"/>
      <c r="N44" s="88"/>
      <c r="O44" s="67"/>
    </row>
    <row r="45" spans="1:15" ht="13.5" thickBot="1">
      <c r="A45" s="223" t="s">
        <v>958</v>
      </c>
      <c r="B45" s="200">
        <f>SUMIF('2011'!$D$1:$I$1,$Q$1,'2011'!$D$40:$I$40)</f>
        <v>51349462.54</v>
      </c>
      <c r="C45" s="200"/>
      <c r="D45" s="200"/>
      <c r="E45" s="200"/>
      <c r="F45" s="200"/>
      <c r="G45" s="401">
        <f t="shared" si="0"/>
        <v>-1</v>
      </c>
      <c r="H45" s="345">
        <f t="shared" si="1"/>
        <v>51349462.54</v>
      </c>
      <c r="J45" s="67"/>
      <c r="K45" s="89"/>
      <c r="L45" s="88"/>
      <c r="M45" s="89"/>
      <c r="N45" s="88"/>
      <c r="O45" s="67"/>
    </row>
    <row r="46" spans="1:15" ht="12.75">
      <c r="A46" s="224" t="s">
        <v>18</v>
      </c>
      <c r="B46" s="201">
        <f>SUMIF('2011'!$D$1:$I$1,$Q$1,'2011'!$D$41:$I$41)</f>
        <v>378514875.93</v>
      </c>
      <c r="C46" s="201"/>
      <c r="D46" s="201"/>
      <c r="E46" s="201"/>
      <c r="F46" s="201"/>
      <c r="G46" s="402">
        <f t="shared" si="0"/>
        <v>-1</v>
      </c>
      <c r="H46" s="365">
        <f t="shared" si="1"/>
        <v>378514875.93</v>
      </c>
      <c r="J46" s="67"/>
      <c r="K46" s="89"/>
      <c r="L46" s="88"/>
      <c r="M46" s="89"/>
      <c r="N46" s="88"/>
      <c r="O46" s="67"/>
    </row>
    <row r="47" spans="1:15" ht="13.5" thickBot="1">
      <c r="A47" s="226"/>
      <c r="B47" s="227"/>
      <c r="C47" s="227"/>
      <c r="D47" s="227"/>
      <c r="E47" s="227"/>
      <c r="F47" s="227"/>
      <c r="G47" s="401"/>
      <c r="H47" s="345"/>
      <c r="J47" s="67"/>
      <c r="K47" s="89"/>
      <c r="L47" s="88"/>
      <c r="M47" s="89"/>
      <c r="N47" s="88"/>
      <c r="O47" s="67"/>
    </row>
    <row r="48" spans="1:15" ht="13.5" thickBot="1">
      <c r="A48" s="228" t="s">
        <v>879</v>
      </c>
      <c r="B48" s="229">
        <f>SUMIF('2011'!$D$1:$I$1,$Q$1,'2011'!$D$42:$I$42)</f>
        <v>573236922.41</v>
      </c>
      <c r="C48" s="229"/>
      <c r="D48" s="229"/>
      <c r="E48" s="229"/>
      <c r="F48" s="229"/>
      <c r="G48" s="403">
        <f t="shared" si="0"/>
        <v>-1</v>
      </c>
      <c r="H48" s="355">
        <f t="shared" si="1"/>
        <v>573236922.41</v>
      </c>
      <c r="J48" s="67"/>
      <c r="K48" s="89"/>
      <c r="L48" s="88"/>
      <c r="M48" s="89"/>
      <c r="N48" s="88"/>
      <c r="O48" s="67"/>
    </row>
    <row r="49" spans="1:15" ht="12.75">
      <c r="A49" s="231"/>
      <c r="B49" s="217"/>
      <c r="C49" s="217"/>
      <c r="D49" s="217"/>
      <c r="E49" s="217"/>
      <c r="F49" s="217"/>
      <c r="G49" s="405"/>
      <c r="H49" s="388"/>
      <c r="J49" s="67"/>
      <c r="K49" s="89"/>
      <c r="L49" s="88"/>
      <c r="M49" s="89"/>
      <c r="N49" s="88"/>
      <c r="O49" s="67"/>
    </row>
    <row r="50" spans="1:15" ht="13.5" thickBot="1">
      <c r="A50" s="231"/>
      <c r="B50" s="217"/>
      <c r="C50" s="217"/>
      <c r="D50" s="217"/>
      <c r="E50" s="217"/>
      <c r="F50" s="217"/>
      <c r="G50" s="405"/>
      <c r="H50" s="388"/>
      <c r="J50" s="67"/>
      <c r="K50" s="89"/>
      <c r="L50" s="88"/>
      <c r="M50" s="89"/>
      <c r="N50" s="88"/>
      <c r="O50" s="67"/>
    </row>
    <row r="51" spans="1:15" ht="12.75">
      <c r="A51" s="220" t="s">
        <v>988</v>
      </c>
      <c r="B51" s="245">
        <f>SUMIF('2011'!$D$1:$I$1,$Q$1,'2011'!$D$921:$I$921)</f>
        <v>179242905.04</v>
      </c>
      <c r="C51" s="245"/>
      <c r="D51" s="245"/>
      <c r="E51" s="245"/>
      <c r="F51" s="245"/>
      <c r="G51" s="406">
        <f t="shared" si="0"/>
        <v>-1</v>
      </c>
      <c r="H51" s="363">
        <f t="shared" si="1"/>
        <v>179242905.04</v>
      </c>
      <c r="J51" s="67"/>
      <c r="K51" s="89"/>
      <c r="L51" s="88"/>
      <c r="M51" s="89"/>
      <c r="N51" s="88"/>
      <c r="O51" s="67"/>
    </row>
    <row r="52" spans="1:15" ht="12.75">
      <c r="A52" s="244"/>
      <c r="B52" s="214"/>
      <c r="C52" s="214"/>
      <c r="D52" s="214"/>
      <c r="E52" s="214"/>
      <c r="F52" s="214"/>
      <c r="G52" s="407"/>
      <c r="H52" s="367"/>
      <c r="J52" s="67"/>
      <c r="K52" s="89"/>
      <c r="L52" s="88"/>
      <c r="M52" s="89"/>
      <c r="N52" s="88"/>
      <c r="O52" s="67"/>
    </row>
    <row r="53" spans="1:15" ht="12.75">
      <c r="A53" s="243" t="s">
        <v>989</v>
      </c>
      <c r="B53" s="204">
        <f>SUMIF('2011'!$D$1:$I$1,$Q$1,'2011'!$D$928:$I$928)</f>
        <v>287424268.94000006</v>
      </c>
      <c r="C53" s="196"/>
      <c r="D53" s="196"/>
      <c r="E53" s="196"/>
      <c r="F53" s="196"/>
      <c r="G53" s="407">
        <f t="shared" si="0"/>
        <v>-1</v>
      </c>
      <c r="H53" s="367">
        <f t="shared" si="1"/>
        <v>287424268.94000006</v>
      </c>
      <c r="J53" s="67"/>
      <c r="K53" s="89"/>
      <c r="L53" s="88"/>
      <c r="M53" s="89"/>
      <c r="N53" s="88"/>
      <c r="O53" s="67"/>
    </row>
    <row r="54" spans="1:15" ht="12.75">
      <c r="A54" s="244"/>
      <c r="B54" s="214"/>
      <c r="C54" s="214"/>
      <c r="D54" s="214"/>
      <c r="E54" s="214"/>
      <c r="F54" s="214"/>
      <c r="G54" s="407"/>
      <c r="H54" s="367"/>
      <c r="J54" s="67"/>
      <c r="K54" s="89"/>
      <c r="L54" s="88"/>
      <c r="M54" s="89"/>
      <c r="N54" s="88"/>
      <c r="O54" s="67"/>
    </row>
    <row r="55" spans="1:15" ht="13.5" thickBot="1">
      <c r="A55" s="246" t="s">
        <v>1027</v>
      </c>
      <c r="B55" s="213">
        <f>SUMIF('2011'!$D$1:$I$1,$Q$1,'2011'!$D$905:$I$905)</f>
        <v>-162165286.04</v>
      </c>
      <c r="C55" s="215"/>
      <c r="D55" s="215"/>
      <c r="E55" s="215"/>
      <c r="F55" s="215"/>
      <c r="G55" s="408">
        <f t="shared" si="0"/>
        <v>-1</v>
      </c>
      <c r="H55" s="369">
        <f t="shared" si="1"/>
        <v>-162165286.04</v>
      </c>
      <c r="J55" s="67"/>
      <c r="K55" s="89"/>
      <c r="L55" s="88"/>
      <c r="M55" s="89"/>
      <c r="N55" s="88"/>
      <c r="O55" s="67"/>
    </row>
    <row r="56" spans="1:15" ht="13.5" thickBot="1">
      <c r="A56" s="426"/>
      <c r="B56" s="192"/>
      <c r="C56" s="192"/>
      <c r="D56" s="192"/>
      <c r="E56" s="192"/>
      <c r="F56" s="192"/>
      <c r="G56" s="194"/>
      <c r="H56" s="427"/>
      <c r="J56" s="67"/>
      <c r="K56" s="89"/>
      <c r="L56" s="88"/>
      <c r="M56" s="89"/>
      <c r="N56" s="88"/>
      <c r="O56" s="67"/>
    </row>
    <row r="57" spans="1:15" ht="18">
      <c r="A57" s="281" t="s">
        <v>43</v>
      </c>
      <c r="B57" s="282"/>
      <c r="C57" s="282"/>
      <c r="D57" s="282"/>
      <c r="E57" s="282"/>
      <c r="F57" s="282"/>
      <c r="G57" s="283"/>
      <c r="H57" s="284"/>
      <c r="J57" s="67"/>
      <c r="K57" s="89"/>
      <c r="L57" s="88"/>
      <c r="M57" s="89"/>
      <c r="N57" s="88"/>
      <c r="O57" s="67"/>
    </row>
    <row r="58" spans="1:15" ht="12.75">
      <c r="A58" s="271" t="s">
        <v>981</v>
      </c>
      <c r="B58" s="203"/>
      <c r="C58" s="203"/>
      <c r="D58" s="203"/>
      <c r="E58" s="203"/>
      <c r="F58" s="203"/>
      <c r="G58" s="404"/>
      <c r="H58" s="384"/>
      <c r="J58" s="67"/>
      <c r="K58" s="89"/>
      <c r="L58" s="88"/>
      <c r="M58" s="89"/>
      <c r="N58" s="88"/>
      <c r="O58" s="67"/>
    </row>
    <row r="59" spans="1:15" ht="12.75">
      <c r="A59" s="235"/>
      <c r="B59" s="197"/>
      <c r="C59" s="197"/>
      <c r="D59" s="197"/>
      <c r="E59" s="197"/>
      <c r="F59" s="197"/>
      <c r="G59" s="400"/>
      <c r="H59" s="343"/>
      <c r="J59" s="67"/>
      <c r="K59" s="89"/>
      <c r="L59" s="88"/>
      <c r="M59" s="89"/>
      <c r="N59" s="88"/>
      <c r="O59" s="67"/>
    </row>
    <row r="60" spans="1:15" ht="12.75">
      <c r="A60" s="221" t="s">
        <v>8</v>
      </c>
      <c r="B60" s="198">
        <f>SUMIF('2011'!$D$1:$I$1,$Q$1,'2011'!$D$1049:$I$1049)</f>
        <v>71379209</v>
      </c>
      <c r="C60" s="198"/>
      <c r="D60" s="198"/>
      <c r="E60" s="198"/>
      <c r="F60" s="198"/>
      <c r="G60" s="400">
        <f t="shared" si="0"/>
        <v>-1</v>
      </c>
      <c r="H60" s="343">
        <f t="shared" si="1"/>
        <v>71379209</v>
      </c>
      <c r="J60" s="67"/>
      <c r="K60" s="89"/>
      <c r="L60" s="88"/>
      <c r="M60" s="89"/>
      <c r="N60" s="88"/>
      <c r="O60" s="67"/>
    </row>
    <row r="61" spans="1:15" ht="12.75">
      <c r="A61" s="221" t="s">
        <v>880</v>
      </c>
      <c r="B61" s="198">
        <f>SUMIF('2011'!$D$1:$I$1,$Q$1,'2011'!$D$1050:$I$1050)</f>
        <v>31330807</v>
      </c>
      <c r="C61" s="198"/>
      <c r="D61" s="198"/>
      <c r="E61" s="198"/>
      <c r="F61" s="198"/>
      <c r="G61" s="400">
        <f t="shared" si="0"/>
        <v>-1</v>
      </c>
      <c r="H61" s="343">
        <f t="shared" si="1"/>
        <v>31330807</v>
      </c>
      <c r="J61" s="67"/>
      <c r="K61" s="89"/>
      <c r="L61" s="88"/>
      <c r="M61" s="89"/>
      <c r="N61" s="88"/>
      <c r="O61" s="67"/>
    </row>
    <row r="62" spans="1:15" ht="12.75">
      <c r="A62" s="221" t="s">
        <v>990</v>
      </c>
      <c r="B62" s="198">
        <f>SUMIF('2011'!$D$1:$I$1,$Q$1,'2011'!$D$1051:$I$1051)</f>
        <v>9019009</v>
      </c>
      <c r="C62" s="198"/>
      <c r="D62" s="198"/>
      <c r="E62" s="198"/>
      <c r="F62" s="198"/>
      <c r="G62" s="400">
        <f t="shared" si="0"/>
        <v>-1</v>
      </c>
      <c r="H62" s="343">
        <f t="shared" si="1"/>
        <v>9019009</v>
      </c>
      <c r="J62" s="67"/>
      <c r="K62" s="89"/>
      <c r="L62" s="88"/>
      <c r="M62" s="89"/>
      <c r="N62" s="88"/>
      <c r="O62" s="67"/>
    </row>
    <row r="63" spans="1:15" ht="12.75">
      <c r="A63" s="221" t="s">
        <v>1005</v>
      </c>
      <c r="B63" s="198">
        <f>SUMIF('2011'!$D$1:$I$1,$Q$1,'2011'!$D$1052:$I$1052)</f>
        <v>3306200</v>
      </c>
      <c r="C63" s="198"/>
      <c r="D63" s="198"/>
      <c r="E63" s="198"/>
      <c r="F63" s="198"/>
      <c r="G63" s="400">
        <f t="shared" si="0"/>
        <v>-1</v>
      </c>
      <c r="H63" s="343">
        <f t="shared" si="1"/>
        <v>3306200</v>
      </c>
      <c r="J63" s="67"/>
      <c r="K63" s="89"/>
      <c r="L63" s="88"/>
      <c r="M63" s="89"/>
      <c r="N63" s="88"/>
      <c r="O63" s="67"/>
    </row>
    <row r="64" spans="1:15" ht="12.75">
      <c r="A64" s="221" t="s">
        <v>87</v>
      </c>
      <c r="B64" s="198">
        <f>SUMIF('2011'!$D$1:$I$1,$Q$1,'2011'!$D$1053:$I$1053)</f>
        <v>189993093</v>
      </c>
      <c r="C64" s="198"/>
      <c r="D64" s="198"/>
      <c r="E64" s="198"/>
      <c r="F64" s="198"/>
      <c r="G64" s="400">
        <f t="shared" si="0"/>
        <v>-1</v>
      </c>
      <c r="H64" s="343">
        <f t="shared" si="1"/>
        <v>189993093</v>
      </c>
      <c r="J64" s="67"/>
      <c r="K64" s="89"/>
      <c r="L64" s="88"/>
      <c r="M64" s="89"/>
      <c r="N64" s="88"/>
      <c r="O64" s="67"/>
    </row>
    <row r="65" spans="1:15" ht="12.75">
      <c r="A65" s="221" t="s">
        <v>9</v>
      </c>
      <c r="B65" s="198">
        <f>SUMIF('2011'!$D$1:$I$1,$Q$1,'2011'!$D$1054:$I$1054)</f>
        <v>28430592</v>
      </c>
      <c r="C65" s="198"/>
      <c r="D65" s="198"/>
      <c r="E65" s="198"/>
      <c r="F65" s="198"/>
      <c r="G65" s="400">
        <f t="shared" si="0"/>
        <v>-1</v>
      </c>
      <c r="H65" s="343">
        <f t="shared" si="1"/>
        <v>28430592</v>
      </c>
      <c r="J65" s="67"/>
      <c r="K65" s="89"/>
      <c r="L65" s="88"/>
      <c r="M65" s="89"/>
      <c r="N65" s="88"/>
      <c r="O65" s="67"/>
    </row>
    <row r="66" spans="1:15" ht="13.5" thickBot="1">
      <c r="A66" s="223" t="s">
        <v>10</v>
      </c>
      <c r="B66" s="200">
        <f>SUMIF('2011'!$D$1:$I$1,$Q$1,'2011'!$D$1055:$I$1055)</f>
        <v>10680140</v>
      </c>
      <c r="C66" s="200"/>
      <c r="D66" s="200"/>
      <c r="E66" s="200"/>
      <c r="F66" s="200"/>
      <c r="G66" s="401">
        <f t="shared" si="0"/>
        <v>-1</v>
      </c>
      <c r="H66" s="345">
        <f t="shared" si="1"/>
        <v>10680140</v>
      </c>
      <c r="J66" s="67"/>
      <c r="K66" s="89"/>
      <c r="L66" s="88"/>
      <c r="M66" s="89"/>
      <c r="N66" s="88"/>
      <c r="O66" s="67"/>
    </row>
    <row r="67" spans="1:15" ht="12.75">
      <c r="A67" s="236" t="s">
        <v>297</v>
      </c>
      <c r="B67" s="210">
        <f>SUMIF('2011'!$D$1:$I$1,$Q$1,'2011'!$D$1056:$I$1056)</f>
        <v>344139050</v>
      </c>
      <c r="C67" s="210"/>
      <c r="D67" s="210"/>
      <c r="E67" s="210"/>
      <c r="F67" s="210"/>
      <c r="G67" s="404">
        <f t="shared" si="0"/>
        <v>-1</v>
      </c>
      <c r="H67" s="384">
        <f t="shared" si="1"/>
        <v>344139050</v>
      </c>
      <c r="J67" s="67"/>
      <c r="K67" s="89"/>
      <c r="L67" s="88"/>
      <c r="M67" s="89"/>
      <c r="N67" s="88"/>
      <c r="O67" s="67"/>
    </row>
    <row r="68" spans="1:15" ht="12.75">
      <c r="A68" s="225"/>
      <c r="B68" s="211"/>
      <c r="C68" s="211"/>
      <c r="D68" s="211"/>
      <c r="E68" s="211"/>
      <c r="F68" s="211"/>
      <c r="G68" s="400"/>
      <c r="H68" s="343"/>
      <c r="J68" s="67"/>
      <c r="K68" s="89"/>
      <c r="L68" s="88"/>
      <c r="M68" s="89"/>
      <c r="N68" s="88"/>
      <c r="O68" s="67"/>
    </row>
    <row r="69" spans="1:15" ht="12.75">
      <c r="A69" s="221" t="s">
        <v>203</v>
      </c>
      <c r="B69" s="198">
        <f>SUMIF('2011'!$D$1:$I$1,$Q$1,'2011'!$D$1058:$I$1058)</f>
        <v>-110076004</v>
      </c>
      <c r="C69" s="198"/>
      <c r="D69" s="198"/>
      <c r="E69" s="198"/>
      <c r="F69" s="198"/>
      <c r="G69" s="400">
        <f aca="true" t="shared" si="2" ref="G69:G122">(C69-B69)/B69</f>
        <v>-1</v>
      </c>
      <c r="H69" s="343">
        <f aca="true" t="shared" si="3" ref="H69:H122">AVERAGE(B69:F69)</f>
        <v>-110076004</v>
      </c>
      <c r="J69" s="67"/>
      <c r="K69" s="89"/>
      <c r="L69" s="88"/>
      <c r="N69" s="88"/>
      <c r="O69" s="67"/>
    </row>
    <row r="70" spans="1:15" ht="12.75">
      <c r="A70" s="221" t="s">
        <v>105</v>
      </c>
      <c r="B70" s="198">
        <f>SUMIF('2011'!$D$1:$I$1,$Q$1,'2011'!$D$1059:$I$1059)</f>
        <v>-16143638</v>
      </c>
      <c r="C70" s="198"/>
      <c r="D70" s="198"/>
      <c r="E70" s="198"/>
      <c r="F70" s="198"/>
      <c r="G70" s="400">
        <f t="shared" si="2"/>
        <v>-1</v>
      </c>
      <c r="H70" s="343">
        <f t="shared" si="3"/>
        <v>-16143638</v>
      </c>
      <c r="J70" s="67"/>
      <c r="K70" s="89"/>
      <c r="L70" s="88"/>
      <c r="N70" s="88"/>
      <c r="O70" s="67"/>
    </row>
    <row r="71" spans="1:15" ht="12.75">
      <c r="A71" s="221" t="s">
        <v>12</v>
      </c>
      <c r="B71" s="198">
        <f>SUMIF('2011'!$D$1:$I$1,$Q$1,'2011'!$D$1060:$I$1060)</f>
        <v>-58263121</v>
      </c>
      <c r="C71" s="198"/>
      <c r="D71" s="198"/>
      <c r="E71" s="198"/>
      <c r="F71" s="198"/>
      <c r="G71" s="400">
        <f t="shared" si="2"/>
        <v>-1</v>
      </c>
      <c r="H71" s="343">
        <f t="shared" si="3"/>
        <v>-58263121</v>
      </c>
      <c r="J71" s="67"/>
      <c r="K71" s="89"/>
      <c r="L71" s="88"/>
      <c r="N71" s="88"/>
      <c r="O71" s="67"/>
    </row>
    <row r="72" spans="1:15" ht="12.75">
      <c r="A72" s="221" t="s">
        <v>115</v>
      </c>
      <c r="B72" s="198">
        <f>SUMIF('2011'!$D$1:$I$1,$Q$1,'2011'!$D$1061:$I$1061)</f>
        <v>-135589</v>
      </c>
      <c r="C72" s="198"/>
      <c r="D72" s="198"/>
      <c r="E72" s="198"/>
      <c r="F72" s="198"/>
      <c r="G72" s="400">
        <f t="shared" si="2"/>
        <v>-1</v>
      </c>
      <c r="H72" s="343">
        <f t="shared" si="3"/>
        <v>-135589</v>
      </c>
      <c r="J72" s="67"/>
      <c r="K72" s="89"/>
      <c r="L72" s="88"/>
      <c r="N72" s="88"/>
      <c r="O72" s="67"/>
    </row>
    <row r="73" spans="1:15" ht="12.75">
      <c r="A73" s="221" t="s">
        <v>1006</v>
      </c>
      <c r="B73" s="198">
        <f>SUMIF('2011'!$D$1:$I$1,$Q$1,'2011'!$D$1062:$I$1062)</f>
        <v>-14928644</v>
      </c>
      <c r="C73" s="198"/>
      <c r="D73" s="198"/>
      <c r="E73" s="198"/>
      <c r="F73" s="198"/>
      <c r="G73" s="400">
        <f t="shared" si="2"/>
        <v>-1</v>
      </c>
      <c r="H73" s="343">
        <f t="shared" si="3"/>
        <v>-14928644</v>
      </c>
      <c r="J73" s="67"/>
      <c r="K73" s="89"/>
      <c r="L73" s="88"/>
      <c r="N73" s="88"/>
      <c r="O73" s="67"/>
    </row>
    <row r="74" spans="1:15" ht="12.75">
      <c r="A74" s="221" t="s">
        <v>133</v>
      </c>
      <c r="B74" s="198">
        <f>SUMIF('2011'!$D$1:$I$1,$Q$1,'2011'!$D$1063:$I$1063)</f>
        <v>-118667814</v>
      </c>
      <c r="C74" s="198"/>
      <c r="D74" s="198"/>
      <c r="E74" s="198"/>
      <c r="F74" s="198"/>
      <c r="G74" s="400">
        <f t="shared" si="2"/>
        <v>-1</v>
      </c>
      <c r="H74" s="343">
        <f t="shared" si="3"/>
        <v>-118667814</v>
      </c>
      <c r="J74" s="67"/>
      <c r="K74" s="89"/>
      <c r="L74" s="88"/>
      <c r="O74" s="67"/>
    </row>
    <row r="75" spans="1:15" ht="12.75">
      <c r="A75" s="221" t="s">
        <v>9</v>
      </c>
      <c r="B75" s="198">
        <f>SUMIF('2011'!$D$1:$I$1,$Q$1,'2011'!$D$1064:$I$1064)</f>
        <v>-28430592</v>
      </c>
      <c r="C75" s="198"/>
      <c r="D75" s="198"/>
      <c r="E75" s="198"/>
      <c r="F75" s="198"/>
      <c r="G75" s="400">
        <f t="shared" si="2"/>
        <v>-1</v>
      </c>
      <c r="H75" s="343">
        <f t="shared" si="3"/>
        <v>-28430592</v>
      </c>
      <c r="J75" s="67"/>
      <c r="K75" s="89"/>
      <c r="L75" s="88"/>
      <c r="M75" s="89"/>
      <c r="N75" s="88"/>
      <c r="O75" s="67"/>
    </row>
    <row r="76" spans="1:15" ht="13.5" thickBot="1">
      <c r="A76" s="223" t="s">
        <v>10</v>
      </c>
      <c r="B76" s="200">
        <f>SUMIF('2011'!$D$1:$I$1,$Q$1,'2011'!$D$1065:$I$1065)</f>
        <v>-10680140</v>
      </c>
      <c r="C76" s="200"/>
      <c r="D76" s="200"/>
      <c r="E76" s="200"/>
      <c r="F76" s="200"/>
      <c r="G76" s="401">
        <f t="shared" si="2"/>
        <v>-1</v>
      </c>
      <c r="H76" s="345">
        <f t="shared" si="3"/>
        <v>-10680140</v>
      </c>
      <c r="J76" s="67"/>
      <c r="K76" s="89"/>
      <c r="L76" s="88"/>
      <c r="M76" s="89"/>
      <c r="N76" s="88"/>
      <c r="O76" s="67"/>
    </row>
    <row r="77" spans="1:15" ht="12.75">
      <c r="A77" s="236" t="s">
        <v>991</v>
      </c>
      <c r="B77" s="210">
        <f>SUMIF('2011'!$D$1:$I$1,$Q$1,'2011'!$D$1066:$I$1066)</f>
        <v>-357325542</v>
      </c>
      <c r="C77" s="210"/>
      <c r="D77" s="210"/>
      <c r="E77" s="210"/>
      <c r="F77" s="210"/>
      <c r="G77" s="404">
        <f t="shared" si="2"/>
        <v>-1</v>
      </c>
      <c r="H77" s="384">
        <f t="shared" si="3"/>
        <v>-357325542</v>
      </c>
      <c r="J77" s="67"/>
      <c r="K77" s="89"/>
      <c r="L77" s="88"/>
      <c r="O77" s="67"/>
    </row>
    <row r="78" spans="1:15" ht="13.5" thickBot="1">
      <c r="A78" s="226"/>
      <c r="B78" s="227"/>
      <c r="C78" s="227"/>
      <c r="D78" s="227"/>
      <c r="E78" s="227"/>
      <c r="F78" s="227"/>
      <c r="G78" s="401"/>
      <c r="H78" s="345"/>
      <c r="J78" s="67"/>
      <c r="K78" s="89"/>
      <c r="L78" s="88"/>
      <c r="O78" s="67"/>
    </row>
    <row r="79" spans="1:15" ht="13.5" thickBot="1">
      <c r="A79" s="228" t="s">
        <v>992</v>
      </c>
      <c r="B79" s="229">
        <f>SUMIF('2011'!$D$1:$I$1,$Q$1,'2011'!$D$1068:$I$1068)</f>
        <v>-13186492</v>
      </c>
      <c r="C79" s="229"/>
      <c r="D79" s="229"/>
      <c r="E79" s="229"/>
      <c r="F79" s="229"/>
      <c r="G79" s="403">
        <f t="shared" si="2"/>
        <v>-1</v>
      </c>
      <c r="H79" s="355">
        <f t="shared" si="3"/>
        <v>-13186492</v>
      </c>
      <c r="J79" s="67"/>
      <c r="K79" s="89"/>
      <c r="L79" s="88"/>
      <c r="O79" s="67"/>
    </row>
    <row r="80" spans="1:15" ht="12.75">
      <c r="A80" s="230"/>
      <c r="B80" s="202"/>
      <c r="C80" s="202"/>
      <c r="D80" s="202"/>
      <c r="E80" s="202"/>
      <c r="F80" s="202"/>
      <c r="G80" s="404"/>
      <c r="H80" s="384"/>
      <c r="J80" s="67"/>
      <c r="K80" s="89"/>
      <c r="L80" s="88"/>
      <c r="O80" s="67"/>
    </row>
    <row r="81" spans="1:15" ht="12.75">
      <c r="A81" s="221" t="s">
        <v>77</v>
      </c>
      <c r="B81" s="198">
        <f>SUMIF('2011'!$D$1:$I$1,$Q$1,'2011'!$D$1070:$I$1070)</f>
        <v>5543599</v>
      </c>
      <c r="C81" s="198"/>
      <c r="D81" s="198"/>
      <c r="E81" s="198"/>
      <c r="F81" s="198"/>
      <c r="G81" s="400">
        <f t="shared" si="2"/>
        <v>-1</v>
      </c>
      <c r="H81" s="343">
        <f t="shared" si="3"/>
        <v>5543599</v>
      </c>
      <c r="J81" s="67"/>
      <c r="K81" s="89"/>
      <c r="L81" s="90"/>
      <c r="O81" s="67"/>
    </row>
    <row r="82" spans="1:15" ht="13.5" thickBot="1">
      <c r="A82" s="223" t="s">
        <v>23</v>
      </c>
      <c r="B82" s="200">
        <f>SUMIF('2011'!$D$1:$I$1,$Q$1,'2011'!$D$1071:$I$1071)</f>
        <v>-13226123</v>
      </c>
      <c r="C82" s="200"/>
      <c r="D82" s="200"/>
      <c r="E82" s="200"/>
      <c r="F82" s="200"/>
      <c r="G82" s="401">
        <f t="shared" si="2"/>
        <v>-1</v>
      </c>
      <c r="H82" s="345">
        <f t="shared" si="3"/>
        <v>-13226123</v>
      </c>
      <c r="J82" s="67"/>
      <c r="K82" s="67"/>
      <c r="L82" s="90"/>
      <c r="O82" s="67"/>
    </row>
    <row r="83" spans="1:15" ht="12.75">
      <c r="A83" s="236" t="s">
        <v>305</v>
      </c>
      <c r="B83" s="210">
        <f>SUMIF('2011'!$D$1:$I$1,$Q$1,'2011'!$D$1072:$I$1072)</f>
        <v>-7682524</v>
      </c>
      <c r="C83" s="210"/>
      <c r="D83" s="210"/>
      <c r="E83" s="210"/>
      <c r="F83" s="210"/>
      <c r="G83" s="404">
        <f t="shared" si="2"/>
        <v>-1</v>
      </c>
      <c r="H83" s="384">
        <f t="shared" si="3"/>
        <v>-7682524</v>
      </c>
      <c r="J83" s="67"/>
      <c r="K83" s="67"/>
      <c r="L83" s="90"/>
      <c r="O83" s="67"/>
    </row>
    <row r="84" spans="1:15" ht="13.5" thickBot="1">
      <c r="A84" s="226"/>
      <c r="B84" s="227"/>
      <c r="C84" s="227"/>
      <c r="D84" s="227"/>
      <c r="E84" s="227"/>
      <c r="F84" s="227"/>
      <c r="G84" s="401"/>
      <c r="H84" s="345"/>
      <c r="J84" s="67"/>
      <c r="K84" s="67"/>
      <c r="L84" s="90"/>
      <c r="O84" s="67"/>
    </row>
    <row r="85" spans="1:15" ht="13.5" thickBot="1">
      <c r="A85" s="228" t="s">
        <v>302</v>
      </c>
      <c r="B85" s="229">
        <f>SUMIF('2011'!$D$1:$I$1,$Q$1,'2011'!$D$1074:$I$1074)</f>
        <v>-20869016</v>
      </c>
      <c r="C85" s="229"/>
      <c r="D85" s="229"/>
      <c r="E85" s="229"/>
      <c r="F85" s="229"/>
      <c r="G85" s="403">
        <f t="shared" si="2"/>
        <v>-1</v>
      </c>
      <c r="H85" s="355">
        <f t="shared" si="3"/>
        <v>-20869016</v>
      </c>
      <c r="J85" s="67"/>
      <c r="K85" s="67"/>
      <c r="L85" s="90"/>
      <c r="O85" s="67"/>
    </row>
    <row r="86" spans="1:15" ht="12.75">
      <c r="A86" s="230"/>
      <c r="B86" s="202"/>
      <c r="C86" s="202"/>
      <c r="D86" s="202"/>
      <c r="E86" s="202"/>
      <c r="F86" s="202"/>
      <c r="G86" s="404"/>
      <c r="H86" s="384"/>
      <c r="J86" s="67"/>
      <c r="K86" s="67"/>
      <c r="L86" s="90"/>
      <c r="O86" s="67"/>
    </row>
    <row r="87" spans="1:15" ht="12.75">
      <c r="A87" s="221" t="s">
        <v>303</v>
      </c>
      <c r="B87" s="198">
        <f>SUMIF('2011'!$D$1:$I$1,$Q$1,'2011'!$D$1076:$I$1076)</f>
        <v>12901113</v>
      </c>
      <c r="C87" s="198"/>
      <c r="D87" s="198"/>
      <c r="E87" s="198"/>
      <c r="F87" s="198"/>
      <c r="G87" s="400">
        <f t="shared" si="2"/>
        <v>-1</v>
      </c>
      <c r="H87" s="343">
        <f t="shared" si="3"/>
        <v>12901113</v>
      </c>
      <c r="J87" s="67"/>
      <c r="K87" s="67"/>
      <c r="L87" s="90"/>
      <c r="O87" s="67"/>
    </row>
    <row r="88" spans="1:15" ht="13.5" thickBot="1">
      <c r="A88" s="223" t="s">
        <v>138</v>
      </c>
      <c r="B88" s="200">
        <f>SUMIF('2011'!$D$1:$I$1,$Q$1,'2011'!$D$1077:$I$1077)</f>
        <v>-134365</v>
      </c>
      <c r="C88" s="200"/>
      <c r="D88" s="200"/>
      <c r="E88" s="200"/>
      <c r="F88" s="200"/>
      <c r="G88" s="401">
        <f t="shared" si="2"/>
        <v>-1</v>
      </c>
      <c r="H88" s="345">
        <f t="shared" si="3"/>
        <v>-134365</v>
      </c>
      <c r="J88" s="67"/>
      <c r="K88" s="67"/>
      <c r="L88" s="90"/>
      <c r="O88" s="67"/>
    </row>
    <row r="89" spans="1:15" ht="12.75">
      <c r="A89" s="236" t="s">
        <v>307</v>
      </c>
      <c r="B89" s="210">
        <f>SUMIF('2011'!$D$1:$I$1,$Q$1,'2011'!$D$1078:$I$1078)</f>
        <v>12766748</v>
      </c>
      <c r="C89" s="210"/>
      <c r="D89" s="210"/>
      <c r="E89" s="210"/>
      <c r="F89" s="210"/>
      <c r="G89" s="404">
        <f t="shared" si="2"/>
        <v>-1</v>
      </c>
      <c r="H89" s="384">
        <f t="shared" si="3"/>
        <v>12766748</v>
      </c>
      <c r="J89" s="67"/>
      <c r="K89" s="67"/>
      <c r="L89" s="90"/>
      <c r="O89" s="67"/>
    </row>
    <row r="90" spans="1:15" ht="12.75">
      <c r="A90" s="237"/>
      <c r="B90" s="238"/>
      <c r="C90" s="238"/>
      <c r="D90" s="238"/>
      <c r="E90" s="238"/>
      <c r="F90" s="238"/>
      <c r="G90" s="400"/>
      <c r="H90" s="343"/>
      <c r="J90" s="67"/>
      <c r="K90" s="67"/>
      <c r="L90" s="90"/>
      <c r="O90" s="67"/>
    </row>
    <row r="91" spans="1:15" ht="13.5" thickBot="1">
      <c r="A91" s="226"/>
      <c r="B91" s="227"/>
      <c r="C91" s="227"/>
      <c r="D91" s="227"/>
      <c r="E91" s="227"/>
      <c r="F91" s="227"/>
      <c r="G91" s="401"/>
      <c r="H91" s="345"/>
      <c r="J91" s="67"/>
      <c r="K91" s="67"/>
      <c r="L91" s="90"/>
      <c r="O91" s="67"/>
    </row>
    <row r="92" spans="1:15" ht="13.5" thickBot="1">
      <c r="A92" s="228" t="s">
        <v>993</v>
      </c>
      <c r="B92" s="229">
        <f>SUMIF('2011'!$D$1:$I$1,$Q$1,'2011'!$D$1080:$I$1080)</f>
        <v>-8102268</v>
      </c>
      <c r="C92" s="229"/>
      <c r="D92" s="229"/>
      <c r="E92" s="229"/>
      <c r="F92" s="229"/>
      <c r="G92" s="403">
        <f t="shared" si="2"/>
        <v>-1</v>
      </c>
      <c r="H92" s="355">
        <f t="shared" si="3"/>
        <v>-8102268</v>
      </c>
      <c r="J92" s="67"/>
      <c r="L92" s="2"/>
      <c r="O92" s="67"/>
    </row>
    <row r="93" spans="1:15" ht="12.75">
      <c r="A93" s="231"/>
      <c r="B93" s="217"/>
      <c r="C93" s="217"/>
      <c r="D93" s="217"/>
      <c r="E93" s="217"/>
      <c r="F93" s="217"/>
      <c r="G93" s="405"/>
      <c r="H93" s="388"/>
      <c r="J93" s="67"/>
      <c r="L93" s="2"/>
      <c r="O93" s="67"/>
    </row>
    <row r="94" spans="1:15" ht="13.5" thickBot="1">
      <c r="A94" s="239"/>
      <c r="B94" s="234"/>
      <c r="C94" s="234"/>
      <c r="D94" s="234"/>
      <c r="E94" s="234"/>
      <c r="F94" s="234"/>
      <c r="G94" s="409"/>
      <c r="H94" s="383"/>
      <c r="J94" s="67"/>
      <c r="L94" s="2"/>
      <c r="O94" s="67"/>
    </row>
    <row r="95" spans="1:15" ht="12.75">
      <c r="A95" s="232"/>
      <c r="B95" s="233"/>
      <c r="C95" s="233"/>
      <c r="D95" s="233"/>
      <c r="E95" s="233"/>
      <c r="F95" s="233"/>
      <c r="G95" s="410"/>
      <c r="H95" s="377"/>
      <c r="J95" s="67"/>
      <c r="L95" s="2"/>
      <c r="O95" s="67"/>
    </row>
    <row r="96" spans="1:15" ht="12.75">
      <c r="A96" s="244" t="s">
        <v>960</v>
      </c>
      <c r="B96" s="214">
        <f>SUMIF('2011'!$D$1:$I$1,$Q$1,'2011'!$D$110:$I$110)</f>
        <v>362583762</v>
      </c>
      <c r="C96" s="214"/>
      <c r="D96" s="214"/>
      <c r="E96" s="214"/>
      <c r="F96" s="214"/>
      <c r="G96" s="407">
        <f t="shared" si="2"/>
        <v>-1</v>
      </c>
      <c r="H96" s="367">
        <f t="shared" si="3"/>
        <v>362583762</v>
      </c>
      <c r="J96" s="67"/>
      <c r="L96" s="2"/>
      <c r="O96" s="67"/>
    </row>
    <row r="97" spans="1:15" ht="12.75">
      <c r="A97" s="244" t="s">
        <v>961</v>
      </c>
      <c r="B97" s="204">
        <f>-SUMIF('2011'!$D$1:$I$1,$Q$1,'2011'!$D$179:$I$179)</f>
        <v>-370686030</v>
      </c>
      <c r="C97" s="214"/>
      <c r="D97" s="214"/>
      <c r="E97" s="214"/>
      <c r="F97" s="214"/>
      <c r="G97" s="407">
        <f t="shared" si="2"/>
        <v>-1</v>
      </c>
      <c r="H97" s="367">
        <f t="shared" si="3"/>
        <v>-370686030</v>
      </c>
      <c r="J97" s="67"/>
      <c r="L97" s="2"/>
      <c r="O97" s="67"/>
    </row>
    <row r="98" spans="1:15" ht="12.75">
      <c r="A98" s="243" t="s">
        <v>993</v>
      </c>
      <c r="B98" s="204">
        <f>SUMIF('2011'!$D$1:$I$1,$Q$1,'2011'!$D$1080:$I$1080)</f>
        <v>-8102268</v>
      </c>
      <c r="C98" s="204"/>
      <c r="D98" s="204"/>
      <c r="E98" s="204"/>
      <c r="F98" s="204"/>
      <c r="G98" s="407">
        <f t="shared" si="2"/>
        <v>-1</v>
      </c>
      <c r="H98" s="367">
        <f t="shared" si="3"/>
        <v>-8102268</v>
      </c>
      <c r="J98" s="67"/>
      <c r="L98" s="2"/>
      <c r="O98" s="67"/>
    </row>
    <row r="99" spans="1:15" ht="13.5" thickBot="1">
      <c r="A99" s="223"/>
      <c r="B99" s="200"/>
      <c r="C99" s="200"/>
      <c r="D99" s="200"/>
      <c r="E99" s="200"/>
      <c r="F99" s="200"/>
      <c r="G99" s="401"/>
      <c r="H99" s="345"/>
      <c r="J99" s="67"/>
      <c r="L99" s="2"/>
      <c r="O99" s="67"/>
    </row>
    <row r="100" spans="1:15" ht="13.5" thickBot="1">
      <c r="A100" s="231"/>
      <c r="B100" s="217"/>
      <c r="C100" s="217"/>
      <c r="D100" s="217"/>
      <c r="E100" s="217"/>
      <c r="F100" s="217"/>
      <c r="G100" s="405"/>
      <c r="H100" s="388"/>
      <c r="J100" s="67"/>
      <c r="L100" s="2"/>
      <c r="O100" s="67"/>
    </row>
    <row r="101" spans="1:15" ht="12.75">
      <c r="A101" s="232"/>
      <c r="B101" s="233"/>
      <c r="C101" s="233"/>
      <c r="D101" s="233"/>
      <c r="E101" s="233"/>
      <c r="F101" s="233"/>
      <c r="G101" s="410"/>
      <c r="H101" s="377"/>
      <c r="J101" s="67"/>
      <c r="L101" s="2"/>
      <c r="O101" s="67"/>
    </row>
    <row r="102" spans="1:15" ht="12.75">
      <c r="A102" s="243" t="s">
        <v>253</v>
      </c>
      <c r="B102" s="204">
        <f>SUMIF('2011'!$D$1:$I$1,$Q$1,'2011'!$D$976:$I$976)</f>
        <v>23337636</v>
      </c>
      <c r="C102" s="196"/>
      <c r="D102" s="196"/>
      <c r="E102" s="196"/>
      <c r="F102" s="196"/>
      <c r="G102" s="407">
        <f t="shared" si="2"/>
        <v>-1</v>
      </c>
      <c r="H102" s="367">
        <f t="shared" si="3"/>
        <v>23337636</v>
      </c>
      <c r="J102" s="67"/>
      <c r="L102" s="2"/>
      <c r="O102" s="67"/>
    </row>
    <row r="103" spans="1:15" ht="13.5" thickBot="1">
      <c r="A103" s="223"/>
      <c r="B103" s="207"/>
      <c r="C103" s="199"/>
      <c r="D103" s="199"/>
      <c r="E103" s="199"/>
      <c r="F103" s="199"/>
      <c r="G103" s="401"/>
      <c r="H103" s="345"/>
      <c r="J103" s="67"/>
      <c r="L103" s="2"/>
      <c r="O103" s="67"/>
    </row>
    <row r="104" spans="1:15" ht="13.5" thickBot="1">
      <c r="A104" s="192"/>
      <c r="B104" s="193"/>
      <c r="C104" s="193"/>
      <c r="D104" s="193"/>
      <c r="E104" s="193"/>
      <c r="F104" s="193"/>
      <c r="G104" s="194"/>
      <c r="H104" s="193"/>
      <c r="J104" s="67"/>
      <c r="L104" s="2"/>
      <c r="O104" s="67"/>
    </row>
    <row r="105" spans="1:15" ht="18">
      <c r="A105" s="285" t="s">
        <v>21</v>
      </c>
      <c r="B105" s="286"/>
      <c r="C105" s="286"/>
      <c r="D105" s="286"/>
      <c r="E105" s="286"/>
      <c r="F105" s="286"/>
      <c r="G105" s="287"/>
      <c r="H105" s="288"/>
      <c r="J105" s="67"/>
      <c r="L105" s="2"/>
      <c r="O105" s="67"/>
    </row>
    <row r="106" spans="1:15" ht="12.75">
      <c r="A106" s="230"/>
      <c r="B106" s="272"/>
      <c r="C106" s="272"/>
      <c r="D106" s="272"/>
      <c r="E106" s="272"/>
      <c r="F106" s="272"/>
      <c r="G106" s="404"/>
      <c r="H106" s="384"/>
      <c r="J106" s="67"/>
      <c r="L106" s="2"/>
      <c r="O106" s="67"/>
    </row>
    <row r="107" spans="1:15" ht="12.75">
      <c r="A107" s="221" t="s">
        <v>153</v>
      </c>
      <c r="B107" s="198">
        <f>SUMIF('2011'!$D$1:$I$1,$Q$1,'2011'!$D$195:$I$195)</f>
        <v>11527649</v>
      </c>
      <c r="C107" s="198"/>
      <c r="D107" s="198"/>
      <c r="E107" s="198"/>
      <c r="F107" s="198"/>
      <c r="G107" s="400">
        <f t="shared" si="2"/>
        <v>-1</v>
      </c>
      <c r="H107" s="343">
        <f t="shared" si="3"/>
        <v>11527649</v>
      </c>
      <c r="J107" s="67"/>
      <c r="L107" s="2"/>
      <c r="O107" s="67"/>
    </row>
    <row r="108" spans="1:15" ht="12.75">
      <c r="A108" s="221" t="s">
        <v>154</v>
      </c>
      <c r="B108" s="198">
        <f>SUMIF('2011'!$D$1:$I$1,$Q$1,'2011'!$D$204:$I$204)</f>
        <v>0</v>
      </c>
      <c r="C108" s="198"/>
      <c r="D108" s="198"/>
      <c r="E108" s="198"/>
      <c r="F108" s="198"/>
      <c r="G108" s="400" t="e">
        <f t="shared" si="2"/>
        <v>#DIV/0!</v>
      </c>
      <c r="H108" s="343">
        <f t="shared" si="3"/>
        <v>0</v>
      </c>
      <c r="J108" s="67"/>
      <c r="L108" s="2"/>
      <c r="O108" s="67"/>
    </row>
    <row r="109" spans="1:15" ht="12.75">
      <c r="A109" s="221" t="s">
        <v>34</v>
      </c>
      <c r="B109" s="198">
        <f>SUMIF('2011'!$D$1:$I$1,$Q$1,'2011'!$D$208:$I$208)</f>
        <v>1277303</v>
      </c>
      <c r="C109" s="198"/>
      <c r="D109" s="198"/>
      <c r="E109" s="198"/>
      <c r="F109" s="198"/>
      <c r="G109" s="400">
        <f t="shared" si="2"/>
        <v>-1</v>
      </c>
      <c r="H109" s="343">
        <f t="shared" si="3"/>
        <v>1277303</v>
      </c>
      <c r="J109" s="67"/>
      <c r="L109" s="2"/>
      <c r="O109" s="67"/>
    </row>
    <row r="110" spans="1:15" ht="12.75">
      <c r="A110" s="221" t="s">
        <v>35</v>
      </c>
      <c r="B110" s="198">
        <f>SUMIF('2011'!$D$1:$I$1,$Q$1,'2011'!$D$218:$I$218)</f>
        <v>70000</v>
      </c>
      <c r="C110" s="198"/>
      <c r="D110" s="198"/>
      <c r="E110" s="198"/>
      <c r="F110" s="198"/>
      <c r="G110" s="400">
        <f t="shared" si="2"/>
        <v>-1</v>
      </c>
      <c r="H110" s="343">
        <f t="shared" si="3"/>
        <v>70000</v>
      </c>
      <c r="J110" s="67"/>
      <c r="L110" s="2"/>
      <c r="O110" s="67"/>
    </row>
    <row r="111" spans="1:15" ht="12.75">
      <c r="A111" s="221" t="s">
        <v>167</v>
      </c>
      <c r="B111" s="198">
        <f>SUMIF('2011'!$D$1:$I$1,$Q$1,'2011'!$D$228:$I$228)</f>
        <v>40000</v>
      </c>
      <c r="C111" s="198"/>
      <c r="D111" s="198"/>
      <c r="E111" s="198"/>
      <c r="F111" s="198"/>
      <c r="G111" s="400">
        <f t="shared" si="2"/>
        <v>-1</v>
      </c>
      <c r="H111" s="343">
        <f t="shared" si="3"/>
        <v>40000</v>
      </c>
      <c r="J111" s="67"/>
      <c r="L111" s="2"/>
      <c r="O111" s="67"/>
    </row>
    <row r="112" spans="1:15" ht="12.75">
      <c r="A112" s="221" t="s">
        <v>882</v>
      </c>
      <c r="B112" s="198">
        <f>SUMIF('2011'!$D$1:$I$1,$Q$1,'2011'!$D$238:$I$238)</f>
        <v>13617807</v>
      </c>
      <c r="C112" s="198"/>
      <c r="D112" s="198"/>
      <c r="E112" s="198"/>
      <c r="F112" s="198"/>
      <c r="G112" s="400">
        <f t="shared" si="2"/>
        <v>-1</v>
      </c>
      <c r="H112" s="343">
        <f t="shared" si="3"/>
        <v>13617807</v>
      </c>
      <c r="J112" s="67"/>
      <c r="L112" s="2"/>
      <c r="O112" s="67"/>
    </row>
    <row r="113" spans="1:15" ht="12.75">
      <c r="A113" s="221" t="s">
        <v>169</v>
      </c>
      <c r="B113" s="198">
        <f>SUMIF('2011'!$D$1:$I$1,$Q$1,'2011'!$D$248:$I$248)</f>
        <v>3607338</v>
      </c>
      <c r="C113" s="198"/>
      <c r="D113" s="198"/>
      <c r="E113" s="198"/>
      <c r="F113" s="198"/>
      <c r="G113" s="400">
        <f t="shared" si="2"/>
        <v>-1</v>
      </c>
      <c r="H113" s="343">
        <f t="shared" si="3"/>
        <v>3607338</v>
      </c>
      <c r="J113" s="67"/>
      <c r="L113" s="2"/>
      <c r="O113" s="67"/>
    </row>
    <row r="114" spans="1:15" ht="13.5" thickBot="1">
      <c r="A114" s="223" t="s">
        <v>997</v>
      </c>
      <c r="B114" s="200">
        <f>SUMIF('2011'!$D$1:$I$1,$Q$1,'2011'!$D$255:$I$255)</f>
        <v>0</v>
      </c>
      <c r="C114" s="200"/>
      <c r="D114" s="200"/>
      <c r="E114" s="200"/>
      <c r="F114" s="200"/>
      <c r="G114" s="401" t="e">
        <f t="shared" si="2"/>
        <v>#DIV/0!</v>
      </c>
      <c r="H114" s="345">
        <f t="shared" si="3"/>
        <v>0</v>
      </c>
      <c r="J114" s="67"/>
      <c r="L114" s="2"/>
      <c r="O114" s="67"/>
    </row>
    <row r="115" spans="1:15" ht="12.75">
      <c r="A115" s="224" t="s">
        <v>172</v>
      </c>
      <c r="B115" s="267">
        <f>SUMIF('2011'!$D$1:$I$1,$Q$1,'2011'!$D$256:$I$256)</f>
        <v>30140097</v>
      </c>
      <c r="C115" s="201"/>
      <c r="D115" s="201"/>
      <c r="E115" s="201"/>
      <c r="F115" s="201"/>
      <c r="G115" s="420">
        <f t="shared" si="2"/>
        <v>-1</v>
      </c>
      <c r="H115" s="351">
        <f t="shared" si="3"/>
        <v>30140097</v>
      </c>
      <c r="J115" s="67"/>
      <c r="L115" s="2"/>
      <c r="O115" s="67"/>
    </row>
    <row r="116" spans="1:15" ht="12.75">
      <c r="A116" s="236"/>
      <c r="B116" s="210"/>
      <c r="C116" s="202"/>
      <c r="D116" s="202"/>
      <c r="E116" s="202"/>
      <c r="F116" s="202"/>
      <c r="G116" s="400"/>
      <c r="H116" s="343"/>
      <c r="J116" s="67"/>
      <c r="L116" s="2"/>
      <c r="O116" s="67"/>
    </row>
    <row r="117" spans="1:15" ht="12.75">
      <c r="A117" s="221" t="s">
        <v>994</v>
      </c>
      <c r="B117" s="198">
        <f>-SUMIF('2011'!$D$1:$I$1,$Q$1,'2011'!$D$267:$I$267)</f>
        <v>0</v>
      </c>
      <c r="C117" s="198"/>
      <c r="D117" s="198"/>
      <c r="E117" s="198"/>
      <c r="F117" s="198"/>
      <c r="G117" s="400" t="e">
        <f t="shared" si="2"/>
        <v>#DIV/0!</v>
      </c>
      <c r="H117" s="343">
        <f t="shared" si="3"/>
        <v>0</v>
      </c>
      <c r="J117" s="67"/>
      <c r="L117" s="2"/>
      <c r="O117" s="67"/>
    </row>
    <row r="118" spans="1:15" ht="12.75">
      <c r="A118" s="221" t="s">
        <v>112</v>
      </c>
      <c r="B118" s="198">
        <f>-SUMIF('2011'!$D$1:$I$1,$Q$1,'2011'!$D$276:$I$276)</f>
        <v>0</v>
      </c>
      <c r="C118" s="198"/>
      <c r="D118" s="198"/>
      <c r="E118" s="198"/>
      <c r="F118" s="198"/>
      <c r="G118" s="400" t="e">
        <f t="shared" si="2"/>
        <v>#DIV/0!</v>
      </c>
      <c r="H118" s="343">
        <f t="shared" si="3"/>
        <v>0</v>
      </c>
      <c r="J118" s="67"/>
      <c r="L118" s="2"/>
      <c r="O118" s="67"/>
    </row>
    <row r="119" spans="1:15" ht="12.75">
      <c r="A119" s="221" t="s">
        <v>185</v>
      </c>
      <c r="B119" s="198">
        <f>-SUMIF('2011'!$D$1:$I$1,$Q$1,'2011'!$D$280:$I$280)</f>
        <v>0</v>
      </c>
      <c r="C119" s="198"/>
      <c r="D119" s="198"/>
      <c r="E119" s="198"/>
      <c r="F119" s="198"/>
      <c r="G119" s="400" t="e">
        <f t="shared" si="2"/>
        <v>#DIV/0!</v>
      </c>
      <c r="H119" s="343">
        <f t="shared" si="3"/>
        <v>0</v>
      </c>
      <c r="J119" s="67"/>
      <c r="L119" s="2"/>
      <c r="O119" s="67"/>
    </row>
    <row r="120" spans="1:15" ht="12.75">
      <c r="A120" s="221" t="s">
        <v>995</v>
      </c>
      <c r="B120" s="198">
        <f>-SUMIF('2011'!$D$1:$I$1,$Q$1,'2011'!$D$290:$I$290)</f>
        <v>-8564227</v>
      </c>
      <c r="C120" s="198"/>
      <c r="D120" s="198"/>
      <c r="E120" s="198"/>
      <c r="F120" s="198"/>
      <c r="G120" s="400">
        <f t="shared" si="2"/>
        <v>-1</v>
      </c>
      <c r="H120" s="343">
        <f t="shared" si="3"/>
        <v>-8564227</v>
      </c>
      <c r="J120" s="67"/>
      <c r="L120" s="2"/>
      <c r="O120" s="67"/>
    </row>
    <row r="121" spans="1:15" ht="12.75">
      <c r="A121" s="221" t="s">
        <v>187</v>
      </c>
      <c r="B121" s="198">
        <f>-SUMIF('2011'!$D$1:$I$1,$Q$1,'2011'!$D$300:$I$300)</f>
        <v>-282801</v>
      </c>
      <c r="C121" s="198"/>
      <c r="D121" s="198"/>
      <c r="E121" s="198"/>
      <c r="F121" s="198"/>
      <c r="G121" s="400">
        <f t="shared" si="2"/>
        <v>-1</v>
      </c>
      <c r="H121" s="343">
        <f t="shared" si="3"/>
        <v>-282801</v>
      </c>
      <c r="J121" s="67"/>
      <c r="L121" s="2"/>
      <c r="O121" s="67"/>
    </row>
    <row r="122" spans="1:15" ht="12.75">
      <c r="A122" s="221" t="s">
        <v>188</v>
      </c>
      <c r="B122" s="198">
        <f>-SUMIF('2011'!$D$1:$I$1,$Q$1,'2011'!$D$310:$I$310)</f>
        <v>0</v>
      </c>
      <c r="C122" s="198"/>
      <c r="D122" s="198"/>
      <c r="E122" s="198"/>
      <c r="F122" s="198"/>
      <c r="G122" s="400" t="e">
        <f t="shared" si="2"/>
        <v>#DIV/0!</v>
      </c>
      <c r="H122" s="343">
        <f t="shared" si="3"/>
        <v>0</v>
      </c>
      <c r="J122" s="67"/>
      <c r="L122" s="2"/>
      <c r="O122" s="67"/>
    </row>
    <row r="123" spans="1:15" ht="12.75">
      <c r="A123" s="221" t="s">
        <v>996</v>
      </c>
      <c r="B123" s="198">
        <f>-SUMIF('2011'!$D$1:$I$1,$Q$1,'2011'!$D$320:$I$320)</f>
        <v>0</v>
      </c>
      <c r="C123" s="198"/>
      <c r="D123" s="198"/>
      <c r="E123" s="198"/>
      <c r="F123" s="198"/>
      <c r="G123" s="400" t="e">
        <f aca="true" t="shared" si="4" ref="G123:G165">(C123-B123)/B123</f>
        <v>#DIV/0!</v>
      </c>
      <c r="H123" s="343">
        <f aca="true" t="shared" si="5" ref="H123:H165">AVERAGE(B123:F123)</f>
        <v>0</v>
      </c>
      <c r="J123" s="67"/>
      <c r="L123" s="2"/>
      <c r="O123" s="67"/>
    </row>
    <row r="124" spans="1:15" ht="12.75">
      <c r="A124" s="221" t="s">
        <v>169</v>
      </c>
      <c r="B124" s="198">
        <f>-SUMIF('2011'!$D$1:$I$1,$Q$1,'2011'!$D$330:$I$330)</f>
        <v>-3607338</v>
      </c>
      <c r="C124" s="198"/>
      <c r="D124" s="198"/>
      <c r="E124" s="198"/>
      <c r="F124" s="198"/>
      <c r="G124" s="400">
        <f t="shared" si="4"/>
        <v>-1</v>
      </c>
      <c r="H124" s="343">
        <f t="shared" si="5"/>
        <v>-3607338</v>
      </c>
      <c r="J124" s="67"/>
      <c r="L124" s="2"/>
      <c r="O124" s="67"/>
    </row>
    <row r="125" spans="1:15" ht="13.5" thickBot="1">
      <c r="A125" s="223" t="s">
        <v>998</v>
      </c>
      <c r="B125" s="200">
        <f>-SUMIF('2011'!$D$1:$I$1,$Q$1,'2011'!$D$338:$I$338)</f>
        <v>0</v>
      </c>
      <c r="C125" s="200"/>
      <c r="D125" s="200"/>
      <c r="E125" s="200"/>
      <c r="F125" s="200"/>
      <c r="G125" s="401" t="e">
        <f t="shared" si="4"/>
        <v>#DIV/0!</v>
      </c>
      <c r="H125" s="345">
        <f t="shared" si="5"/>
        <v>0</v>
      </c>
      <c r="J125" s="67"/>
      <c r="L125" s="2"/>
      <c r="O125" s="67"/>
    </row>
    <row r="126" spans="1:15" ht="12.75">
      <c r="A126" s="224" t="s">
        <v>173</v>
      </c>
      <c r="B126" s="201">
        <f>-SUMIF('2011'!$D$1:$I$1,$Q$1,'2011'!$D$339:$I$339)</f>
        <v>-12454366</v>
      </c>
      <c r="C126" s="214"/>
      <c r="D126" s="214"/>
      <c r="E126" s="214"/>
      <c r="F126" s="214"/>
      <c r="G126" s="402">
        <f t="shared" si="4"/>
        <v>-1</v>
      </c>
      <c r="H126" s="365">
        <f t="shared" si="5"/>
        <v>-12454366</v>
      </c>
      <c r="J126" s="67"/>
      <c r="L126" s="2"/>
      <c r="O126" s="67"/>
    </row>
    <row r="127" spans="1:15" ht="12.75">
      <c r="A127" s="236"/>
      <c r="B127" s="210"/>
      <c r="C127" s="202"/>
      <c r="D127" s="202"/>
      <c r="E127" s="202"/>
      <c r="F127" s="202"/>
      <c r="G127" s="400"/>
      <c r="H127" s="343"/>
      <c r="J127" s="67"/>
      <c r="L127" s="2"/>
      <c r="O127" s="67"/>
    </row>
    <row r="128" spans="1:15" ht="12.75">
      <c r="A128" s="221" t="s">
        <v>192</v>
      </c>
      <c r="B128" s="198">
        <f>-SUMIF('2011'!$D$1:$I$1,$Q$1,'2011'!$D$343:$I$343)</f>
        <v>-8847028</v>
      </c>
      <c r="C128" s="198"/>
      <c r="D128" s="198"/>
      <c r="E128" s="198"/>
      <c r="F128" s="198"/>
      <c r="G128" s="400">
        <f t="shared" si="4"/>
        <v>-1</v>
      </c>
      <c r="H128" s="343">
        <f t="shared" si="5"/>
        <v>-8847028</v>
      </c>
      <c r="J128" s="67"/>
      <c r="L128" s="2"/>
      <c r="O128" s="67"/>
    </row>
    <row r="129" spans="1:15" ht="13.5" thickBot="1">
      <c r="A129" s="223" t="s">
        <v>197</v>
      </c>
      <c r="B129" s="200">
        <f>SUMIF('2011'!$D$1:$I$1,$Q$1,'2011'!$D$344:$I$344)</f>
        <v>26532759</v>
      </c>
      <c r="C129" s="200"/>
      <c r="D129" s="200"/>
      <c r="E129" s="200"/>
      <c r="F129" s="200"/>
      <c r="G129" s="401">
        <f t="shared" si="4"/>
        <v>-1</v>
      </c>
      <c r="H129" s="345">
        <f t="shared" si="5"/>
        <v>26532759</v>
      </c>
      <c r="J129" s="67"/>
      <c r="L129" s="2"/>
      <c r="O129" s="67"/>
    </row>
    <row r="130" spans="1:15" ht="12.75">
      <c r="A130" s="230"/>
      <c r="B130" s="202"/>
      <c r="C130" s="202"/>
      <c r="D130" s="202"/>
      <c r="E130" s="202"/>
      <c r="F130" s="202"/>
      <c r="G130" s="404"/>
      <c r="H130" s="384"/>
      <c r="J130" s="67"/>
      <c r="L130" s="2"/>
      <c r="O130" s="67"/>
    </row>
    <row r="131" spans="1:12" ht="12.75">
      <c r="A131" s="243" t="s">
        <v>883</v>
      </c>
      <c r="B131" s="204">
        <f>SUMIF('2011'!$D$1:$I$1,$Q$1,'2011'!$D$1097:$I$1097)</f>
        <v>17685731</v>
      </c>
      <c r="C131" s="204"/>
      <c r="D131" s="204"/>
      <c r="E131" s="204"/>
      <c r="F131" s="204"/>
      <c r="G131" s="407">
        <f t="shared" si="4"/>
        <v>-1</v>
      </c>
      <c r="H131" s="367">
        <f t="shared" si="5"/>
        <v>17685731</v>
      </c>
      <c r="J131" s="67"/>
      <c r="L131" s="2"/>
    </row>
    <row r="132" spans="1:8" ht="13.5" thickBot="1">
      <c r="A132" s="223"/>
      <c r="B132" s="199"/>
      <c r="C132" s="199"/>
      <c r="D132" s="199"/>
      <c r="E132" s="199"/>
      <c r="F132" s="199"/>
      <c r="G132" s="401"/>
      <c r="H132" s="345"/>
    </row>
    <row r="133" spans="1:8" ht="12.75">
      <c r="A133" s="231"/>
      <c r="B133" s="218"/>
      <c r="C133" s="218"/>
      <c r="D133" s="218"/>
      <c r="E133" s="218"/>
      <c r="F133" s="218"/>
      <c r="G133" s="405"/>
      <c r="H133" s="388"/>
    </row>
    <row r="134" spans="1:8" ht="12.75">
      <c r="A134" s="231"/>
      <c r="B134" s="218"/>
      <c r="C134" s="218"/>
      <c r="D134" s="218"/>
      <c r="E134" s="218"/>
      <c r="F134" s="218"/>
      <c r="G134" s="405"/>
      <c r="H134" s="388"/>
    </row>
    <row r="135" spans="1:8" ht="13.5" thickBot="1">
      <c r="A135" s="239"/>
      <c r="B135" s="241"/>
      <c r="C135" s="241"/>
      <c r="D135" s="241"/>
      <c r="E135" s="241"/>
      <c r="F135" s="241"/>
      <c r="G135" s="409"/>
      <c r="H135" s="383"/>
    </row>
    <row r="136" spans="1:8" ht="12.75">
      <c r="A136" s="230"/>
      <c r="B136" s="203"/>
      <c r="C136" s="203"/>
      <c r="D136" s="203"/>
      <c r="E136" s="203"/>
      <c r="F136" s="203"/>
      <c r="G136" s="404"/>
      <c r="H136" s="384"/>
    </row>
    <row r="137" spans="1:8" ht="12.75">
      <c r="A137" s="243" t="s">
        <v>284</v>
      </c>
      <c r="B137" s="216">
        <f>SUMIF('2011'!$D$1:$I$1,$Q$1,'2011'!$D$1034:$I$1034)</f>
        <v>26532759</v>
      </c>
      <c r="C137" s="196"/>
      <c r="D137" s="196"/>
      <c r="E137" s="196"/>
      <c r="F137" s="196"/>
      <c r="G137" s="407">
        <f t="shared" si="4"/>
        <v>-1</v>
      </c>
      <c r="H137" s="367">
        <f t="shared" si="5"/>
        <v>26532759</v>
      </c>
    </row>
    <row r="138" spans="1:8" ht="13.5" thickBot="1">
      <c r="A138" s="223"/>
      <c r="B138" s="207"/>
      <c r="C138" s="199"/>
      <c r="D138" s="199"/>
      <c r="E138" s="199"/>
      <c r="F138" s="199"/>
      <c r="G138" s="401"/>
      <c r="H138" s="345"/>
    </row>
    <row r="139" spans="1:8" ht="13.5" thickBot="1">
      <c r="A139" s="208"/>
      <c r="B139" s="192"/>
      <c r="C139" s="192"/>
      <c r="D139" s="192"/>
      <c r="E139" s="192"/>
      <c r="F139" s="192"/>
      <c r="G139" s="194"/>
      <c r="H139" s="193"/>
    </row>
    <row r="140" spans="1:8" ht="18">
      <c r="A140" s="285" t="s">
        <v>962</v>
      </c>
      <c r="B140" s="286"/>
      <c r="C140" s="286"/>
      <c r="D140" s="286"/>
      <c r="E140" s="286"/>
      <c r="F140" s="286"/>
      <c r="G140" s="287"/>
      <c r="H140" s="288"/>
    </row>
    <row r="141" spans="1:8" ht="12.75">
      <c r="A141" s="230"/>
      <c r="B141" s="203"/>
      <c r="C141" s="203"/>
      <c r="D141" s="203"/>
      <c r="E141" s="203"/>
      <c r="F141" s="203"/>
      <c r="G141" s="404"/>
      <c r="H141" s="384"/>
    </row>
    <row r="142" spans="1:8" ht="12.75">
      <c r="A142" s="252" t="s">
        <v>43</v>
      </c>
      <c r="B142" s="197"/>
      <c r="C142" s="197"/>
      <c r="D142" s="197"/>
      <c r="E142" s="197"/>
      <c r="F142" s="197"/>
      <c r="G142" s="400"/>
      <c r="H142" s="343"/>
    </row>
    <row r="143" spans="1:8" ht="12.75">
      <c r="A143" s="253" t="s">
        <v>226</v>
      </c>
      <c r="B143" s="198">
        <f>SUMIF('2011'!$D$1:$I$1,$Q$1,'2011'!$D$1090:$I$1090)</f>
        <v>362583762</v>
      </c>
      <c r="C143" s="197"/>
      <c r="D143" s="197"/>
      <c r="E143" s="197"/>
      <c r="F143" s="197"/>
      <c r="G143" s="400">
        <f t="shared" si="4"/>
        <v>-1</v>
      </c>
      <c r="H143" s="343">
        <f t="shared" si="5"/>
        <v>362583762</v>
      </c>
    </row>
    <row r="144" spans="1:8" ht="13.5" thickBot="1">
      <c r="A144" s="254" t="s">
        <v>369</v>
      </c>
      <c r="B144" s="200">
        <f>SUMIF('2011'!$D$1:$I$1,$Q$1,'2011'!$D$1091:$I$1091)</f>
        <v>-370686030</v>
      </c>
      <c r="C144" s="199"/>
      <c r="D144" s="199"/>
      <c r="E144" s="199"/>
      <c r="F144" s="199"/>
      <c r="G144" s="401">
        <f t="shared" si="4"/>
        <v>-1</v>
      </c>
      <c r="H144" s="345">
        <f t="shared" si="5"/>
        <v>-370686030</v>
      </c>
    </row>
    <row r="145" spans="1:8" ht="12.75">
      <c r="A145" s="255" t="s">
        <v>999</v>
      </c>
      <c r="B145" s="214">
        <f>SUMIF('2011'!$D$1:$I$1,$Q$1,'2011'!$D$1092:$I$1092)</f>
        <v>-8102268</v>
      </c>
      <c r="C145" s="195"/>
      <c r="D145" s="195"/>
      <c r="E145" s="195"/>
      <c r="F145" s="195"/>
      <c r="G145" s="402">
        <f t="shared" si="4"/>
        <v>-1</v>
      </c>
      <c r="H145" s="365">
        <f t="shared" si="5"/>
        <v>-8102268</v>
      </c>
    </row>
    <row r="146" spans="1:8" ht="12.75">
      <c r="A146" s="253"/>
      <c r="B146" s="197"/>
      <c r="C146" s="197"/>
      <c r="D146" s="197"/>
      <c r="E146" s="197"/>
      <c r="F146" s="197"/>
      <c r="G146" s="400"/>
      <c r="H146" s="343"/>
    </row>
    <row r="147" spans="1:8" ht="12.75">
      <c r="A147" s="252" t="s">
        <v>371</v>
      </c>
      <c r="B147" s="197"/>
      <c r="C147" s="197"/>
      <c r="D147" s="197"/>
      <c r="E147" s="197"/>
      <c r="F147" s="197"/>
      <c r="G147" s="400"/>
      <c r="H147" s="343"/>
    </row>
    <row r="148" spans="1:8" ht="12.75">
      <c r="A148" s="253" t="s">
        <v>172</v>
      </c>
      <c r="B148" s="198">
        <f>SUMIF('2011'!$D$1:$I$1,$Q$1,'2011'!$D$1095:$I$1095)</f>
        <v>30140097</v>
      </c>
      <c r="C148" s="197"/>
      <c r="D148" s="197"/>
      <c r="E148" s="197"/>
      <c r="F148" s="197"/>
      <c r="G148" s="400">
        <f t="shared" si="4"/>
        <v>-1</v>
      </c>
      <c r="H148" s="343">
        <f t="shared" si="5"/>
        <v>30140097</v>
      </c>
    </row>
    <row r="149" spans="1:8" ht="13.5" thickBot="1">
      <c r="A149" s="254" t="s">
        <v>173</v>
      </c>
      <c r="B149" s="200">
        <f>SUMIF('2011'!$D$1:$I$1,$Q$1,'2011'!$D$1096:$I$1096)</f>
        <v>-12454366</v>
      </c>
      <c r="C149" s="199"/>
      <c r="D149" s="199"/>
      <c r="E149" s="199"/>
      <c r="F149" s="199"/>
      <c r="G149" s="401">
        <f t="shared" si="4"/>
        <v>-1</v>
      </c>
      <c r="H149" s="345">
        <f t="shared" si="5"/>
        <v>-12454366</v>
      </c>
    </row>
    <row r="150" spans="1:8" ht="12.75">
      <c r="A150" s="255" t="s">
        <v>256</v>
      </c>
      <c r="B150" s="214">
        <f>SUMIF('2011'!$D$1:$I$1,$Q$1,'2011'!$D$1097:$I$1097)</f>
        <v>17685731</v>
      </c>
      <c r="C150" s="195"/>
      <c r="D150" s="195"/>
      <c r="E150" s="195"/>
      <c r="F150" s="195"/>
      <c r="G150" s="402">
        <f t="shared" si="4"/>
        <v>-1</v>
      </c>
      <c r="H150" s="365">
        <f t="shared" si="5"/>
        <v>17685731</v>
      </c>
    </row>
    <row r="151" spans="1:8" ht="12.75">
      <c r="A151" s="256"/>
      <c r="B151" s="197"/>
      <c r="C151" s="197"/>
      <c r="D151" s="197"/>
      <c r="E151" s="197"/>
      <c r="F151" s="197"/>
      <c r="G151" s="400"/>
      <c r="H151" s="343"/>
    </row>
    <row r="152" spans="1:8" ht="12.75">
      <c r="A152" s="252" t="s">
        <v>374</v>
      </c>
      <c r="B152" s="197"/>
      <c r="C152" s="197"/>
      <c r="D152" s="197"/>
      <c r="E152" s="197"/>
      <c r="F152" s="197"/>
      <c r="G152" s="400"/>
      <c r="H152" s="343"/>
    </row>
    <row r="153" spans="1:8" ht="12.75">
      <c r="A153" s="253" t="s">
        <v>375</v>
      </c>
      <c r="B153" s="198">
        <f>SUMIF('2011'!$D$1:$I$1,$Q$1,'2011'!$D$1100:$I$1100)</f>
        <v>17685731</v>
      </c>
      <c r="C153" s="197"/>
      <c r="D153" s="197"/>
      <c r="E153" s="197"/>
      <c r="F153" s="197"/>
      <c r="G153" s="400">
        <f t="shared" si="4"/>
        <v>-1</v>
      </c>
      <c r="H153" s="343">
        <f t="shared" si="5"/>
        <v>17685731</v>
      </c>
    </row>
    <row r="154" spans="1:8" ht="12.75">
      <c r="A154" s="253" t="s">
        <v>376</v>
      </c>
      <c r="B154" s="198">
        <f>SUMIF('2011'!$D$1:$I$1,$Q$1,'2011'!$D$1101:$I$1101)</f>
        <v>-26394277</v>
      </c>
      <c r="C154" s="197"/>
      <c r="D154" s="197"/>
      <c r="E154" s="197"/>
      <c r="F154" s="197"/>
      <c r="G154" s="400">
        <f t="shared" si="4"/>
        <v>-1</v>
      </c>
      <c r="H154" s="343">
        <f t="shared" si="5"/>
        <v>-26394277</v>
      </c>
    </row>
    <row r="155" spans="1:8" ht="12.75">
      <c r="A155" s="253" t="s">
        <v>1000</v>
      </c>
      <c r="B155" s="198">
        <f>SUMIF('2011'!$D$1:$I$1,$Q$1,'2011'!$D$1102:$I$1102)</f>
        <v>-8102268</v>
      </c>
      <c r="C155" s="197"/>
      <c r="D155" s="197"/>
      <c r="E155" s="197"/>
      <c r="F155" s="197"/>
      <c r="G155" s="400">
        <f t="shared" si="4"/>
        <v>-1</v>
      </c>
      <c r="H155" s="343">
        <f t="shared" si="5"/>
        <v>-8102268</v>
      </c>
    </row>
    <row r="156" spans="1:8" ht="12.75">
      <c r="A156" s="257" t="s">
        <v>379</v>
      </c>
      <c r="B156" s="198">
        <f>SUMIF('2011'!$D$1:$I$1,$Q$1,'2011'!$D$1103:$I$1103)</f>
        <v>-1385150</v>
      </c>
      <c r="C156" s="197"/>
      <c r="D156" s="197"/>
      <c r="E156" s="197"/>
      <c r="F156" s="197"/>
      <c r="G156" s="400">
        <f t="shared" si="4"/>
        <v>-1</v>
      </c>
      <c r="H156" s="343">
        <f t="shared" si="5"/>
        <v>-1385150</v>
      </c>
    </row>
    <row r="157" spans="1:8" ht="13.5" thickBot="1">
      <c r="A157" s="254" t="s">
        <v>1001</v>
      </c>
      <c r="B157" s="200">
        <f>SUMIF('2011'!$D$1:$I$1,$Q$1,'2011'!$D$1104:$I$1104)</f>
        <v>12544059</v>
      </c>
      <c r="C157" s="199"/>
      <c r="D157" s="199"/>
      <c r="E157" s="199"/>
      <c r="F157" s="199"/>
      <c r="G157" s="401">
        <f t="shared" si="4"/>
        <v>-1</v>
      </c>
      <c r="H157" s="345">
        <f t="shared" si="5"/>
        <v>12544059</v>
      </c>
    </row>
    <row r="158" spans="1:8" ht="12.75">
      <c r="A158" s="315" t="s">
        <v>1003</v>
      </c>
      <c r="B158" s="245">
        <f>SUMIF('2011'!$D$1:$I$1,$Q$1,'2011'!$D$1105:$I$1105)</f>
        <v>-5651905</v>
      </c>
      <c r="C158" s="195"/>
      <c r="D158" s="195"/>
      <c r="E158" s="195"/>
      <c r="F158" s="195"/>
      <c r="G158" s="402">
        <f t="shared" si="4"/>
        <v>-1</v>
      </c>
      <c r="H158" s="365">
        <f t="shared" si="5"/>
        <v>-5651905</v>
      </c>
    </row>
    <row r="159" spans="1:8" ht="12.75">
      <c r="A159" s="255" t="s">
        <v>1002</v>
      </c>
      <c r="B159" s="214"/>
      <c r="C159" s="195"/>
      <c r="D159" s="195"/>
      <c r="E159" s="195"/>
      <c r="F159" s="195"/>
      <c r="G159" s="402"/>
      <c r="H159" s="365"/>
    </row>
    <row r="160" spans="1:8" ht="12.75">
      <c r="A160" s="253"/>
      <c r="B160" s="197"/>
      <c r="C160" s="197"/>
      <c r="D160" s="197"/>
      <c r="E160" s="197"/>
      <c r="F160" s="197"/>
      <c r="G160" s="400"/>
      <c r="H160" s="343"/>
    </row>
    <row r="161" spans="1:8" ht="12.75">
      <c r="A161" s="252" t="s">
        <v>382</v>
      </c>
      <c r="B161" s="197"/>
      <c r="C161" s="197"/>
      <c r="D161" s="197"/>
      <c r="E161" s="197"/>
      <c r="F161" s="197"/>
      <c r="G161" s="400"/>
      <c r="H161" s="343"/>
    </row>
    <row r="162" spans="1:8" ht="12.75">
      <c r="A162" s="253" t="s">
        <v>1004</v>
      </c>
      <c r="B162" s="198">
        <f>SUMIF('2011'!$D$1:$I$1,$Q$1,'2011'!$D$1108:$I$1108)</f>
        <v>-5651905</v>
      </c>
      <c r="C162" s="197"/>
      <c r="D162" s="197"/>
      <c r="E162" s="197"/>
      <c r="F162" s="197"/>
      <c r="G162" s="400">
        <f t="shared" si="4"/>
        <v>-1</v>
      </c>
      <c r="H162" s="343">
        <f t="shared" si="5"/>
        <v>-5651905</v>
      </c>
    </row>
    <row r="163" spans="1:8" ht="12.75">
      <c r="A163" s="253" t="s">
        <v>383</v>
      </c>
      <c r="B163" s="198">
        <f>SUMIF('2011'!$D$1:$I$1,$Q$1,'2011'!$D$1109:$I$1109)</f>
        <v>-26532759</v>
      </c>
      <c r="C163" s="197"/>
      <c r="D163" s="197"/>
      <c r="E163" s="197"/>
      <c r="F163" s="197"/>
      <c r="G163" s="400">
        <f t="shared" si="4"/>
        <v>-1</v>
      </c>
      <c r="H163" s="343">
        <f t="shared" si="5"/>
        <v>-26532759</v>
      </c>
    </row>
    <row r="164" spans="1:8" ht="12.75">
      <c r="A164" s="253" t="s">
        <v>384</v>
      </c>
      <c r="B164" s="198">
        <f>SUMIF('2011'!$D$1:$I$1,$Q$1,'2011'!$D$1110:$I$1110)</f>
        <v>8847028</v>
      </c>
      <c r="C164" s="197"/>
      <c r="D164" s="197"/>
      <c r="E164" s="197"/>
      <c r="F164" s="197"/>
      <c r="G164" s="400">
        <f t="shared" si="4"/>
        <v>-1</v>
      </c>
      <c r="H164" s="343">
        <f t="shared" si="5"/>
        <v>8847028</v>
      </c>
    </row>
    <row r="165" spans="1:8" ht="12.75">
      <c r="A165" s="253" t="s">
        <v>965</v>
      </c>
      <c r="B165" s="198">
        <f>SUMIF('2011'!$D$1:$I$1,$Q$1,'2011'!$D$1111:$I$1111)</f>
        <v>26394277</v>
      </c>
      <c r="C165" s="197"/>
      <c r="D165" s="197"/>
      <c r="E165" s="197"/>
      <c r="F165" s="197"/>
      <c r="G165" s="400">
        <f t="shared" si="4"/>
        <v>-1</v>
      </c>
      <c r="H165" s="343">
        <f t="shared" si="5"/>
        <v>26394277</v>
      </c>
    </row>
    <row r="166" spans="1:8" ht="12.75">
      <c r="A166" s="257" t="s">
        <v>379</v>
      </c>
      <c r="B166" s="198">
        <f>SUMIF('2011'!$D$1:$I$1,$Q$1,'2011'!$D$1112:$I$1112)</f>
        <v>1385150</v>
      </c>
      <c r="C166" s="197"/>
      <c r="D166" s="197"/>
      <c r="E166" s="197"/>
      <c r="F166" s="197"/>
      <c r="G166" s="400">
        <f>(C166-B166)/B166</f>
        <v>-1</v>
      </c>
      <c r="H166" s="343">
        <f>AVERAGE(B166:F166)</f>
        <v>1385150</v>
      </c>
    </row>
    <row r="167" spans="1:8" ht="13.5" thickBot="1">
      <c r="A167" s="254" t="s">
        <v>1001</v>
      </c>
      <c r="B167" s="200">
        <f>SUMIF('2011'!$D$1:$I$1,$Q$1,'2011'!$D$1113:$I$1113)</f>
        <v>-12544059</v>
      </c>
      <c r="C167" s="199"/>
      <c r="D167" s="199"/>
      <c r="E167" s="199"/>
      <c r="F167" s="199"/>
      <c r="G167" s="401">
        <f>(C167-B167)/B167</f>
        <v>-1</v>
      </c>
      <c r="H167" s="345">
        <f>AVERAGE(B167:F167)</f>
        <v>-12544059</v>
      </c>
    </row>
    <row r="168" spans="1:8" ht="12.75">
      <c r="A168" s="255" t="s">
        <v>1025</v>
      </c>
      <c r="B168" s="214">
        <f>SUMIF('2011'!$D$1:$I$1,$Q$1,'2011'!$D$1114:$I$1114)</f>
        <v>-8102268</v>
      </c>
      <c r="C168" s="195"/>
      <c r="D168" s="195"/>
      <c r="E168" s="195"/>
      <c r="F168" s="195"/>
      <c r="G168" s="402">
        <f>(C168-B168)/B168</f>
        <v>-1</v>
      </c>
      <c r="H168" s="365">
        <f>AVERAGE(B168:F168)</f>
        <v>-8102268</v>
      </c>
    </row>
    <row r="169" spans="1:8" ht="12.75">
      <c r="A169" s="253"/>
      <c r="B169" s="197"/>
      <c r="C169" s="197"/>
      <c r="D169" s="197"/>
      <c r="E169" s="197"/>
      <c r="F169" s="197"/>
      <c r="G169" s="400"/>
      <c r="H169" s="343"/>
    </row>
    <row r="170" spans="1:8" ht="12.75">
      <c r="A170" s="252" t="s">
        <v>231</v>
      </c>
      <c r="B170" s="197"/>
      <c r="C170" s="197"/>
      <c r="D170" s="197"/>
      <c r="E170" s="197"/>
      <c r="F170" s="197"/>
      <c r="G170" s="400"/>
      <c r="H170" s="343"/>
    </row>
    <row r="171" spans="1:8" ht="12.75">
      <c r="A171" s="253" t="s">
        <v>376</v>
      </c>
      <c r="B171" s="198">
        <f>SUMIF('2011'!$D$1:$I$1,$Q$1,'2011'!$D$1117:$I$1117)</f>
        <v>26394277</v>
      </c>
      <c r="C171" s="197"/>
      <c r="D171" s="197"/>
      <c r="E171" s="197"/>
      <c r="F171" s="197"/>
      <c r="G171" s="400">
        <f>(C171-B171)/B171</f>
        <v>-1</v>
      </c>
      <c r="H171" s="343">
        <f>AVERAGE(B171:F171)</f>
        <v>26394277</v>
      </c>
    </row>
    <row r="172" spans="1:8" ht="12.75">
      <c r="A172" s="253" t="s">
        <v>963</v>
      </c>
      <c r="B172" s="198">
        <f>SUMIF('2011'!$D$1:$I$1,$Q$1,'2011'!$D$1118:$I$1118)</f>
        <v>8102268</v>
      </c>
      <c r="C172" s="197"/>
      <c r="D172" s="197"/>
      <c r="E172" s="197"/>
      <c r="F172" s="197"/>
      <c r="G172" s="400">
        <f>(C172-B172)/B172</f>
        <v>-1</v>
      </c>
      <c r="H172" s="343">
        <f>AVERAGE(B172:F172)</f>
        <v>8102268</v>
      </c>
    </row>
    <row r="173" spans="1:8" ht="12.75">
      <c r="A173" s="257" t="s">
        <v>379</v>
      </c>
      <c r="B173" s="198">
        <f>SUMIF('2011'!$D$1:$I$1,$Q$1,'2011'!$D$1119:$I$1119)</f>
        <v>1385150</v>
      </c>
      <c r="C173" s="197"/>
      <c r="D173" s="197"/>
      <c r="E173" s="197"/>
      <c r="F173" s="197"/>
      <c r="G173" s="400">
        <f>(C173-B173)/B173</f>
        <v>-1</v>
      </c>
      <c r="H173" s="343">
        <f>AVERAGE(B173:F173)</f>
        <v>1385150</v>
      </c>
    </row>
    <row r="174" spans="1:8" ht="13.5" thickBot="1">
      <c r="A174" s="254" t="s">
        <v>1001</v>
      </c>
      <c r="B174" s="200">
        <f>SUMIF('2011'!$D$1:$I$1,$Q$1,'2011'!$D$1120:$I$1120)</f>
        <v>-12544059</v>
      </c>
      <c r="C174" s="199"/>
      <c r="D174" s="199"/>
      <c r="E174" s="199"/>
      <c r="F174" s="199"/>
      <c r="G174" s="401">
        <f>(C174-B174)/B174</f>
        <v>-1</v>
      </c>
      <c r="H174" s="345">
        <f>AVERAGE(B174:F174)</f>
        <v>-12544059</v>
      </c>
    </row>
    <row r="175" spans="1:8" ht="12.75">
      <c r="A175" s="258" t="s">
        <v>253</v>
      </c>
      <c r="B175" s="214">
        <f>SUMIF('2011'!$D$1:$I$1,$Q$1,'2011'!$D$1121:$I$1121)</f>
        <v>23337636</v>
      </c>
      <c r="C175" s="195"/>
      <c r="D175" s="195"/>
      <c r="E175" s="195"/>
      <c r="F175" s="195"/>
      <c r="G175" s="402">
        <f>(C175-B175)/B175</f>
        <v>-1</v>
      </c>
      <c r="H175" s="365">
        <f>AVERAGE(B175:F175)</f>
        <v>23337636</v>
      </c>
    </row>
    <row r="176" spans="1:8" ht="12.75">
      <c r="A176" s="250" t="s">
        <v>982</v>
      </c>
      <c r="B176" s="198"/>
      <c r="C176" s="197"/>
      <c r="D176" s="197"/>
      <c r="E176" s="197"/>
      <c r="F176" s="197"/>
      <c r="G176" s="400"/>
      <c r="H176" s="384"/>
    </row>
    <row r="177" spans="1:8" ht="13.5" thickBot="1">
      <c r="A177" s="259"/>
      <c r="B177" s="200"/>
      <c r="C177" s="199"/>
      <c r="D177" s="199"/>
      <c r="E177" s="199"/>
      <c r="F177" s="199"/>
      <c r="G177" s="401"/>
      <c r="H177" s="411"/>
    </row>
    <row r="178" spans="1:8" ht="12.75">
      <c r="A178" s="260"/>
      <c r="B178" s="217"/>
      <c r="C178" s="218"/>
      <c r="D178" s="218"/>
      <c r="E178" s="218"/>
      <c r="F178" s="218"/>
      <c r="G178" s="405"/>
      <c r="H178" s="388"/>
    </row>
    <row r="179" spans="1:8" ht="13.5" thickBot="1">
      <c r="A179" s="260"/>
      <c r="B179" s="217"/>
      <c r="C179" s="218"/>
      <c r="D179" s="218"/>
      <c r="E179" s="218"/>
      <c r="F179" s="218"/>
      <c r="G179" s="405"/>
      <c r="H179" s="388"/>
    </row>
    <row r="180" spans="1:8" ht="12.75">
      <c r="A180" s="248"/>
      <c r="B180" s="233"/>
      <c r="C180" s="249"/>
      <c r="D180" s="249"/>
      <c r="E180" s="249"/>
      <c r="F180" s="249"/>
      <c r="G180" s="410"/>
      <c r="H180" s="377"/>
    </row>
    <row r="181" spans="1:8" ht="12.75">
      <c r="A181" s="250" t="s">
        <v>887</v>
      </c>
      <c r="B181" s="247">
        <f>SUMIF('2011'!$D$1:$I$1,$Q$1,'2011'!$D$992:$I$992)</f>
        <v>1.3195742941018385</v>
      </c>
      <c r="C181" s="247"/>
      <c r="D181" s="247"/>
      <c r="E181" s="247"/>
      <c r="F181" s="247"/>
      <c r="G181" s="407">
        <f>(C181-B181)/B181</f>
        <v>-1</v>
      </c>
      <c r="H181" s="412">
        <f>AVERAGE(B181:F181)</f>
        <v>1.3195742941018385</v>
      </c>
    </row>
    <row r="182" spans="1:8" ht="13.5" thickBot="1">
      <c r="A182" s="251"/>
      <c r="B182" s="199"/>
      <c r="C182" s="199"/>
      <c r="D182" s="199"/>
      <c r="E182" s="199"/>
      <c r="F182" s="199"/>
      <c r="G182" s="401"/>
      <c r="H182" s="411"/>
    </row>
    <row r="183" spans="1:8" ht="13.5" thickBot="1">
      <c r="A183" s="192"/>
      <c r="B183" s="192"/>
      <c r="C183" s="192"/>
      <c r="D183" s="192"/>
      <c r="E183" s="192"/>
      <c r="F183" s="192"/>
      <c r="G183" s="194"/>
      <c r="H183" s="193"/>
    </row>
    <row r="184" spans="1:8" ht="18">
      <c r="A184" s="285" t="s">
        <v>884</v>
      </c>
      <c r="B184" s="282"/>
      <c r="C184" s="282"/>
      <c r="D184" s="282"/>
      <c r="E184" s="282"/>
      <c r="F184" s="282"/>
      <c r="G184" s="283"/>
      <c r="H184" s="284"/>
    </row>
    <row r="185" spans="1:8" ht="12.75">
      <c r="A185" s="230"/>
      <c r="B185" s="203"/>
      <c r="C185" s="203"/>
      <c r="D185" s="203"/>
      <c r="E185" s="203"/>
      <c r="F185" s="203"/>
      <c r="G185" s="404"/>
      <c r="H185" s="384"/>
    </row>
    <row r="186" spans="1:8" ht="12.75">
      <c r="A186" s="243" t="s">
        <v>885</v>
      </c>
      <c r="B186" s="197"/>
      <c r="C186" s="197"/>
      <c r="D186" s="197"/>
      <c r="E186" s="197"/>
      <c r="F186" s="197"/>
      <c r="G186" s="400"/>
      <c r="H186" s="343"/>
    </row>
    <row r="187" spans="1:8" ht="12.75">
      <c r="A187" s="221" t="s">
        <v>887</v>
      </c>
      <c r="B187" s="242">
        <f>SUMIF('2011'!$D$1:$I$1,$Q$1,'2011'!$D$992:$I$992)</f>
        <v>1.3195742941018385</v>
      </c>
      <c r="C187" s="197"/>
      <c r="D187" s="197"/>
      <c r="E187" s="197"/>
      <c r="F187" s="197"/>
      <c r="G187" s="400">
        <f>(C187-B187)/B187</f>
        <v>-1</v>
      </c>
      <c r="H187" s="349">
        <f>AVERAGE(B187:F187)</f>
        <v>1.3195742941018385</v>
      </c>
    </row>
    <row r="188" spans="1:8" ht="12.75">
      <c r="A188" s="221" t="s">
        <v>888</v>
      </c>
      <c r="B188" s="242">
        <f>SUMIF('2011'!$D$1:$I$1,$Q$1,'2011'!$D$1025:$I$1025)</f>
        <v>-0.012743110083036231</v>
      </c>
      <c r="C188" s="197"/>
      <c r="D188" s="197"/>
      <c r="E188" s="197"/>
      <c r="F188" s="197"/>
      <c r="G188" s="400">
        <f>(C188-B188)/B188</f>
        <v>-1</v>
      </c>
      <c r="H188" s="349">
        <f>AVERAGE(B188:F188)</f>
        <v>-0.012743110083036231</v>
      </c>
    </row>
    <row r="189" spans="1:8" ht="12.75">
      <c r="A189" s="221" t="s">
        <v>886</v>
      </c>
      <c r="B189" s="242">
        <f>SUMIF('2011'!$D$1:$I$1,$Q$1,'2011'!$D$947:$I$947)</f>
        <v>-1.628355849836264</v>
      </c>
      <c r="C189" s="197"/>
      <c r="D189" s="197"/>
      <c r="E189" s="197"/>
      <c r="F189" s="197"/>
      <c r="G189" s="400">
        <f>(C189-B189)/B189</f>
        <v>-1</v>
      </c>
      <c r="H189" s="349">
        <f>AVERAGE(B189:F189)</f>
        <v>-1.628355849836264</v>
      </c>
    </row>
    <row r="190" spans="1:8" ht="12.75">
      <c r="A190" s="221"/>
      <c r="B190" s="242"/>
      <c r="C190" s="197"/>
      <c r="D190" s="197"/>
      <c r="E190" s="197"/>
      <c r="F190" s="197"/>
      <c r="G190" s="400"/>
      <c r="H190" s="349"/>
    </row>
    <row r="191" spans="1:8" ht="12.75">
      <c r="A191" s="221"/>
      <c r="B191" s="242"/>
      <c r="C191" s="197"/>
      <c r="D191" s="197"/>
      <c r="E191" s="197"/>
      <c r="F191" s="197"/>
      <c r="G191" s="400"/>
      <c r="H191" s="349"/>
    </row>
    <row r="192" spans="1:8" ht="12.75">
      <c r="A192" s="243" t="s">
        <v>889</v>
      </c>
      <c r="B192" s="242"/>
      <c r="C192" s="197"/>
      <c r="D192" s="197"/>
      <c r="E192" s="197"/>
      <c r="F192" s="197"/>
      <c r="G192" s="400"/>
      <c r="H192" s="349"/>
    </row>
    <row r="193" spans="1:8" ht="12.75">
      <c r="A193" s="423" t="s">
        <v>1026</v>
      </c>
      <c r="B193" s="206">
        <f>SUMIF('2011'!$D$1:$I$1,$Q$1,'2011'!$D$939:$I$939)</f>
        <v>4661.956539741989</v>
      </c>
      <c r="C193" s="197"/>
      <c r="D193" s="197"/>
      <c r="E193" s="197"/>
      <c r="F193" s="197"/>
      <c r="G193" s="400">
        <f>(C193-B193)/B193</f>
        <v>-1</v>
      </c>
      <c r="H193" s="349">
        <f>AVERAGE(B193:F193)</f>
        <v>4661.956539741989</v>
      </c>
    </row>
    <row r="194" spans="1:8" ht="12.75">
      <c r="A194" s="221" t="s">
        <v>890</v>
      </c>
      <c r="B194" s="222">
        <f>SUMIF('2011'!$D$1:$I$1,$Q$1,'2011'!$D$986:$I$986)</f>
        <v>0.0769492268895641</v>
      </c>
      <c r="C194" s="197"/>
      <c r="D194" s="197"/>
      <c r="E194" s="197"/>
      <c r="F194" s="197"/>
      <c r="G194" s="400">
        <f>(C194-B194)/B194</f>
        <v>-1</v>
      </c>
      <c r="H194" s="349">
        <f>AVERAGE(B194:F194)</f>
        <v>0.0769492268895641</v>
      </c>
    </row>
    <row r="195" spans="1:8" ht="12.75">
      <c r="A195" s="221" t="s">
        <v>891</v>
      </c>
      <c r="B195" s="222">
        <f>SUMIF('2011'!$D$1:$I$1,$Q$1,'2011'!$D$1004:$I$1004)</f>
        <v>0.03341957905195056</v>
      </c>
      <c r="C195" s="197"/>
      <c r="D195" s="197"/>
      <c r="E195" s="197"/>
      <c r="F195" s="197"/>
      <c r="G195" s="400">
        <f>(C195-B195)/B195</f>
        <v>-1</v>
      </c>
      <c r="H195" s="349">
        <f>AVERAGE(B195:F195)</f>
        <v>0.03341957905195056</v>
      </c>
    </row>
    <row r="196" spans="1:8" ht="12.75">
      <c r="A196" s="221" t="s">
        <v>892</v>
      </c>
      <c r="B196" s="222">
        <f>SUMIF('2011'!$D$1:$I$1,$Q$1,'2011'!$D$916:$I$916)</f>
        <v>0.5346939762494805</v>
      </c>
      <c r="C196" s="197"/>
      <c r="D196" s="197"/>
      <c r="E196" s="197"/>
      <c r="F196" s="197"/>
      <c r="G196" s="400">
        <f>(C196-B196)/B196</f>
        <v>-1</v>
      </c>
      <c r="H196" s="349">
        <f>AVERAGE(B196:F196)</f>
        <v>0.5346939762494805</v>
      </c>
    </row>
    <row r="197" spans="1:8" ht="12.75">
      <c r="A197" s="221" t="s">
        <v>893</v>
      </c>
      <c r="B197" s="222">
        <f>SUMIF('2011'!$D$1:$I$1,$Q$1,'2011'!$D$1045:$I$1045)</f>
        <v>0.08169469346410375</v>
      </c>
      <c r="C197" s="197"/>
      <c r="D197" s="197"/>
      <c r="E197" s="197"/>
      <c r="F197" s="197"/>
      <c r="G197" s="400">
        <f>(C197-B197)/B197</f>
        <v>-1</v>
      </c>
      <c r="H197" s="349">
        <f>AVERAGE(B197:F197)</f>
        <v>0.08169469346410375</v>
      </c>
    </row>
    <row r="198" spans="1:8" ht="12.75">
      <c r="A198" s="221"/>
      <c r="B198" s="222"/>
      <c r="C198" s="197"/>
      <c r="D198" s="197"/>
      <c r="E198" s="197"/>
      <c r="F198" s="197"/>
      <c r="G198" s="400"/>
      <c r="H198" s="349"/>
    </row>
    <row r="199" spans="1:8" ht="12.75">
      <c r="A199" s="221"/>
      <c r="B199" s="242"/>
      <c r="C199" s="197"/>
      <c r="D199" s="197"/>
      <c r="E199" s="197"/>
      <c r="F199" s="197"/>
      <c r="G199" s="400"/>
      <c r="H199" s="349"/>
    </row>
    <row r="200" spans="1:8" ht="12.75">
      <c r="A200" s="243" t="s">
        <v>894</v>
      </c>
      <c r="B200" s="197"/>
      <c r="C200" s="197"/>
      <c r="D200" s="197"/>
      <c r="E200" s="197"/>
      <c r="F200" s="197"/>
      <c r="G200" s="400"/>
      <c r="H200" s="349"/>
    </row>
    <row r="201" spans="1:8" ht="12.75">
      <c r="A201" s="221" t="s">
        <v>895</v>
      </c>
      <c r="B201" s="222">
        <f>SUMIF('2011'!$D$1:$I$1,$Q$1,'2011'!$D$962:$I$962)</f>
        <v>0.299842197290491</v>
      </c>
      <c r="C201" s="197"/>
      <c r="D201" s="197"/>
      <c r="E201" s="197"/>
      <c r="F201" s="197"/>
      <c r="G201" s="400">
        <f>(C201-B201)/B201</f>
        <v>-1</v>
      </c>
      <c r="H201" s="349">
        <f>AVERAGE(B201:F201)</f>
        <v>0.299842197290491</v>
      </c>
    </row>
    <row r="202" spans="1:8" ht="12.75">
      <c r="A202" s="221" t="s">
        <v>896</v>
      </c>
      <c r="B202" s="222">
        <f>SUMIF('2011'!$D$1:$I$1,$Q$1,'2011'!$D$1021:$I$1021)</f>
        <v>0.02837421516875096</v>
      </c>
      <c r="C202" s="197"/>
      <c r="D202" s="197"/>
      <c r="E202" s="197"/>
      <c r="F202" s="197"/>
      <c r="G202" s="400">
        <f>(C202-B202)/B202</f>
        <v>-1</v>
      </c>
      <c r="H202" s="349">
        <f>AVERAGE(B202:F202)</f>
        <v>0.02837421516875096</v>
      </c>
    </row>
    <row r="203" spans="1:8" ht="12.75">
      <c r="A203" s="221"/>
      <c r="B203" s="222"/>
      <c r="C203" s="197"/>
      <c r="D203" s="197"/>
      <c r="E203" s="197"/>
      <c r="F203" s="197"/>
      <c r="G203" s="400"/>
      <c r="H203" s="349"/>
    </row>
    <row r="204" spans="1:8" ht="12.75">
      <c r="A204" s="221"/>
      <c r="B204" s="206"/>
      <c r="C204" s="197"/>
      <c r="D204" s="197"/>
      <c r="E204" s="197"/>
      <c r="F204" s="197"/>
      <c r="G204" s="400"/>
      <c r="H204" s="349"/>
    </row>
    <row r="205" spans="1:8" ht="12.75">
      <c r="A205" s="243" t="s">
        <v>897</v>
      </c>
      <c r="B205" s="197"/>
      <c r="C205" s="197"/>
      <c r="D205" s="197"/>
      <c r="E205" s="197"/>
      <c r="F205" s="197"/>
      <c r="G205" s="400"/>
      <c r="H205" s="349"/>
    </row>
    <row r="206" spans="1:8" ht="12.75">
      <c r="A206" s="265" t="s">
        <v>955</v>
      </c>
      <c r="B206" s="219">
        <f>SUMIF('2011'!$D$1:$I$1,$Q$1,'2011'!$D$943:$I$943)</f>
        <v>7475.6624256138175</v>
      </c>
      <c r="C206" s="240"/>
      <c r="D206" s="240"/>
      <c r="E206" s="240"/>
      <c r="F206" s="240"/>
      <c r="G206" s="413">
        <f>(C206-B206)/B206</f>
        <v>-1</v>
      </c>
      <c r="H206" s="414">
        <f>AVERAGE(B206:F206)</f>
        <v>7475.6624256138175</v>
      </c>
    </row>
    <row r="207" spans="1:8" ht="12.75">
      <c r="A207" s="421" t="s">
        <v>268</v>
      </c>
      <c r="B207" s="219">
        <f>-SUMIF('2011'!$D$1:$I$1,$Q$1,'2011'!$D$1010:$I$1010)</f>
        <v>7682524</v>
      </c>
      <c r="C207" s="240"/>
      <c r="D207" s="240"/>
      <c r="E207" s="240"/>
      <c r="F207" s="240"/>
      <c r="G207" s="413">
        <f>(C207-B207)/B207</f>
        <v>-1</v>
      </c>
      <c r="H207" s="422">
        <f>AVERAGE(B207:F207)</f>
        <v>7682524</v>
      </c>
    </row>
    <row r="208" spans="1:8" ht="13.5" thickBot="1">
      <c r="A208" s="266"/>
      <c r="B208" s="189"/>
      <c r="C208" s="189"/>
      <c r="D208" s="189"/>
      <c r="E208" s="189"/>
      <c r="F208" s="189"/>
      <c r="G208" s="415"/>
      <c r="H208" s="416"/>
    </row>
    <row r="209" spans="1:8" ht="12.75">
      <c r="A209" s="231"/>
      <c r="B209" s="263"/>
      <c r="C209" s="218"/>
      <c r="D209" s="218"/>
      <c r="E209" s="218"/>
      <c r="F209" s="218"/>
      <c r="G209" s="405"/>
      <c r="H209" s="361"/>
    </row>
    <row r="210" spans="1:8" ht="12.75">
      <c r="A210" s="231"/>
      <c r="B210" s="218"/>
      <c r="C210" s="218"/>
      <c r="D210" s="218"/>
      <c r="E210" s="218"/>
      <c r="F210" s="218"/>
      <c r="G210" s="405"/>
      <c r="H210" s="361"/>
    </row>
    <row r="211" spans="1:8" ht="12.75">
      <c r="A211" s="231"/>
      <c r="B211" s="218"/>
      <c r="C211" s="218"/>
      <c r="D211" s="218"/>
      <c r="E211" s="218"/>
      <c r="F211" s="218"/>
      <c r="G211" s="405"/>
      <c r="H211" s="361"/>
    </row>
    <row r="212" spans="1:8" ht="13.5" thickBot="1">
      <c r="A212" s="231"/>
      <c r="B212" s="218"/>
      <c r="C212" s="218"/>
      <c r="D212" s="218"/>
      <c r="E212" s="218"/>
      <c r="F212" s="218"/>
      <c r="G212" s="405"/>
      <c r="H212" s="361"/>
    </row>
    <row r="213" spans="1:8" ht="12.75">
      <c r="A213" s="220" t="s">
        <v>983</v>
      </c>
      <c r="B213" s="264"/>
      <c r="C213" s="264"/>
      <c r="D213" s="264"/>
      <c r="E213" s="264"/>
      <c r="F213" s="264"/>
      <c r="G213" s="410"/>
      <c r="H213" s="417"/>
    </row>
    <row r="214" spans="1:8" ht="12.75">
      <c r="A214" s="230" t="s">
        <v>24</v>
      </c>
      <c r="B214" s="262">
        <f>SUMIF('2011'!$D$1:$I$1,$Q$1,'2011'!$D$352:$I$352)</f>
        <v>0.54</v>
      </c>
      <c r="C214" s="202"/>
      <c r="D214" s="202"/>
      <c r="E214" s="202"/>
      <c r="F214" s="202"/>
      <c r="G214" s="404">
        <f>(C214-B214)/B214</f>
        <v>-1</v>
      </c>
      <c r="H214" s="357">
        <f>AVERAGE(B214:F214)</f>
        <v>0.54</v>
      </c>
    </row>
    <row r="215" spans="1:8" ht="13.5" thickBot="1">
      <c r="A215" s="223" t="s">
        <v>898</v>
      </c>
      <c r="B215" s="261">
        <f>SUMIF('2011'!$D$1:$I$1,$Q$1,'2011'!$D$351:$I$351)</f>
        <v>38448</v>
      </c>
      <c r="C215" s="200"/>
      <c r="D215" s="200"/>
      <c r="E215" s="200"/>
      <c r="F215" s="200"/>
      <c r="G215" s="401">
        <f>(C215-B215)/B215</f>
        <v>-1</v>
      </c>
      <c r="H215" s="345">
        <f>AVERAGE(B215:F215)</f>
        <v>38448</v>
      </c>
    </row>
    <row r="216" spans="1:8" s="67" customFormat="1" ht="13.5" thickBot="1">
      <c r="A216" s="192"/>
      <c r="B216" s="192"/>
      <c r="C216" s="192"/>
      <c r="D216" s="192"/>
      <c r="E216" s="192"/>
      <c r="F216" s="192"/>
      <c r="G216" s="194"/>
      <c r="H216" s="193"/>
    </row>
    <row r="217" spans="1:8" ht="18">
      <c r="A217" s="289" t="s">
        <v>970</v>
      </c>
      <c r="B217" s="282"/>
      <c r="C217" s="282"/>
      <c r="D217" s="282"/>
      <c r="E217" s="282"/>
      <c r="F217" s="282"/>
      <c r="G217" s="283"/>
      <c r="H217" s="284"/>
    </row>
    <row r="218" spans="1:8" ht="15.75" thickBot="1">
      <c r="A218" s="290" t="s">
        <v>43</v>
      </c>
      <c r="B218" s="205"/>
      <c r="C218" s="205"/>
      <c r="D218" s="205"/>
      <c r="E218" s="205"/>
      <c r="F218" s="205"/>
      <c r="G218" s="418"/>
      <c r="H218" s="419"/>
    </row>
    <row r="219" spans="1:8" ht="12.75">
      <c r="A219" s="220" t="s">
        <v>978</v>
      </c>
      <c r="B219" s="245">
        <f>SUMIF('2011'!$D$1:$I$1,$Q$1,'2011'!$D$356:$I$356)</f>
        <v>23233198.03</v>
      </c>
      <c r="C219" s="245"/>
      <c r="D219" s="245"/>
      <c r="E219" s="245"/>
      <c r="F219" s="245"/>
      <c r="G219" s="406">
        <f aca="true" t="shared" si="6" ref="G219:G278">(C219-B219)/B219</f>
        <v>-1</v>
      </c>
      <c r="H219" s="363">
        <f aca="true" t="shared" si="7" ref="H219:H278">AVERAGE(B219:F219)</f>
        <v>23233198.03</v>
      </c>
    </row>
    <row r="220" spans="1:8" ht="12.75">
      <c r="A220" s="221" t="s">
        <v>391</v>
      </c>
      <c r="B220" s="198">
        <f>SUMIF('2011'!$D$1:$I$1,$Q$1,'2011'!$D$357:$I$357)</f>
        <v>2177075.05</v>
      </c>
      <c r="C220" s="198"/>
      <c r="D220" s="198"/>
      <c r="E220" s="198"/>
      <c r="F220" s="198"/>
      <c r="G220" s="400">
        <f t="shared" si="6"/>
        <v>-1</v>
      </c>
      <c r="H220" s="343">
        <f t="shared" si="7"/>
        <v>2177075.05</v>
      </c>
    </row>
    <row r="221" spans="1:8" ht="12.75">
      <c r="A221" s="221" t="s">
        <v>393</v>
      </c>
      <c r="B221" s="198">
        <f>SUMIF('2011'!$D$1:$I$1,$Q$1,'2011'!$D$360:$I$360)</f>
        <v>21056122.98</v>
      </c>
      <c r="C221" s="198"/>
      <c r="D221" s="198"/>
      <c r="E221" s="198"/>
      <c r="F221" s="198"/>
      <c r="G221" s="400">
        <f t="shared" si="6"/>
        <v>-1</v>
      </c>
      <c r="H221" s="343">
        <f t="shared" si="7"/>
        <v>21056122.98</v>
      </c>
    </row>
    <row r="222" spans="1:8" ht="12.75">
      <c r="A222" s="221" t="s">
        <v>416</v>
      </c>
      <c r="B222" s="198">
        <f>SUMIF('2011'!$D$1:$I$1,$Q$1,'2011'!$D$365:$I$365)</f>
        <v>0</v>
      </c>
      <c r="C222" s="198"/>
      <c r="D222" s="198"/>
      <c r="E222" s="198"/>
      <c r="F222" s="198"/>
      <c r="G222" s="400" t="e">
        <f t="shared" si="6"/>
        <v>#DIV/0!</v>
      </c>
      <c r="H222" s="343">
        <f t="shared" si="7"/>
        <v>0</v>
      </c>
    </row>
    <row r="223" spans="1:8" ht="13.5" thickBot="1">
      <c r="A223" s="223" t="s">
        <v>396</v>
      </c>
      <c r="B223" s="200">
        <f>SUMIF('2011'!$D$1:$I$1,$Q$1,'2011'!$D$371:$I$371)</f>
        <v>0</v>
      </c>
      <c r="C223" s="200"/>
      <c r="D223" s="200"/>
      <c r="E223" s="200"/>
      <c r="F223" s="200"/>
      <c r="G223" s="401" t="e">
        <f t="shared" si="6"/>
        <v>#DIV/0!</v>
      </c>
      <c r="H223" s="345">
        <f t="shared" si="7"/>
        <v>0</v>
      </c>
    </row>
    <row r="224" spans="1:8" ht="12.75">
      <c r="A224" s="220" t="s">
        <v>1009</v>
      </c>
      <c r="B224" s="245">
        <f>SUMIF('2011'!$D$1:$I$1,$Q$1,'2011'!$D$373:$I$373)</f>
        <v>4554963.280000001</v>
      </c>
      <c r="C224" s="267"/>
      <c r="D224" s="267"/>
      <c r="E224" s="267"/>
      <c r="F224" s="267"/>
      <c r="G224" s="406">
        <f t="shared" si="6"/>
        <v>-1</v>
      </c>
      <c r="H224" s="363">
        <f t="shared" si="7"/>
        <v>4554963.280000001</v>
      </c>
    </row>
    <row r="225" spans="1:8" ht="12.75">
      <c r="A225" s="221" t="s">
        <v>398</v>
      </c>
      <c r="B225" s="198">
        <f>SUMIF('2011'!$D$1:$I$1,$Q$1,'2011'!$D$374:$I$374)</f>
        <v>-1761885.7400000002</v>
      </c>
      <c r="C225" s="211"/>
      <c r="D225" s="211"/>
      <c r="E225" s="211"/>
      <c r="F225" s="211"/>
      <c r="G225" s="400">
        <f t="shared" si="6"/>
        <v>-1</v>
      </c>
      <c r="H225" s="343">
        <f t="shared" si="7"/>
        <v>-1761885.7400000002</v>
      </c>
    </row>
    <row r="226" spans="1:8" ht="12.75">
      <c r="A226" s="221" t="s">
        <v>400</v>
      </c>
      <c r="B226" s="198">
        <f>SUMIF('2011'!$D$1:$I$1,$Q$1,'2011'!$D$378:$I$378)</f>
        <v>4376442.65</v>
      </c>
      <c r="C226" s="198"/>
      <c r="D226" s="198"/>
      <c r="E226" s="198"/>
      <c r="F226" s="198"/>
      <c r="G226" s="400">
        <f t="shared" si="6"/>
        <v>-1</v>
      </c>
      <c r="H226" s="343">
        <f t="shared" si="7"/>
        <v>4376442.65</v>
      </c>
    </row>
    <row r="227" spans="1:8" ht="12.75">
      <c r="A227" s="221" t="s">
        <v>402</v>
      </c>
      <c r="B227" s="198">
        <f>SUMIF('2011'!$D$1:$I$1,$Q$1,'2011'!$D$380:$I$380)</f>
        <v>0</v>
      </c>
      <c r="C227" s="211"/>
      <c r="D227" s="211"/>
      <c r="E227" s="211"/>
      <c r="F227" s="211"/>
      <c r="G227" s="400" t="e">
        <f t="shared" si="6"/>
        <v>#DIV/0!</v>
      </c>
      <c r="H227" s="343">
        <f t="shared" si="7"/>
        <v>0</v>
      </c>
    </row>
    <row r="228" spans="1:8" ht="12.75">
      <c r="A228" s="221" t="s">
        <v>440</v>
      </c>
      <c r="B228" s="198">
        <f>SUMIF('2011'!$D$1:$I$1,$Q$1,'2011'!$D$382:$I$382)</f>
        <v>1354916.370000001</v>
      </c>
      <c r="C228" s="198"/>
      <c r="D228" s="198"/>
      <c r="E228" s="198"/>
      <c r="F228" s="198"/>
      <c r="G228" s="400">
        <f t="shared" si="6"/>
        <v>-1</v>
      </c>
      <c r="H228" s="343">
        <f t="shared" si="7"/>
        <v>1354916.370000001</v>
      </c>
    </row>
    <row r="229" spans="1:8" ht="12.75">
      <c r="A229" s="221" t="s">
        <v>445</v>
      </c>
      <c r="B229" s="198">
        <f>SUMIF('2011'!$D$1:$I$1,$Q$1,'2011'!$D$386:$I$386)</f>
        <v>0</v>
      </c>
      <c r="C229" s="198"/>
      <c r="D229" s="198"/>
      <c r="E229" s="198"/>
      <c r="F229" s="198"/>
      <c r="G229" s="400" t="e">
        <f t="shared" si="6"/>
        <v>#DIV/0!</v>
      </c>
      <c r="H229" s="343">
        <f t="shared" si="7"/>
        <v>0</v>
      </c>
    </row>
    <row r="230" spans="1:8" ht="12.75">
      <c r="A230" s="221" t="s">
        <v>452</v>
      </c>
      <c r="B230" s="198">
        <f>SUMIF('2011'!$D$1:$I$1,$Q$1,'2011'!$D$390:$I$390)</f>
        <v>585489.9999999999</v>
      </c>
      <c r="C230" s="198"/>
      <c r="D230" s="198"/>
      <c r="E230" s="198"/>
      <c r="F230" s="198"/>
      <c r="G230" s="400">
        <f t="shared" si="6"/>
        <v>-1</v>
      </c>
      <c r="H230" s="343">
        <f t="shared" si="7"/>
        <v>585489.9999999999</v>
      </c>
    </row>
    <row r="231" spans="1:8" ht="13.5" thickBot="1">
      <c r="A231" s="223" t="s">
        <v>1010</v>
      </c>
      <c r="B231" s="200">
        <f>SUMIF('2011'!$D$1:$I$1,$Q$1,'2011'!$D$396:$I$396)</f>
        <v>0</v>
      </c>
      <c r="C231" s="200"/>
      <c r="D231" s="200"/>
      <c r="E231" s="200"/>
      <c r="F231" s="200"/>
      <c r="G231" s="401" t="e">
        <f t="shared" si="6"/>
        <v>#DIV/0!</v>
      </c>
      <c r="H231" s="345">
        <f t="shared" si="7"/>
        <v>0</v>
      </c>
    </row>
    <row r="232" spans="1:8" ht="12.75">
      <c r="A232" s="220" t="s">
        <v>972</v>
      </c>
      <c r="B232" s="245">
        <f>SUMIF('2011'!$D$1:$I$1,$Q$1,'2011'!$D$399:$I$399)</f>
        <v>49951665.35</v>
      </c>
      <c r="C232" s="233"/>
      <c r="D232" s="233"/>
      <c r="E232" s="233"/>
      <c r="F232" s="233"/>
      <c r="G232" s="406">
        <f t="shared" si="6"/>
        <v>-1</v>
      </c>
      <c r="H232" s="363">
        <f t="shared" si="7"/>
        <v>49951665.35</v>
      </c>
    </row>
    <row r="233" spans="1:8" ht="12.75">
      <c r="A233" s="221" t="s">
        <v>471</v>
      </c>
      <c r="B233" s="198">
        <f>SUMIF('2011'!$D$1:$I$1,$Q$1,'2011'!$D$400:$I$400)</f>
        <v>5229397.640000001</v>
      </c>
      <c r="C233" s="198"/>
      <c r="D233" s="198"/>
      <c r="E233" s="198"/>
      <c r="F233" s="198"/>
      <c r="G233" s="400">
        <f t="shared" si="6"/>
        <v>-1</v>
      </c>
      <c r="H233" s="343">
        <f t="shared" si="7"/>
        <v>5229397.640000001</v>
      </c>
    </row>
    <row r="234" spans="1:8" ht="12.75">
      <c r="A234" s="221" t="s">
        <v>490</v>
      </c>
      <c r="B234" s="198">
        <f>SUMIF('2011'!$D$1:$I$1,$Q$1,'2011'!$D$410:$I$410)</f>
        <v>11206645.85</v>
      </c>
      <c r="C234" s="198"/>
      <c r="D234" s="198"/>
      <c r="E234" s="198"/>
      <c r="F234" s="198"/>
      <c r="G234" s="400">
        <f t="shared" si="6"/>
        <v>-1</v>
      </c>
      <c r="H234" s="343">
        <f t="shared" si="7"/>
        <v>11206645.85</v>
      </c>
    </row>
    <row r="235" spans="1:8" ht="12.75">
      <c r="A235" s="221" t="s">
        <v>492</v>
      </c>
      <c r="B235" s="198">
        <f>SUMIF('2011'!$D$1:$I$1,$Q$1,'2011'!$D$412:$I$412)</f>
        <v>11954139.620000001</v>
      </c>
      <c r="C235" s="198"/>
      <c r="D235" s="198"/>
      <c r="E235" s="198"/>
      <c r="F235" s="198"/>
      <c r="G235" s="400">
        <f t="shared" si="6"/>
        <v>-1</v>
      </c>
      <c r="H235" s="343">
        <f t="shared" si="7"/>
        <v>11954139.620000001</v>
      </c>
    </row>
    <row r="236" spans="1:8" ht="12.75">
      <c r="A236" s="221" t="s">
        <v>495</v>
      </c>
      <c r="B236" s="198">
        <f>SUMIF('2011'!$D$1:$I$1,$Q$1,'2011'!$D$414:$I$414)</f>
        <v>10245285.139999999</v>
      </c>
      <c r="C236" s="198"/>
      <c r="D236" s="198"/>
      <c r="E236" s="198"/>
      <c r="F236" s="198"/>
      <c r="G236" s="400">
        <f t="shared" si="6"/>
        <v>-1</v>
      </c>
      <c r="H236" s="343">
        <f t="shared" si="7"/>
        <v>10245285.139999999</v>
      </c>
    </row>
    <row r="237" spans="1:8" ht="12.75">
      <c r="A237" s="221" t="s">
        <v>501</v>
      </c>
      <c r="B237" s="198">
        <f>SUMIF('2011'!$D$1:$I$1,$Q$1,'2011'!$D$417:$I$417)</f>
        <v>1230265.1</v>
      </c>
      <c r="C237" s="198"/>
      <c r="D237" s="198"/>
      <c r="E237" s="198"/>
      <c r="F237" s="198"/>
      <c r="G237" s="400">
        <f t="shared" si="6"/>
        <v>-1</v>
      </c>
      <c r="H237" s="343">
        <f t="shared" si="7"/>
        <v>1230265.1</v>
      </c>
    </row>
    <row r="238" spans="1:8" ht="12.75">
      <c r="A238" s="221" t="s">
        <v>504</v>
      </c>
      <c r="B238" s="198">
        <f>SUMIF('2011'!$D$1:$I$1,$Q$1,'2011'!$D$419:$I$419)</f>
        <v>9314822.65</v>
      </c>
      <c r="C238" s="198"/>
      <c r="D238" s="198"/>
      <c r="E238" s="198"/>
      <c r="F238" s="198"/>
      <c r="G238" s="400">
        <f t="shared" si="6"/>
        <v>-1</v>
      </c>
      <c r="H238" s="343">
        <f t="shared" si="7"/>
        <v>9314822.65</v>
      </c>
    </row>
    <row r="239" spans="1:8" ht="12.75">
      <c r="A239" s="221" t="s">
        <v>513</v>
      </c>
      <c r="B239" s="198">
        <f>SUMIF('2011'!$D$1:$I$1,$Q$1,'2011'!$D$423:$I$423)</f>
        <v>0</v>
      </c>
      <c r="C239" s="198"/>
      <c r="D239" s="198"/>
      <c r="E239" s="198"/>
      <c r="F239" s="198"/>
      <c r="G239" s="400" t="e">
        <f t="shared" si="6"/>
        <v>#DIV/0!</v>
      </c>
      <c r="H239" s="343">
        <f t="shared" si="7"/>
        <v>0</v>
      </c>
    </row>
    <row r="240" spans="1:8" ht="13.5" thickBot="1">
      <c r="A240" s="223" t="s">
        <v>518</v>
      </c>
      <c r="B240" s="200">
        <f>SUMIF('2011'!$D$1:$I$1,$Q$1,'2011'!$D$426:$I$426)</f>
        <v>771109.35</v>
      </c>
      <c r="C240" s="200"/>
      <c r="D240" s="200"/>
      <c r="E240" s="200"/>
      <c r="F240" s="200"/>
      <c r="G240" s="401">
        <f t="shared" si="6"/>
        <v>-1</v>
      </c>
      <c r="H240" s="345">
        <f t="shared" si="7"/>
        <v>771109.35</v>
      </c>
    </row>
    <row r="241" spans="1:8" ht="12.75">
      <c r="A241" s="220" t="s">
        <v>973</v>
      </c>
      <c r="B241" s="245">
        <f>SUMIF('2011'!$D$1:$I$1,$Q$1,'2011'!$D$429:$I$429)</f>
        <v>3100335.1899999995</v>
      </c>
      <c r="C241" s="233"/>
      <c r="D241" s="233"/>
      <c r="E241" s="233"/>
      <c r="F241" s="233"/>
      <c r="G241" s="406">
        <f t="shared" si="6"/>
        <v>-1</v>
      </c>
      <c r="H241" s="363">
        <f t="shared" si="7"/>
        <v>3100335.1899999995</v>
      </c>
    </row>
    <row r="242" spans="1:8" ht="12.75">
      <c r="A242" s="221" t="s">
        <v>524</v>
      </c>
      <c r="B242" s="198">
        <f>SUMIF('2011'!$D$1:$I$1,$Q$1,'2011'!$D$430:$I$430)</f>
        <v>1051727.0499999998</v>
      </c>
      <c r="C242" s="198"/>
      <c r="D242" s="198"/>
      <c r="E242" s="198"/>
      <c r="F242" s="198"/>
      <c r="G242" s="400">
        <f t="shared" si="6"/>
        <v>-1</v>
      </c>
      <c r="H242" s="343">
        <f t="shared" si="7"/>
        <v>1051727.0499999998</v>
      </c>
    </row>
    <row r="243" spans="1:8" ht="12.75">
      <c r="A243" s="221" t="s">
        <v>530</v>
      </c>
      <c r="B243" s="198">
        <f>SUMIF('2011'!$D$1:$I$1,$Q$1,'2011'!$D$433:$I$433)</f>
        <v>872877.6499999999</v>
      </c>
      <c r="C243" s="198"/>
      <c r="D243" s="198"/>
      <c r="E243" s="198"/>
      <c r="F243" s="198"/>
      <c r="G243" s="400">
        <f t="shared" si="6"/>
        <v>-1</v>
      </c>
      <c r="H243" s="343">
        <f t="shared" si="7"/>
        <v>872877.6499999999</v>
      </c>
    </row>
    <row r="244" spans="1:8" ht="12.75">
      <c r="A244" s="221" t="s">
        <v>537</v>
      </c>
      <c r="B244" s="198">
        <f>SUMIF('2011'!$D$1:$I$1,$Q$1,'2011'!$D$437:$I$437)</f>
        <v>0</v>
      </c>
      <c r="C244" s="198"/>
      <c r="D244" s="198"/>
      <c r="E244" s="198"/>
      <c r="F244" s="198"/>
      <c r="G244" s="400" t="e">
        <f t="shared" si="6"/>
        <v>#DIV/0!</v>
      </c>
      <c r="H244" s="343">
        <f t="shared" si="7"/>
        <v>0</v>
      </c>
    </row>
    <row r="245" spans="1:8" ht="12.75">
      <c r="A245" s="221" t="s">
        <v>544</v>
      </c>
      <c r="B245" s="198">
        <f>SUMIF('2011'!$D$1:$I$1,$Q$1,'2011'!$D$441:$I$441)</f>
        <v>1175730.49</v>
      </c>
      <c r="C245" s="198"/>
      <c r="D245" s="198"/>
      <c r="E245" s="198"/>
      <c r="F245" s="198"/>
      <c r="G245" s="400">
        <f t="shared" si="6"/>
        <v>-1</v>
      </c>
      <c r="H245" s="343">
        <f t="shared" si="7"/>
        <v>1175730.49</v>
      </c>
    </row>
    <row r="246" spans="1:8" ht="12.75">
      <c r="A246" s="221" t="s">
        <v>1011</v>
      </c>
      <c r="B246" s="198">
        <f>SUMIF('2011'!$D$1:$I$1,$Q$1,'2011'!$D$444:$I$444)</f>
        <v>0</v>
      </c>
      <c r="C246" s="198"/>
      <c r="D246" s="198"/>
      <c r="E246" s="198"/>
      <c r="F246" s="198"/>
      <c r="G246" s="400" t="e">
        <f t="shared" si="6"/>
        <v>#DIV/0!</v>
      </c>
      <c r="H246" s="343">
        <f t="shared" si="7"/>
        <v>0</v>
      </c>
    </row>
    <row r="247" spans="1:8" ht="13.5" thickBot="1">
      <c r="A247" s="223" t="s">
        <v>1012</v>
      </c>
      <c r="B247" s="200">
        <f>SUMIF('2011'!$D$1:$I$1,$Q$1,'2011'!$D$446:$I$446)</f>
        <v>0</v>
      </c>
      <c r="C247" s="200"/>
      <c r="D247" s="200"/>
      <c r="E247" s="200"/>
      <c r="F247" s="200"/>
      <c r="G247" s="401" t="e">
        <f t="shared" si="6"/>
        <v>#DIV/0!</v>
      </c>
      <c r="H247" s="345">
        <f t="shared" si="7"/>
        <v>0</v>
      </c>
    </row>
    <row r="248" spans="1:8" ht="12.75">
      <c r="A248" s="220" t="s">
        <v>974</v>
      </c>
      <c r="B248" s="245">
        <f>SUMIF('2011'!$D$1:$I$1,$Q$1,'2011'!$D$449:$I$449)</f>
        <v>49164886.87</v>
      </c>
      <c r="C248" s="233"/>
      <c r="D248" s="233"/>
      <c r="E248" s="233"/>
      <c r="F248" s="233"/>
      <c r="G248" s="406">
        <f t="shared" si="6"/>
        <v>-1</v>
      </c>
      <c r="H248" s="363">
        <f t="shared" si="7"/>
        <v>49164886.87</v>
      </c>
    </row>
    <row r="249" spans="1:8" ht="12.75">
      <c r="A249" s="221" t="s">
        <v>557</v>
      </c>
      <c r="B249" s="198">
        <f>SUMIF('2011'!$D$1:$I$1,$Q$1,'2011'!$D$450:$I$450)</f>
        <v>47193319.57</v>
      </c>
      <c r="C249" s="198"/>
      <c r="D249" s="198"/>
      <c r="E249" s="198"/>
      <c r="F249" s="198"/>
      <c r="G249" s="400">
        <f t="shared" si="6"/>
        <v>-1</v>
      </c>
      <c r="H249" s="343">
        <f t="shared" si="7"/>
        <v>47193319.57</v>
      </c>
    </row>
    <row r="250" spans="1:8" ht="12.75">
      <c r="A250" s="221" t="s">
        <v>564</v>
      </c>
      <c r="B250" s="198">
        <f>SUMIF('2011'!$D$1:$I$1,$Q$1,'2011'!$D$454:$I$454)</f>
        <v>717087.3</v>
      </c>
      <c r="C250" s="198"/>
      <c r="D250" s="198"/>
      <c r="E250" s="198"/>
      <c r="F250" s="198"/>
      <c r="G250" s="400">
        <f t="shared" si="6"/>
        <v>-1</v>
      </c>
      <c r="H250" s="343">
        <f t="shared" si="7"/>
        <v>717087.3</v>
      </c>
    </row>
    <row r="251" spans="1:8" ht="12.75">
      <c r="A251" s="221" t="s">
        <v>568</v>
      </c>
      <c r="B251" s="198">
        <f>SUMIF('2011'!$D$1:$I$1,$Q$1,'2011'!$D$457:$I$457)</f>
        <v>903563.8500000001</v>
      </c>
      <c r="C251" s="198"/>
      <c r="D251" s="198"/>
      <c r="E251" s="198"/>
      <c r="F251" s="198"/>
      <c r="G251" s="400">
        <f t="shared" si="6"/>
        <v>-1</v>
      </c>
      <c r="H251" s="343">
        <f t="shared" si="7"/>
        <v>903563.8500000001</v>
      </c>
    </row>
    <row r="252" spans="1:8" ht="12.75">
      <c r="A252" s="221" t="s">
        <v>577</v>
      </c>
      <c r="B252" s="198">
        <f>SUMIF('2011'!$D$1:$I$1,$Q$1,'2011'!$D$462:$I$462)</f>
        <v>0</v>
      </c>
      <c r="C252" s="198"/>
      <c r="D252" s="198"/>
      <c r="E252" s="198"/>
      <c r="F252" s="198"/>
      <c r="G252" s="400" t="e">
        <f t="shared" si="6"/>
        <v>#DIV/0!</v>
      </c>
      <c r="H252" s="343">
        <f t="shared" si="7"/>
        <v>0</v>
      </c>
    </row>
    <row r="253" spans="1:8" ht="13.5" thickBot="1">
      <c r="A253" s="223" t="s">
        <v>578</v>
      </c>
      <c r="B253" s="200">
        <f>SUMIF('2011'!$D$1:$I$1,$Q$1,'2011'!$D$464:$I$464)</f>
        <v>350916.15</v>
      </c>
      <c r="C253" s="200"/>
      <c r="D253" s="200"/>
      <c r="E253" s="200"/>
      <c r="F253" s="200"/>
      <c r="G253" s="401">
        <f t="shared" si="6"/>
        <v>-1</v>
      </c>
      <c r="H253" s="345">
        <f t="shared" si="7"/>
        <v>350916.15</v>
      </c>
    </row>
    <row r="254" spans="1:8" ht="12.75">
      <c r="A254" s="244" t="s">
        <v>979</v>
      </c>
      <c r="B254" s="214">
        <f>SUMIF('2011'!$D$1:$I$1,$Q$1,'2011'!$D$466:$I$466)</f>
        <v>35218680.36999999</v>
      </c>
      <c r="C254" s="202"/>
      <c r="D254" s="202"/>
      <c r="E254" s="202"/>
      <c r="F254" s="202"/>
      <c r="G254" s="402">
        <f t="shared" si="6"/>
        <v>-1</v>
      </c>
      <c r="H254" s="365">
        <f t="shared" si="7"/>
        <v>35218680.36999999</v>
      </c>
    </row>
    <row r="255" spans="1:8" ht="12.75">
      <c r="A255" s="221" t="s">
        <v>584</v>
      </c>
      <c r="B255" s="198">
        <f>SUMIF('2011'!$D$1:$I$1,$Q$1,'2011'!$D$467:$I$467)</f>
        <v>6705882.1499999985</v>
      </c>
      <c r="C255" s="198"/>
      <c r="D255" s="198"/>
      <c r="E255" s="198"/>
      <c r="F255" s="198"/>
      <c r="G255" s="400">
        <f t="shared" si="6"/>
        <v>-1</v>
      </c>
      <c r="H255" s="343">
        <f t="shared" si="7"/>
        <v>6705882.1499999985</v>
      </c>
    </row>
    <row r="256" spans="1:8" ht="12.75">
      <c r="A256" s="221" t="s">
        <v>591</v>
      </c>
      <c r="B256" s="198">
        <f>SUMIF('2011'!$D$1:$I$1,$Q$1,'2011'!$D$472:$I$472)</f>
        <v>8353729</v>
      </c>
      <c r="C256" s="198"/>
      <c r="D256" s="198"/>
      <c r="E256" s="198"/>
      <c r="F256" s="198"/>
      <c r="G256" s="400">
        <f t="shared" si="6"/>
        <v>-1</v>
      </c>
      <c r="H256" s="343">
        <f t="shared" si="7"/>
        <v>8353729</v>
      </c>
    </row>
    <row r="257" spans="1:8" ht="12.75">
      <c r="A257" s="221" t="s">
        <v>601</v>
      </c>
      <c r="B257" s="198">
        <f>SUMIF('2011'!$D$1:$I$1,$Q$1,'2011'!$D$477:$I$477)</f>
        <v>6697608.119999999</v>
      </c>
      <c r="C257" s="198"/>
      <c r="D257" s="198"/>
      <c r="E257" s="198"/>
      <c r="F257" s="198"/>
      <c r="G257" s="400">
        <f t="shared" si="6"/>
        <v>-1</v>
      </c>
      <c r="H257" s="343">
        <f t="shared" si="7"/>
        <v>6697608.119999999</v>
      </c>
    </row>
    <row r="258" spans="1:8" ht="12.75">
      <c r="A258" s="221" t="s">
        <v>611</v>
      </c>
      <c r="B258" s="198">
        <f>SUMIF('2011'!$D$1:$I$1,$Q$1,'2011'!$D$483:$I$483)</f>
        <v>429136</v>
      </c>
      <c r="C258" s="198"/>
      <c r="D258" s="198"/>
      <c r="E258" s="198"/>
      <c r="F258" s="198"/>
      <c r="G258" s="400">
        <f t="shared" si="6"/>
        <v>-1</v>
      </c>
      <c r="H258" s="343">
        <f t="shared" si="7"/>
        <v>429136</v>
      </c>
    </row>
    <row r="259" spans="1:8" ht="12.75">
      <c r="A259" s="221" t="s">
        <v>626</v>
      </c>
      <c r="B259" s="198">
        <f>SUMIF('2011'!$D$1:$I$1,$Q$1,'2011'!$D$491:$I$491)</f>
        <v>718867.5899999999</v>
      </c>
      <c r="C259" s="198"/>
      <c r="D259" s="198"/>
      <c r="E259" s="198"/>
      <c r="F259" s="198"/>
      <c r="G259" s="400">
        <f t="shared" si="6"/>
        <v>-1</v>
      </c>
      <c r="H259" s="343">
        <f t="shared" si="7"/>
        <v>718867.5899999999</v>
      </c>
    </row>
    <row r="260" spans="1:8" ht="12.75">
      <c r="A260" s="221" t="s">
        <v>633</v>
      </c>
      <c r="B260" s="198">
        <f>SUMIF('2011'!$D$1:$I$1,$Q$1,'2011'!$D$495:$I$495)</f>
        <v>0</v>
      </c>
      <c r="C260" s="198"/>
      <c r="D260" s="198"/>
      <c r="E260" s="198"/>
      <c r="F260" s="198"/>
      <c r="G260" s="400" t="e">
        <f t="shared" si="6"/>
        <v>#DIV/0!</v>
      </c>
      <c r="H260" s="343">
        <f t="shared" si="7"/>
        <v>0</v>
      </c>
    </row>
    <row r="261" spans="1:8" ht="12.75">
      <c r="A261" s="221" t="s">
        <v>636</v>
      </c>
      <c r="B261" s="198">
        <f>SUMIF('2011'!$D$1:$I$1,$Q$1,'2011'!$D$497:$I$497)</f>
        <v>12313457.509999998</v>
      </c>
      <c r="C261" s="198"/>
      <c r="D261" s="198"/>
      <c r="E261" s="198"/>
      <c r="F261" s="198"/>
      <c r="G261" s="400">
        <f t="shared" si="6"/>
        <v>-1</v>
      </c>
      <c r="H261" s="343">
        <f t="shared" si="7"/>
        <v>12313457.509999998</v>
      </c>
    </row>
    <row r="262" spans="1:8" ht="12.75">
      <c r="A262" s="221" t="s">
        <v>648</v>
      </c>
      <c r="B262" s="198">
        <f>SUMIF('2011'!$D$1:$I$1,$Q$1,'2011'!$D$503:$I$503)</f>
        <v>0</v>
      </c>
      <c r="C262" s="198"/>
      <c r="D262" s="198"/>
      <c r="E262" s="198"/>
      <c r="F262" s="198"/>
      <c r="G262" s="400" t="e">
        <f t="shared" si="6"/>
        <v>#DIV/0!</v>
      </c>
      <c r="H262" s="343">
        <f t="shared" si="7"/>
        <v>0</v>
      </c>
    </row>
    <row r="263" spans="1:8" ht="13.5" thickBot="1">
      <c r="A263" s="223" t="s">
        <v>651</v>
      </c>
      <c r="B263" s="200">
        <f>SUMIF('2011'!$D$1:$I$1,$Q$1,'2011'!$D$505:$I$505)</f>
        <v>0</v>
      </c>
      <c r="C263" s="200"/>
      <c r="D263" s="200"/>
      <c r="E263" s="200"/>
      <c r="F263" s="200"/>
      <c r="G263" s="401" t="e">
        <f t="shared" si="6"/>
        <v>#DIV/0!</v>
      </c>
      <c r="H263" s="345">
        <f t="shared" si="7"/>
        <v>0</v>
      </c>
    </row>
    <row r="264" spans="1:8" ht="12.75">
      <c r="A264" s="220" t="s">
        <v>975</v>
      </c>
      <c r="B264" s="245">
        <f>SUMIF('2011'!$D$1:$I$1,$Q$1,'2011'!$D$509:$I$509)</f>
        <v>7665291.55</v>
      </c>
      <c r="C264" s="233"/>
      <c r="D264" s="233"/>
      <c r="E264" s="233"/>
      <c r="F264" s="233"/>
      <c r="G264" s="406">
        <f t="shared" si="6"/>
        <v>-1</v>
      </c>
      <c r="H264" s="363">
        <f t="shared" si="7"/>
        <v>7665291.55</v>
      </c>
    </row>
    <row r="265" spans="1:8" ht="12.75">
      <c r="A265" s="221" t="s">
        <v>660</v>
      </c>
      <c r="B265" s="198">
        <f>SUMIF('2011'!$D$1:$I$1,$Q$1,'2011'!$D$510:$I$510)</f>
        <v>0</v>
      </c>
      <c r="C265" s="198"/>
      <c r="D265" s="198"/>
      <c r="E265" s="198"/>
      <c r="F265" s="198"/>
      <c r="G265" s="400" t="e">
        <f t="shared" si="6"/>
        <v>#DIV/0!</v>
      </c>
      <c r="H265" s="343">
        <f t="shared" si="7"/>
        <v>0</v>
      </c>
    </row>
    <row r="266" spans="1:8" ht="12.75">
      <c r="A266" s="221" t="s">
        <v>674</v>
      </c>
      <c r="B266" s="198">
        <f>SUMIF('2011'!$D$1:$I$1,$Q$1,'2011'!$D$517:$I$517)</f>
        <v>7665291.55</v>
      </c>
      <c r="C266" s="198"/>
      <c r="D266" s="198"/>
      <c r="E266" s="198"/>
      <c r="F266" s="198"/>
      <c r="G266" s="400">
        <f t="shared" si="6"/>
        <v>-1</v>
      </c>
      <c r="H266" s="343">
        <f t="shared" si="7"/>
        <v>7665291.55</v>
      </c>
    </row>
    <row r="267" spans="1:8" ht="12.75">
      <c r="A267" s="221" t="s">
        <v>684</v>
      </c>
      <c r="B267" s="198">
        <f>SUMIF('2011'!$D$1:$I$1,$Q$1,'2011'!$D$522:$I$522)</f>
        <v>0</v>
      </c>
      <c r="C267" s="198"/>
      <c r="D267" s="198"/>
      <c r="E267" s="198"/>
      <c r="F267" s="198"/>
      <c r="G267" s="400" t="e">
        <f t="shared" si="6"/>
        <v>#DIV/0!</v>
      </c>
      <c r="H267" s="343">
        <f t="shared" si="7"/>
        <v>0</v>
      </c>
    </row>
    <row r="268" spans="1:8" ht="12.75">
      <c r="A268" s="221" t="s">
        <v>696</v>
      </c>
      <c r="B268" s="198">
        <f>SUMIF('2011'!$D$1:$I$1,$Q$1,'2011'!$D$527:$I$527)</f>
        <v>0</v>
      </c>
      <c r="C268" s="198"/>
      <c r="D268" s="198"/>
      <c r="E268" s="198"/>
      <c r="F268" s="198"/>
      <c r="G268" s="400" t="e">
        <f t="shared" si="6"/>
        <v>#DIV/0!</v>
      </c>
      <c r="H268" s="343">
        <f t="shared" si="7"/>
        <v>0</v>
      </c>
    </row>
    <row r="269" spans="1:8" ht="13.5" thickBot="1">
      <c r="A269" s="223" t="s">
        <v>698</v>
      </c>
      <c r="B269" s="200">
        <f>SUMIF('2011'!$D$1:$I$1,$Q$1,'2011'!$D$529:$I$529)</f>
        <v>0</v>
      </c>
      <c r="C269" s="200"/>
      <c r="D269" s="200"/>
      <c r="E269" s="200"/>
      <c r="F269" s="200"/>
      <c r="G269" s="401" t="e">
        <f t="shared" si="6"/>
        <v>#DIV/0!</v>
      </c>
      <c r="H269" s="345">
        <f t="shared" si="7"/>
        <v>0</v>
      </c>
    </row>
    <row r="270" spans="1:8" ht="12.75">
      <c r="A270" s="220" t="s">
        <v>980</v>
      </c>
      <c r="B270" s="245">
        <f>SUMIF('2011'!$D$1:$I$1,$Q$1,'2011'!$D$532:$I$532)</f>
        <v>5013374.16</v>
      </c>
      <c r="C270" s="233"/>
      <c r="D270" s="233"/>
      <c r="E270" s="233"/>
      <c r="F270" s="233"/>
      <c r="G270" s="406">
        <f t="shared" si="6"/>
        <v>-1</v>
      </c>
      <c r="H270" s="363">
        <f t="shared" si="7"/>
        <v>5013374.16</v>
      </c>
    </row>
    <row r="271" spans="1:8" ht="12.75">
      <c r="A271" s="221" t="s">
        <v>706</v>
      </c>
      <c r="B271" s="198">
        <f>SUMIF('2011'!$D$1:$I$1,$Q$1,'2011'!$D$533:$I$533)</f>
        <v>0</v>
      </c>
      <c r="C271" s="198"/>
      <c r="D271" s="198"/>
      <c r="E271" s="198"/>
      <c r="F271" s="198"/>
      <c r="G271" s="400" t="e">
        <f t="shared" si="6"/>
        <v>#DIV/0!</v>
      </c>
      <c r="H271" s="343">
        <f t="shared" si="7"/>
        <v>0</v>
      </c>
    </row>
    <row r="272" spans="1:8" ht="12.75">
      <c r="A272" s="221" t="s">
        <v>712</v>
      </c>
      <c r="B272" s="198">
        <f>SUMIF('2011'!$D$1:$I$1,$Q$1,'2011'!$D$536:$I$536)</f>
        <v>1404931.06</v>
      </c>
      <c r="C272" s="198"/>
      <c r="D272" s="198"/>
      <c r="E272" s="198"/>
      <c r="F272" s="198"/>
      <c r="G272" s="400">
        <f t="shared" si="6"/>
        <v>-1</v>
      </c>
      <c r="H272" s="343">
        <f t="shared" si="7"/>
        <v>1404931.06</v>
      </c>
    </row>
    <row r="273" spans="1:8" ht="12.75">
      <c r="A273" s="221" t="s">
        <v>719</v>
      </c>
      <c r="B273" s="198">
        <f>SUMIF('2011'!$D$1:$I$1,$Q$1,'2011'!$D$540:$I$540)</f>
        <v>-8301.800000000003</v>
      </c>
      <c r="C273" s="198"/>
      <c r="D273" s="198"/>
      <c r="E273" s="198"/>
      <c r="F273" s="198"/>
      <c r="G273" s="400">
        <f t="shared" si="6"/>
        <v>-1</v>
      </c>
      <c r="H273" s="343">
        <f t="shared" si="7"/>
        <v>-8301.800000000003</v>
      </c>
    </row>
    <row r="274" spans="1:8" ht="12.75">
      <c r="A274" s="221" t="s">
        <v>727</v>
      </c>
      <c r="B274" s="198">
        <f>SUMIF('2011'!$D$1:$I$1,$Q$1,'2011'!$D$545:$I$545)</f>
        <v>1925301.87</v>
      </c>
      <c r="C274" s="198"/>
      <c r="D274" s="198"/>
      <c r="E274" s="198"/>
      <c r="F274" s="198"/>
      <c r="G274" s="400">
        <f t="shared" si="6"/>
        <v>-1</v>
      </c>
      <c r="H274" s="343">
        <f t="shared" si="7"/>
        <v>1925301.87</v>
      </c>
    </row>
    <row r="275" spans="1:8" ht="12.75">
      <c r="A275" s="221" t="s">
        <v>732</v>
      </c>
      <c r="B275" s="198">
        <f>SUMIF('2011'!$D$1:$I$1,$Q$1,'2011'!$D$548:$I$548)</f>
        <v>463905.94999999995</v>
      </c>
      <c r="C275" s="198"/>
      <c r="D275" s="198"/>
      <c r="E275" s="198"/>
      <c r="F275" s="198"/>
      <c r="G275" s="400">
        <f t="shared" si="6"/>
        <v>-1</v>
      </c>
      <c r="H275" s="343">
        <f t="shared" si="7"/>
        <v>463905.94999999995</v>
      </c>
    </row>
    <row r="276" spans="1:8" ht="12.75">
      <c r="A276" s="221" t="s">
        <v>1013</v>
      </c>
      <c r="B276" s="198">
        <f>SUMIF('2011'!$D$1:$I$1,$Q$1,'2011'!$D$550:$I550)</f>
        <v>1217858.83</v>
      </c>
      <c r="C276" s="198"/>
      <c r="D276" s="198"/>
      <c r="E276" s="198"/>
      <c r="F276" s="198"/>
      <c r="G276" s="400">
        <f t="shared" si="6"/>
        <v>-1</v>
      </c>
      <c r="H276" s="343">
        <f t="shared" si="7"/>
        <v>1217858.83</v>
      </c>
    </row>
    <row r="277" spans="1:8" ht="12.75">
      <c r="A277" s="221" t="s">
        <v>740</v>
      </c>
      <c r="B277" s="198">
        <f>SUMIF('2011'!$D$1:$I$1,$Q$1,'2011'!$D$553:$I$553)</f>
        <v>0</v>
      </c>
      <c r="C277" s="198"/>
      <c r="D277" s="198"/>
      <c r="E277" s="198"/>
      <c r="F277" s="198"/>
      <c r="G277" s="400" t="e">
        <f t="shared" si="6"/>
        <v>#DIV/0!</v>
      </c>
      <c r="H277" s="343">
        <f t="shared" si="7"/>
        <v>0</v>
      </c>
    </row>
    <row r="278" spans="1:8" ht="12.75">
      <c r="A278" s="221" t="s">
        <v>748</v>
      </c>
      <c r="B278" s="198">
        <f>SUMIF('2011'!$D$1:$I$1,$Q$1,'2011'!$D$557:$I$557)</f>
        <v>0</v>
      </c>
      <c r="C278" s="198"/>
      <c r="D278" s="198"/>
      <c r="E278" s="198"/>
      <c r="F278" s="198"/>
      <c r="G278" s="400" t="e">
        <f t="shared" si="6"/>
        <v>#DIV/0!</v>
      </c>
      <c r="H278" s="343">
        <f t="shared" si="7"/>
        <v>0</v>
      </c>
    </row>
    <row r="279" spans="1:8" ht="13.5" thickBot="1">
      <c r="A279" s="223" t="s">
        <v>754</v>
      </c>
      <c r="B279" s="200">
        <f>SUMIF('2011'!$D$1:$I$1,$Q$1,'2011'!$D$560:$I$560)</f>
        <v>9678.25</v>
      </c>
      <c r="C279" s="200"/>
      <c r="D279" s="200"/>
      <c r="E279" s="200"/>
      <c r="F279" s="200"/>
      <c r="G279" s="401">
        <f aca="true" t="shared" si="8" ref="G279:G342">(C279-B279)/B279</f>
        <v>-1</v>
      </c>
      <c r="H279" s="345">
        <f aca="true" t="shared" si="9" ref="H279:H342">AVERAGE(B279:F279)</f>
        <v>9678.25</v>
      </c>
    </row>
    <row r="280" spans="1:8" ht="12.75">
      <c r="A280" s="220" t="s">
        <v>976</v>
      </c>
      <c r="B280" s="245">
        <f>SUMIF('2011'!$D$1:$I$1,$Q$1,'2011'!$D$563:$I$563)</f>
        <v>3630402.4500000007</v>
      </c>
      <c r="C280" s="233"/>
      <c r="D280" s="233"/>
      <c r="E280" s="233"/>
      <c r="F280" s="233"/>
      <c r="G280" s="406">
        <f t="shared" si="8"/>
        <v>-1</v>
      </c>
      <c r="H280" s="363">
        <f t="shared" si="9"/>
        <v>3630402.4500000007</v>
      </c>
    </row>
    <row r="281" spans="1:8" ht="12.75">
      <c r="A281" s="221" t="s">
        <v>762</v>
      </c>
      <c r="B281" s="198">
        <f>SUMIF('2011'!$D$1:$I$1,$Q$1,'2011'!$D$564:$I$564)</f>
        <v>2306388.5500000007</v>
      </c>
      <c r="C281" s="198"/>
      <c r="D281" s="198"/>
      <c r="E281" s="198"/>
      <c r="F281" s="198"/>
      <c r="G281" s="400">
        <f t="shared" si="8"/>
        <v>-1</v>
      </c>
      <c r="H281" s="343">
        <f t="shared" si="9"/>
        <v>2306388.5500000007</v>
      </c>
    </row>
    <row r="282" spans="1:8" ht="12.75">
      <c r="A282" s="221" t="s">
        <v>782</v>
      </c>
      <c r="B282" s="198">
        <f>SUMIF('2011'!$D$1:$I$1,$Q$1,'2011'!$D$574:$I$574)</f>
        <v>1897458.9100000001</v>
      </c>
      <c r="C282" s="198"/>
      <c r="D282" s="198"/>
      <c r="E282" s="198"/>
      <c r="F282" s="198"/>
      <c r="G282" s="400">
        <f t="shared" si="8"/>
        <v>-1</v>
      </c>
      <c r="H282" s="343">
        <f t="shared" si="9"/>
        <v>1897458.9100000001</v>
      </c>
    </row>
    <row r="283" spans="1:8" ht="12.75">
      <c r="A283" s="221" t="s">
        <v>785</v>
      </c>
      <c r="B283" s="198">
        <f>SUMIF('2011'!$D$1:$I$1,$Q$1,'2011'!$D$576:$I$576)</f>
        <v>199372.54999999993</v>
      </c>
      <c r="C283" s="198"/>
      <c r="D283" s="198"/>
      <c r="E283" s="198"/>
      <c r="F283" s="198"/>
      <c r="G283" s="400">
        <f t="shared" si="8"/>
        <v>-1</v>
      </c>
      <c r="H283" s="343">
        <f t="shared" si="9"/>
        <v>199372.54999999993</v>
      </c>
    </row>
    <row r="284" spans="1:8" ht="12.75">
      <c r="A284" s="221" t="s">
        <v>788</v>
      </c>
      <c r="B284" s="198">
        <f>SUMIF('2011'!$D$1:$I$1,$Q$1,'2011'!$D$578:$I$578)</f>
        <v>500000</v>
      </c>
      <c r="C284" s="198"/>
      <c r="D284" s="198"/>
      <c r="E284" s="198"/>
      <c r="F284" s="198"/>
      <c r="G284" s="400">
        <f t="shared" si="8"/>
        <v>-1</v>
      </c>
      <c r="H284" s="343">
        <f t="shared" si="9"/>
        <v>500000</v>
      </c>
    </row>
    <row r="285" spans="1:8" ht="12.75">
      <c r="A285" s="221" t="s">
        <v>790</v>
      </c>
      <c r="B285" s="198">
        <f>SUMIF('2011'!$D$1:$I$1,$Q$1,'2011'!$D$580:$I$580)</f>
        <v>1025190.2399999999</v>
      </c>
      <c r="C285" s="198"/>
      <c r="D285" s="198"/>
      <c r="E285" s="198"/>
      <c r="F285" s="198"/>
      <c r="G285" s="400">
        <f t="shared" si="8"/>
        <v>-1</v>
      </c>
      <c r="H285" s="343">
        <f t="shared" si="9"/>
        <v>1025190.2399999999</v>
      </c>
    </row>
    <row r="286" spans="1:8" ht="12.75">
      <c r="A286" s="221" t="s">
        <v>794</v>
      </c>
      <c r="B286" s="198">
        <f>SUMIF('2011'!$D$1:$I$1,$Q$1,'2011'!$D$582:$I$582)</f>
        <v>-1914000</v>
      </c>
      <c r="C286" s="198"/>
      <c r="D286" s="198"/>
      <c r="E286" s="198"/>
      <c r="F286" s="198"/>
      <c r="G286" s="400">
        <f t="shared" si="8"/>
        <v>-1</v>
      </c>
      <c r="H286" s="343">
        <f t="shared" si="9"/>
        <v>-1914000</v>
      </c>
    </row>
    <row r="287" spans="1:8" ht="12.75">
      <c r="A287" s="221" t="s">
        <v>797</v>
      </c>
      <c r="B287" s="198">
        <f>SUMIF('2011'!$D$1:$I$1,$Q$1,'2011'!$D$584:$I$584)</f>
        <v>-124007.80000000016</v>
      </c>
      <c r="C287" s="198"/>
      <c r="D287" s="198"/>
      <c r="E287" s="198"/>
      <c r="F287" s="198"/>
      <c r="G287" s="400">
        <f t="shared" si="8"/>
        <v>-1</v>
      </c>
      <c r="H287" s="343">
        <f t="shared" si="9"/>
        <v>-124007.80000000016</v>
      </c>
    </row>
    <row r="288" spans="1:8" ht="12.75">
      <c r="A288" s="221" t="s">
        <v>816</v>
      </c>
      <c r="B288" s="198">
        <f>SUMIF('2011'!$D$1:$I$1,$Q$1,'2011'!$D$593:$I$593)</f>
        <v>0</v>
      </c>
      <c r="C288" s="198"/>
      <c r="D288" s="198"/>
      <c r="E288" s="198"/>
      <c r="F288" s="198"/>
      <c r="G288" s="400" t="e">
        <f t="shared" si="8"/>
        <v>#DIV/0!</v>
      </c>
      <c r="H288" s="343">
        <f t="shared" si="9"/>
        <v>0</v>
      </c>
    </row>
    <row r="289" spans="1:8" ht="13.5" thickBot="1">
      <c r="A289" s="223" t="s">
        <v>826</v>
      </c>
      <c r="B289" s="200">
        <f>SUMIF('2011'!$D$1:$I$1,$Q$1,'2011'!$D$598:$I598)</f>
        <v>-260000</v>
      </c>
      <c r="C289" s="200"/>
      <c r="D289" s="200"/>
      <c r="E289" s="200"/>
      <c r="F289" s="200"/>
      <c r="G289" s="401">
        <f t="shared" si="8"/>
        <v>-1</v>
      </c>
      <c r="H289" s="345">
        <f t="shared" si="9"/>
        <v>-260000</v>
      </c>
    </row>
    <row r="290" spans="1:8" ht="12.75">
      <c r="A290" s="220" t="s">
        <v>977</v>
      </c>
      <c r="B290" s="245">
        <f>SUMIF('2011'!$D$1:$I$1,$Q$1,'2011'!$D$600:$I$600)</f>
        <v>-189635078.34</v>
      </c>
      <c r="C290" s="233"/>
      <c r="D290" s="233"/>
      <c r="E290" s="233"/>
      <c r="F290" s="233"/>
      <c r="G290" s="406">
        <f t="shared" si="8"/>
        <v>-1</v>
      </c>
      <c r="H290" s="363">
        <f t="shared" si="9"/>
        <v>-189635078.34</v>
      </c>
    </row>
    <row r="291" spans="1:8" ht="12.75">
      <c r="A291" s="221" t="s">
        <v>831</v>
      </c>
      <c r="B291" s="198">
        <f>SUMIF('2011'!$D$1:$I$1,$Q$1,'2011'!$D$601:$I$601)</f>
        <v>-89233690.03999999</v>
      </c>
      <c r="C291" s="198"/>
      <c r="D291" s="198"/>
      <c r="E291" s="198"/>
      <c r="F291" s="198"/>
      <c r="G291" s="400">
        <f t="shared" si="8"/>
        <v>-1</v>
      </c>
      <c r="H291" s="343">
        <f t="shared" si="9"/>
        <v>-89233690.03999999</v>
      </c>
    </row>
    <row r="292" spans="1:8" ht="12.75">
      <c r="A292" s="221" t="s">
        <v>837</v>
      </c>
      <c r="B292" s="198">
        <f>SUMIF('2011'!$D$1:$I$1,$Q$1,'2011'!$D$604:$I$604)</f>
        <v>0</v>
      </c>
      <c r="C292" s="198"/>
      <c r="D292" s="198"/>
      <c r="E292" s="198"/>
      <c r="F292" s="198"/>
      <c r="G292" s="400" t="e">
        <f t="shared" si="8"/>
        <v>#DIV/0!</v>
      </c>
      <c r="H292" s="343">
        <f t="shared" si="9"/>
        <v>0</v>
      </c>
    </row>
    <row r="293" spans="1:8" ht="12.75">
      <c r="A293" s="221" t="s">
        <v>81</v>
      </c>
      <c r="B293" s="198">
        <f>SUMIF('2011'!$D$1:$I$1,$Q$1,'2011'!$D$606:$I$606)</f>
        <v>-68578299</v>
      </c>
      <c r="C293" s="198"/>
      <c r="D293" s="198"/>
      <c r="E293" s="198"/>
      <c r="F293" s="198"/>
      <c r="G293" s="400">
        <f t="shared" si="8"/>
        <v>-1</v>
      </c>
      <c r="H293" s="343">
        <f t="shared" si="9"/>
        <v>-68578299</v>
      </c>
    </row>
    <row r="294" spans="1:8" ht="12.75">
      <c r="A294" s="221" t="s">
        <v>842</v>
      </c>
      <c r="B294" s="198">
        <f>SUMIF('2011'!$D$1:$I$1,$Q$1,'2011'!$D$608:$I$608)</f>
        <v>-18608008.65</v>
      </c>
      <c r="C294" s="198"/>
      <c r="D294" s="198"/>
      <c r="E294" s="198"/>
      <c r="F294" s="198"/>
      <c r="G294" s="400">
        <f t="shared" si="8"/>
        <v>-1</v>
      </c>
      <c r="H294" s="343">
        <f t="shared" si="9"/>
        <v>-18608008.65</v>
      </c>
    </row>
    <row r="295" spans="1:8" ht="12.75">
      <c r="A295" s="221" t="s">
        <v>845</v>
      </c>
      <c r="B295" s="198">
        <f>SUMIF('2011'!$D$1:$I$1,$Q$1,'2011'!$D$610:$I$610)</f>
        <v>-5240840.8</v>
      </c>
      <c r="C295" s="198"/>
      <c r="D295" s="198"/>
      <c r="E295" s="198"/>
      <c r="F295" s="198"/>
      <c r="G295" s="400">
        <f t="shared" si="8"/>
        <v>-1</v>
      </c>
      <c r="H295" s="343">
        <f t="shared" si="9"/>
        <v>-5240840.8</v>
      </c>
    </row>
    <row r="296" spans="1:8" ht="12.75">
      <c r="A296" s="221" t="s">
        <v>1014</v>
      </c>
      <c r="B296" s="198">
        <f>SUMIF('2011'!$D$1:$I$1,$Q$1,'2011'!$D$612:$I$612)</f>
        <v>-7379434.249999999</v>
      </c>
      <c r="C296" s="198"/>
      <c r="D296" s="198"/>
      <c r="E296" s="198"/>
      <c r="F296" s="198"/>
      <c r="G296" s="400">
        <f t="shared" si="8"/>
        <v>-1</v>
      </c>
      <c r="H296" s="343">
        <f t="shared" si="9"/>
        <v>-7379434.249999999</v>
      </c>
    </row>
    <row r="297" spans="1:8" ht="12.75">
      <c r="A297" s="221" t="s">
        <v>857</v>
      </c>
      <c r="B297" s="198">
        <f>SUMIF('2011'!$D$1:$I$1,$Q$1,'2011'!$D$617:$I$617)</f>
        <v>-30244.850000000002</v>
      </c>
      <c r="C297" s="198"/>
      <c r="D297" s="198"/>
      <c r="E297" s="198"/>
      <c r="F297" s="198"/>
      <c r="G297" s="400">
        <f t="shared" si="8"/>
        <v>-1</v>
      </c>
      <c r="H297" s="343">
        <f t="shared" si="9"/>
        <v>-30244.850000000002</v>
      </c>
    </row>
    <row r="298" spans="1:8" ht="13.5" thickBot="1">
      <c r="A298" s="223" t="s">
        <v>860</v>
      </c>
      <c r="B298" s="200">
        <f>SUMIF('2011'!$D$1:$I$1,$Q$1,'2011'!$D$619:$I$619)</f>
        <v>-564560.75</v>
      </c>
      <c r="C298" s="200"/>
      <c r="D298" s="200"/>
      <c r="E298" s="200"/>
      <c r="F298" s="200"/>
      <c r="G298" s="401">
        <f t="shared" si="8"/>
        <v>-1</v>
      </c>
      <c r="H298" s="345">
        <f t="shared" si="9"/>
        <v>-564560.75</v>
      </c>
    </row>
    <row r="299" spans="1:8" ht="12.75">
      <c r="A299" s="232"/>
      <c r="B299" s="233"/>
      <c r="C299" s="233"/>
      <c r="D299" s="233"/>
      <c r="E299" s="233"/>
      <c r="F299" s="233"/>
      <c r="G299" s="410"/>
      <c r="H299" s="377"/>
    </row>
    <row r="300" spans="1:8" ht="12.75">
      <c r="A300" s="243" t="s">
        <v>1031</v>
      </c>
      <c r="B300" s="204">
        <f>SUMIF('2011'!$D$1:$I$1,$Q$1,'2011'!$D$624:$I$624)</f>
        <v>-8102281.090000033</v>
      </c>
      <c r="C300" s="198"/>
      <c r="D300" s="198"/>
      <c r="E300" s="198"/>
      <c r="F300" s="198"/>
      <c r="G300" s="407">
        <f t="shared" si="8"/>
        <v>-1</v>
      </c>
      <c r="H300" s="367">
        <f t="shared" si="9"/>
        <v>-8102281.090000033</v>
      </c>
    </row>
    <row r="301" spans="1:8" ht="13.5" thickBot="1">
      <c r="A301" s="223"/>
      <c r="B301" s="200"/>
      <c r="C301" s="200"/>
      <c r="D301" s="200"/>
      <c r="E301" s="200"/>
      <c r="F301" s="200"/>
      <c r="G301" s="401"/>
      <c r="H301" s="345"/>
    </row>
    <row r="302" spans="1:8" ht="13.5" thickBot="1">
      <c r="A302" s="192"/>
      <c r="B302" s="193"/>
      <c r="C302" s="193"/>
      <c r="D302" s="193"/>
      <c r="E302" s="193"/>
      <c r="F302" s="193"/>
      <c r="G302" s="194"/>
      <c r="H302" s="193"/>
    </row>
    <row r="303" spans="1:8" ht="15.75" thickBot="1">
      <c r="A303" s="329" t="s">
        <v>984</v>
      </c>
      <c r="B303" s="330"/>
      <c r="C303" s="330"/>
      <c r="D303" s="330"/>
      <c r="E303" s="331"/>
      <c r="F303" s="331"/>
      <c r="G303" s="336"/>
      <c r="H303" s="397"/>
    </row>
    <row r="304" spans="1:8" ht="12.75">
      <c r="A304" s="220" t="s">
        <v>971</v>
      </c>
      <c r="B304" s="245">
        <f>SUMIF('2011'!$D$1:$I$1,$Q$1,'2011'!$D$628:$I$628)</f>
        <v>1826336</v>
      </c>
      <c r="C304" s="233"/>
      <c r="D304" s="233"/>
      <c r="E304" s="233"/>
      <c r="F304" s="233"/>
      <c r="G304" s="406">
        <f t="shared" si="8"/>
        <v>-1</v>
      </c>
      <c r="H304" s="363">
        <f t="shared" si="9"/>
        <v>1826336</v>
      </c>
    </row>
    <row r="305" spans="1:8" ht="12.75">
      <c r="A305" s="221" t="s">
        <v>391</v>
      </c>
      <c r="B305" s="198">
        <f>SUMIF('2011'!$D$1:$I$1,$Q$1,'2011'!$D$629:$I$629)</f>
        <v>0</v>
      </c>
      <c r="C305" s="198"/>
      <c r="D305" s="198"/>
      <c r="E305" s="198"/>
      <c r="F305" s="198"/>
      <c r="G305" s="400" t="e">
        <f t="shared" si="8"/>
        <v>#DIV/0!</v>
      </c>
      <c r="H305" s="343">
        <f t="shared" si="9"/>
        <v>0</v>
      </c>
    </row>
    <row r="306" spans="1:8" ht="12.75">
      <c r="A306" s="221" t="s">
        <v>393</v>
      </c>
      <c r="B306" s="198">
        <f>SUMIF('2011'!$D$1:$I$1,$Q$1,'2011'!$D$632:$I$632)</f>
        <v>1826336</v>
      </c>
      <c r="C306" s="198"/>
      <c r="D306" s="198"/>
      <c r="E306" s="198"/>
      <c r="F306" s="198"/>
      <c r="G306" s="400">
        <f t="shared" si="8"/>
        <v>-1</v>
      </c>
      <c r="H306" s="343">
        <f t="shared" si="9"/>
        <v>1826336</v>
      </c>
    </row>
    <row r="307" spans="1:8" ht="13.5" thickBot="1">
      <c r="A307" s="223" t="s">
        <v>396</v>
      </c>
      <c r="B307" s="200">
        <f>SUMIF('2011'!$D$1:$I$1,$Q$1,'2011'!$D$643:$I$643)</f>
        <v>0</v>
      </c>
      <c r="C307" s="200"/>
      <c r="D307" s="200"/>
      <c r="E307" s="200"/>
      <c r="F307" s="200"/>
      <c r="G307" s="401" t="e">
        <f t="shared" si="8"/>
        <v>#DIV/0!</v>
      </c>
      <c r="H307" s="345">
        <f t="shared" si="9"/>
        <v>0</v>
      </c>
    </row>
    <row r="308" spans="1:8" ht="12.75">
      <c r="A308" s="220" t="s">
        <v>1009</v>
      </c>
      <c r="B308" s="245">
        <f>SUMIF('2011'!$D$1:$I$1,$Q$1,'2011'!$D$645:$I$645)</f>
        <v>752621</v>
      </c>
      <c r="C308" s="233"/>
      <c r="D308" s="233"/>
      <c r="E308" s="233"/>
      <c r="F308" s="233"/>
      <c r="G308" s="406">
        <f t="shared" si="8"/>
        <v>-1</v>
      </c>
      <c r="H308" s="363">
        <f t="shared" si="9"/>
        <v>752621</v>
      </c>
    </row>
    <row r="309" spans="1:8" ht="12.75">
      <c r="A309" s="221" t="s">
        <v>398</v>
      </c>
      <c r="B309" s="198">
        <f>SUMIF('2011'!$D$1:$I$1,$Q$1,'2011'!$D$646:$I$646)</f>
        <v>0</v>
      </c>
      <c r="C309" s="198"/>
      <c r="D309" s="198"/>
      <c r="E309" s="198"/>
      <c r="F309" s="198"/>
      <c r="G309" s="400" t="e">
        <f t="shared" si="8"/>
        <v>#DIV/0!</v>
      </c>
      <c r="H309" s="343">
        <f t="shared" si="9"/>
        <v>0</v>
      </c>
    </row>
    <row r="310" spans="1:8" ht="12.75">
      <c r="A310" s="221" t="s">
        <v>400</v>
      </c>
      <c r="B310" s="198">
        <f>SUMIF('2011'!$D$1:$I$1,$Q$1,'2011'!$D$650:$I$650)</f>
        <v>500416</v>
      </c>
      <c r="C310" s="198"/>
      <c r="D310" s="198"/>
      <c r="E310" s="198"/>
      <c r="F310" s="198"/>
      <c r="G310" s="400">
        <f t="shared" si="8"/>
        <v>-1</v>
      </c>
      <c r="H310" s="343">
        <f t="shared" si="9"/>
        <v>500416</v>
      </c>
    </row>
    <row r="311" spans="1:8" ht="12.75">
      <c r="A311" s="221" t="s">
        <v>402</v>
      </c>
      <c r="B311" s="198">
        <f>SUMIF('2011'!$D$1:$I$1,$Q$1,'2011'!$D$652:$I$652)</f>
        <v>0</v>
      </c>
      <c r="C311" s="198"/>
      <c r="D311" s="198"/>
      <c r="E311" s="198"/>
      <c r="F311" s="198"/>
      <c r="G311" s="400" t="e">
        <f t="shared" si="8"/>
        <v>#DIV/0!</v>
      </c>
      <c r="H311" s="343">
        <f t="shared" si="9"/>
        <v>0</v>
      </c>
    </row>
    <row r="312" spans="1:8" ht="12.75">
      <c r="A312" s="221" t="s">
        <v>440</v>
      </c>
      <c r="B312" s="198">
        <f>SUMIF('2011'!$D$1:$I$1,$Q$1,'2011'!$D$654:$I$654)</f>
        <v>252205</v>
      </c>
      <c r="C312" s="198"/>
      <c r="D312" s="198"/>
      <c r="E312" s="198"/>
      <c r="F312" s="198"/>
      <c r="G312" s="400">
        <f t="shared" si="8"/>
        <v>-1</v>
      </c>
      <c r="H312" s="343">
        <f t="shared" si="9"/>
        <v>252205</v>
      </c>
    </row>
    <row r="313" spans="1:8" ht="12.75">
      <c r="A313" s="221" t="s">
        <v>445</v>
      </c>
      <c r="B313" s="198">
        <f>SUMIF('2011'!$D$1:$I$1,$Q$1,'2011'!$D$658:$I$658)</f>
        <v>0</v>
      </c>
      <c r="C313" s="198"/>
      <c r="D313" s="198"/>
      <c r="E313" s="198"/>
      <c r="F313" s="198"/>
      <c r="G313" s="400" t="e">
        <f t="shared" si="8"/>
        <v>#DIV/0!</v>
      </c>
      <c r="H313" s="343">
        <f t="shared" si="9"/>
        <v>0</v>
      </c>
    </row>
    <row r="314" spans="1:8" ht="12.75">
      <c r="A314" s="221" t="s">
        <v>452</v>
      </c>
      <c r="B314" s="198">
        <f>SUMIF('2011'!$D$1:$I$1,$Q$1,'2011'!$D$662:$I$662)</f>
        <v>0</v>
      </c>
      <c r="C314" s="198"/>
      <c r="D314" s="198"/>
      <c r="E314" s="198"/>
      <c r="F314" s="198"/>
      <c r="G314" s="400" t="e">
        <f t="shared" si="8"/>
        <v>#DIV/0!</v>
      </c>
      <c r="H314" s="343">
        <f t="shared" si="9"/>
        <v>0</v>
      </c>
    </row>
    <row r="315" spans="1:8" ht="13.5" thickBot="1">
      <c r="A315" s="223" t="s">
        <v>1010</v>
      </c>
      <c r="B315" s="200">
        <f>SUMIF('2011'!$D$1:$I$1,$Q$1,'2011'!$D$668:$I$668)</f>
        <v>0</v>
      </c>
      <c r="C315" s="200"/>
      <c r="D315" s="200"/>
      <c r="E315" s="200"/>
      <c r="F315" s="200"/>
      <c r="G315" s="401" t="e">
        <f t="shared" si="8"/>
        <v>#DIV/0!</v>
      </c>
      <c r="H315" s="345">
        <f t="shared" si="9"/>
        <v>0</v>
      </c>
    </row>
    <row r="316" spans="1:8" ht="12.75">
      <c r="A316" s="220" t="s">
        <v>972</v>
      </c>
      <c r="B316" s="245">
        <f>SUMIF('2011'!$D$1:$I$1,$Q$1,'2011'!$D$671:$I$671)</f>
        <v>1709314</v>
      </c>
      <c r="C316" s="233"/>
      <c r="D316" s="233"/>
      <c r="E316" s="233"/>
      <c r="F316" s="233"/>
      <c r="G316" s="406">
        <f t="shared" si="8"/>
        <v>-1</v>
      </c>
      <c r="H316" s="363">
        <f t="shared" si="9"/>
        <v>1709314</v>
      </c>
    </row>
    <row r="317" spans="1:8" ht="12.75">
      <c r="A317" s="221" t="s">
        <v>471</v>
      </c>
      <c r="B317" s="198">
        <f>SUMIF('2011'!$D$1:$I$1,$Q$1,'2011'!$D$672:$I$672)</f>
        <v>0</v>
      </c>
      <c r="C317" s="198"/>
      <c r="D317" s="198"/>
      <c r="E317" s="198"/>
      <c r="F317" s="198"/>
      <c r="G317" s="400" t="e">
        <f t="shared" si="8"/>
        <v>#DIV/0!</v>
      </c>
      <c r="H317" s="343">
        <f t="shared" si="9"/>
        <v>0</v>
      </c>
    </row>
    <row r="318" spans="1:8" ht="12.75">
      <c r="A318" s="221" t="s">
        <v>490</v>
      </c>
      <c r="B318" s="198">
        <f>SUMIF('2011'!$D$1:$I$1,$Q$1,'2011'!$D$682:$I$682)</f>
        <v>0</v>
      </c>
      <c r="C318" s="198"/>
      <c r="D318" s="198"/>
      <c r="E318" s="198"/>
      <c r="F318" s="198"/>
      <c r="G318" s="400" t="e">
        <f t="shared" si="8"/>
        <v>#DIV/0!</v>
      </c>
      <c r="H318" s="343">
        <f t="shared" si="9"/>
        <v>0</v>
      </c>
    </row>
    <row r="319" spans="1:8" ht="12.75">
      <c r="A319" s="221" t="s">
        <v>492</v>
      </c>
      <c r="B319" s="198">
        <f>SUMIF('2011'!$D$1:$I$1,$Q$1,'2011'!$D$684:$I$684)</f>
        <v>1108593</v>
      </c>
      <c r="C319" s="198"/>
      <c r="D319" s="198"/>
      <c r="E319" s="198"/>
      <c r="F319" s="198"/>
      <c r="G319" s="400">
        <f t="shared" si="8"/>
        <v>-1</v>
      </c>
      <c r="H319" s="343">
        <f t="shared" si="9"/>
        <v>1108593</v>
      </c>
    </row>
    <row r="320" spans="1:8" ht="12.75">
      <c r="A320" s="221" t="s">
        <v>495</v>
      </c>
      <c r="B320" s="198">
        <f>SUMIF('2011'!$D$1:$I$1,$Q$1,'2011'!$D$686:$I$686)</f>
        <v>600721</v>
      </c>
      <c r="C320" s="198"/>
      <c r="D320" s="198"/>
      <c r="E320" s="198"/>
      <c r="F320" s="198"/>
      <c r="G320" s="400">
        <f t="shared" si="8"/>
        <v>-1</v>
      </c>
      <c r="H320" s="343">
        <f t="shared" si="9"/>
        <v>600721</v>
      </c>
    </row>
    <row r="321" spans="1:8" ht="12.75">
      <c r="A321" s="221" t="s">
        <v>504</v>
      </c>
      <c r="B321" s="198">
        <f>SUMIF('2011'!$D$1:$I$1,$Q$1,'2011'!$D$689:$I$689)</f>
        <v>0</v>
      </c>
      <c r="C321" s="198"/>
      <c r="D321" s="198"/>
      <c r="E321" s="198"/>
      <c r="F321" s="198"/>
      <c r="G321" s="400" t="e">
        <f t="shared" si="8"/>
        <v>#DIV/0!</v>
      </c>
      <c r="H321" s="343">
        <f t="shared" si="9"/>
        <v>0</v>
      </c>
    </row>
    <row r="322" spans="1:8" ht="12.75">
      <c r="A322" s="221" t="s">
        <v>513</v>
      </c>
      <c r="B322" s="198">
        <f>SUMIF('2011'!$D$1:$I$1,$Q$1,'2011'!$D$695:$I$695)</f>
        <v>0</v>
      </c>
      <c r="C322" s="198"/>
      <c r="D322" s="198"/>
      <c r="E322" s="198"/>
      <c r="F322" s="198"/>
      <c r="G322" s="400" t="e">
        <f t="shared" si="8"/>
        <v>#DIV/0!</v>
      </c>
      <c r="H322" s="343">
        <f t="shared" si="9"/>
        <v>0</v>
      </c>
    </row>
    <row r="323" spans="1:8" ht="13.5" thickBot="1">
      <c r="A323" s="223" t="s">
        <v>518</v>
      </c>
      <c r="B323" s="200">
        <f>SUMIF('2011'!$D$1:$I$1,$Q$1,'2011'!$D$698:$I$698)</f>
        <v>0</v>
      </c>
      <c r="C323" s="200"/>
      <c r="D323" s="200"/>
      <c r="E323" s="200"/>
      <c r="F323" s="200"/>
      <c r="G323" s="401" t="e">
        <f t="shared" si="8"/>
        <v>#DIV/0!</v>
      </c>
      <c r="H323" s="345">
        <f t="shared" si="9"/>
        <v>0</v>
      </c>
    </row>
    <row r="324" spans="1:8" ht="12.75">
      <c r="A324" s="220" t="s">
        <v>973</v>
      </c>
      <c r="B324" s="245">
        <f>SUMIF('2011'!$D$1:$I$1,$Q$1,'2011'!$D$701:$I$701)</f>
        <v>0</v>
      </c>
      <c r="C324" s="233"/>
      <c r="D324" s="233"/>
      <c r="E324" s="233"/>
      <c r="F324" s="233"/>
      <c r="G324" s="406" t="e">
        <f t="shared" si="8"/>
        <v>#DIV/0!</v>
      </c>
      <c r="H324" s="363">
        <f t="shared" si="9"/>
        <v>0</v>
      </c>
    </row>
    <row r="325" spans="1:8" ht="12.75">
      <c r="A325" s="221" t="s">
        <v>524</v>
      </c>
      <c r="B325" s="198">
        <f>SUMIF('2011'!$D$1:$I$1,$Q$1,'2011'!$D$702:$I$702)</f>
        <v>0</v>
      </c>
      <c r="C325" s="198"/>
      <c r="D325" s="198"/>
      <c r="E325" s="198"/>
      <c r="F325" s="198"/>
      <c r="G325" s="400" t="e">
        <f t="shared" si="8"/>
        <v>#DIV/0!</v>
      </c>
      <c r="H325" s="343">
        <f t="shared" si="9"/>
        <v>0</v>
      </c>
    </row>
    <row r="326" spans="1:8" ht="12.75">
      <c r="A326" s="221" t="s">
        <v>530</v>
      </c>
      <c r="B326" s="198">
        <f>SUMIF('2011'!$D$1:$I$1,$Q$1,'2011'!$D$705:$I$705)</f>
        <v>0</v>
      </c>
      <c r="C326" s="198"/>
      <c r="D326" s="198"/>
      <c r="E326" s="198"/>
      <c r="F326" s="198"/>
      <c r="G326" s="400" t="e">
        <f t="shared" si="8"/>
        <v>#DIV/0!</v>
      </c>
      <c r="H326" s="343">
        <f t="shared" si="9"/>
        <v>0</v>
      </c>
    </row>
    <row r="327" spans="1:8" ht="12.75">
      <c r="A327" s="221" t="s">
        <v>537</v>
      </c>
      <c r="B327" s="198">
        <f>SUMIF('2011'!$D$1:$I$1,$Q$1,'2011'!$D$709:$I$709)</f>
        <v>0</v>
      </c>
      <c r="C327" s="198"/>
      <c r="D327" s="198"/>
      <c r="E327" s="198"/>
      <c r="F327" s="198"/>
      <c r="G327" s="400" t="e">
        <f t="shared" si="8"/>
        <v>#DIV/0!</v>
      </c>
      <c r="H327" s="343">
        <f t="shared" si="9"/>
        <v>0</v>
      </c>
    </row>
    <row r="328" spans="1:8" ht="12.75">
      <c r="A328" s="221" t="s">
        <v>544</v>
      </c>
      <c r="B328" s="198">
        <f>SUMIF('2011'!$D$1:$I$1,$Q$1,'2011'!$D$713:$I$713)</f>
        <v>0</v>
      </c>
      <c r="C328" s="198"/>
      <c r="D328" s="198"/>
      <c r="E328" s="198"/>
      <c r="F328" s="198"/>
      <c r="G328" s="400" t="e">
        <f t="shared" si="8"/>
        <v>#DIV/0!</v>
      </c>
      <c r="H328" s="343">
        <f t="shared" si="9"/>
        <v>0</v>
      </c>
    </row>
    <row r="329" spans="1:8" ht="12.75">
      <c r="A329" s="221" t="s">
        <v>1011</v>
      </c>
      <c r="B329" s="198">
        <f>SUMIF('2011'!$D$1:$I$1,$Q$1,'2011'!$D$716:$I$716)</f>
        <v>0</v>
      </c>
      <c r="C329" s="198"/>
      <c r="D329" s="198"/>
      <c r="E329" s="198"/>
      <c r="F329" s="198"/>
      <c r="G329" s="400" t="e">
        <f t="shared" si="8"/>
        <v>#DIV/0!</v>
      </c>
      <c r="H329" s="343">
        <f t="shared" si="9"/>
        <v>0</v>
      </c>
    </row>
    <row r="330" spans="1:8" ht="13.5" thickBot="1">
      <c r="A330" s="223" t="s">
        <v>1012</v>
      </c>
      <c r="B330" s="200">
        <f>SUMIF('2011'!$D$1:$I$1,$Q$1,'2011'!$D$718:$I$718)</f>
        <v>0</v>
      </c>
      <c r="C330" s="200"/>
      <c r="D330" s="200"/>
      <c r="E330" s="200"/>
      <c r="F330" s="200"/>
      <c r="G330" s="401" t="e">
        <f t="shared" si="8"/>
        <v>#DIV/0!</v>
      </c>
      <c r="H330" s="345">
        <f t="shared" si="9"/>
        <v>0</v>
      </c>
    </row>
    <row r="331" spans="1:8" ht="12.75">
      <c r="A331" s="220" t="s">
        <v>974</v>
      </c>
      <c r="B331" s="245">
        <f>SUMIF('2011'!$D$1:$I$1,$Q$1,'2011'!$D$721:$I$721)</f>
        <v>3917736</v>
      </c>
      <c r="C331" s="233"/>
      <c r="D331" s="233"/>
      <c r="E331" s="233"/>
      <c r="F331" s="233"/>
      <c r="G331" s="406">
        <f t="shared" si="8"/>
        <v>-1</v>
      </c>
      <c r="H331" s="363">
        <f t="shared" si="9"/>
        <v>3917736</v>
      </c>
    </row>
    <row r="332" spans="1:8" ht="12.75">
      <c r="A332" s="221" t="s">
        <v>557</v>
      </c>
      <c r="B332" s="198">
        <f>SUMIF('2011'!$D$1:$I$1,$Q$1,'2011'!$D$722:$I$722)</f>
        <v>3917736</v>
      </c>
      <c r="C332" s="198"/>
      <c r="D332" s="198"/>
      <c r="E332" s="198"/>
      <c r="F332" s="198"/>
      <c r="G332" s="400">
        <f t="shared" si="8"/>
        <v>-1</v>
      </c>
      <c r="H332" s="343">
        <f t="shared" si="9"/>
        <v>3917736</v>
      </c>
    </row>
    <row r="333" spans="1:8" ht="12.75">
      <c r="A333" s="221" t="s">
        <v>564</v>
      </c>
      <c r="B333" s="198">
        <f>SUMIF('2011'!$D$1:$I$1,$Q$1,'2011'!$D$726:$I$726)</f>
        <v>0</v>
      </c>
      <c r="C333" s="198"/>
      <c r="D333" s="198"/>
      <c r="E333" s="198"/>
      <c r="F333" s="198"/>
      <c r="G333" s="400" t="e">
        <f t="shared" si="8"/>
        <v>#DIV/0!</v>
      </c>
      <c r="H333" s="343">
        <f t="shared" si="9"/>
        <v>0</v>
      </c>
    </row>
    <row r="334" spans="1:8" ht="12.75">
      <c r="A334" s="221" t="s">
        <v>568</v>
      </c>
      <c r="B334" s="198">
        <f>SUMIF('2011'!$D$1:$I$1,$Q$1,'2011'!$D$729:$I$729)</f>
        <v>0</v>
      </c>
      <c r="C334" s="198"/>
      <c r="D334" s="198"/>
      <c r="E334" s="198"/>
      <c r="F334" s="198"/>
      <c r="G334" s="400" t="e">
        <f t="shared" si="8"/>
        <v>#DIV/0!</v>
      </c>
      <c r="H334" s="343">
        <f t="shared" si="9"/>
        <v>0</v>
      </c>
    </row>
    <row r="335" spans="1:8" ht="12.75">
      <c r="A335" s="221" t="s">
        <v>577</v>
      </c>
      <c r="B335" s="198">
        <f>SUMIF('2011'!$D$1:$I$1,$Q$1,'2011'!$D$734:$I$734)</f>
        <v>0</v>
      </c>
      <c r="C335" s="198"/>
      <c r="D335" s="198"/>
      <c r="E335" s="198"/>
      <c r="F335" s="198"/>
      <c r="G335" s="400" t="e">
        <f t="shared" si="8"/>
        <v>#DIV/0!</v>
      </c>
      <c r="H335" s="343">
        <f t="shared" si="9"/>
        <v>0</v>
      </c>
    </row>
    <row r="336" spans="1:8" ht="13.5" thickBot="1">
      <c r="A336" s="223" t="s">
        <v>578</v>
      </c>
      <c r="B336" s="200">
        <f>SUMIF('2011'!$D$1:$I$1,$Q$1,'2011'!$D$736:$I$736)</f>
        <v>0</v>
      </c>
      <c r="C336" s="200"/>
      <c r="D336" s="200"/>
      <c r="E336" s="200"/>
      <c r="F336" s="200"/>
      <c r="G336" s="401" t="e">
        <f t="shared" si="8"/>
        <v>#DIV/0!</v>
      </c>
      <c r="H336" s="345">
        <f t="shared" si="9"/>
        <v>0</v>
      </c>
    </row>
    <row r="337" spans="1:8" ht="12.75">
      <c r="A337" s="220" t="s">
        <v>979</v>
      </c>
      <c r="B337" s="245">
        <f>SUMIF('2011'!$D$1:$I$1,$Q$1,'2011'!$D$738:$I$738)</f>
        <v>1799910</v>
      </c>
      <c r="C337" s="233"/>
      <c r="D337" s="233"/>
      <c r="E337" s="233"/>
      <c r="F337" s="233"/>
      <c r="G337" s="406">
        <f t="shared" si="8"/>
        <v>-1</v>
      </c>
      <c r="H337" s="363">
        <f t="shared" si="9"/>
        <v>1799910</v>
      </c>
    </row>
    <row r="338" spans="1:8" ht="12.75">
      <c r="A338" s="221" t="s">
        <v>584</v>
      </c>
      <c r="B338" s="198">
        <f>SUMIF('2011'!$D$1:$I$1,$Q$1,'2011'!$D$739:$I$739)</f>
        <v>0</v>
      </c>
      <c r="C338" s="198"/>
      <c r="D338" s="198"/>
      <c r="E338" s="198"/>
      <c r="F338" s="198"/>
      <c r="G338" s="400" t="e">
        <f t="shared" si="8"/>
        <v>#DIV/0!</v>
      </c>
      <c r="H338" s="343">
        <f t="shared" si="9"/>
        <v>0</v>
      </c>
    </row>
    <row r="339" spans="1:8" ht="12.75">
      <c r="A339" s="221" t="s">
        <v>591</v>
      </c>
      <c r="B339" s="198">
        <f>SUMIF('2011'!$D$1:$I$1,$Q$1,'2011'!$D$744:$I$744)</f>
        <v>1600732</v>
      </c>
      <c r="C339" s="198"/>
      <c r="D339" s="198"/>
      <c r="E339" s="198"/>
      <c r="F339" s="198"/>
      <c r="G339" s="400">
        <f t="shared" si="8"/>
        <v>-1</v>
      </c>
      <c r="H339" s="343">
        <f t="shared" si="9"/>
        <v>1600732</v>
      </c>
    </row>
    <row r="340" spans="1:8" ht="12.75">
      <c r="A340" s="221" t="s">
        <v>601</v>
      </c>
      <c r="B340" s="198">
        <f>SUMIF('2011'!$D$1:$I$1,$Q$1,'2011'!$D$749:$I$749)</f>
        <v>0</v>
      </c>
      <c r="C340" s="198"/>
      <c r="D340" s="198"/>
      <c r="E340" s="198"/>
      <c r="F340" s="198"/>
      <c r="G340" s="400" t="e">
        <f t="shared" si="8"/>
        <v>#DIV/0!</v>
      </c>
      <c r="H340" s="343">
        <f t="shared" si="9"/>
        <v>0</v>
      </c>
    </row>
    <row r="341" spans="1:8" ht="12.75">
      <c r="A341" s="221" t="s">
        <v>611</v>
      </c>
      <c r="B341" s="198">
        <f>SUMIF('2011'!$D$1:$I$1,$Q$1,'2011'!$D$755:$I$755)</f>
        <v>0</v>
      </c>
      <c r="C341" s="198"/>
      <c r="D341" s="198"/>
      <c r="E341" s="198"/>
      <c r="F341" s="198"/>
      <c r="G341" s="400" t="e">
        <f t="shared" si="8"/>
        <v>#DIV/0!</v>
      </c>
      <c r="H341" s="343">
        <f t="shared" si="9"/>
        <v>0</v>
      </c>
    </row>
    <row r="342" spans="1:8" ht="12.75">
      <c r="A342" s="221" t="s">
        <v>626</v>
      </c>
      <c r="B342" s="198">
        <f>SUMIF('2011'!$D$1:$I$1,$Q$1,'2011'!$D$763:$I$763)</f>
        <v>0</v>
      </c>
      <c r="C342" s="198"/>
      <c r="D342" s="198"/>
      <c r="E342" s="198"/>
      <c r="F342" s="198"/>
      <c r="G342" s="400" t="e">
        <f t="shared" si="8"/>
        <v>#DIV/0!</v>
      </c>
      <c r="H342" s="343">
        <f t="shared" si="9"/>
        <v>0</v>
      </c>
    </row>
    <row r="343" spans="1:8" ht="12.75">
      <c r="A343" s="221" t="s">
        <v>633</v>
      </c>
      <c r="B343" s="198">
        <f>SUMIF('2011'!$D$1:$I$1,$Q$1,'2011'!$D$767:$I$767)</f>
        <v>0</v>
      </c>
      <c r="C343" s="198"/>
      <c r="D343" s="198"/>
      <c r="E343" s="198"/>
      <c r="F343" s="198"/>
      <c r="G343" s="400" t="e">
        <f aca="true" t="shared" si="10" ref="G343:G383">(C343-B343)/B343</f>
        <v>#DIV/0!</v>
      </c>
      <c r="H343" s="343">
        <f aca="true" t="shared" si="11" ref="H343:H383">AVERAGE(B343:F343)</f>
        <v>0</v>
      </c>
    </row>
    <row r="344" spans="1:8" ht="12.75">
      <c r="A344" s="221" t="s">
        <v>636</v>
      </c>
      <c r="B344" s="198">
        <f>SUMIF('2011'!$D$1:$I$1,$Q$1,'2011'!$D$769:$I$769)</f>
        <v>199178</v>
      </c>
      <c r="C344" s="198"/>
      <c r="D344" s="198"/>
      <c r="E344" s="198"/>
      <c r="F344" s="198"/>
      <c r="G344" s="400">
        <f t="shared" si="10"/>
        <v>-1</v>
      </c>
      <c r="H344" s="343">
        <f t="shared" si="11"/>
        <v>199178</v>
      </c>
    </row>
    <row r="345" spans="1:8" ht="12.75">
      <c r="A345" s="221" t="s">
        <v>648</v>
      </c>
      <c r="B345" s="198">
        <f>SUMIF('2011'!$D$1:$I$1,$Q$1,'2011'!$D$775:$I$775)</f>
        <v>0</v>
      </c>
      <c r="C345" s="198"/>
      <c r="D345" s="198"/>
      <c r="E345" s="198"/>
      <c r="F345" s="198"/>
      <c r="G345" s="400" t="e">
        <f t="shared" si="10"/>
        <v>#DIV/0!</v>
      </c>
      <c r="H345" s="343">
        <f t="shared" si="11"/>
        <v>0</v>
      </c>
    </row>
    <row r="346" spans="1:8" ht="13.5" thickBot="1">
      <c r="A346" s="223" t="s">
        <v>651</v>
      </c>
      <c r="B346" s="200">
        <f>SUMIF('2011'!$D$1:$I$1,$Q$1,'2011'!$D$777:$I$777)</f>
        <v>0</v>
      </c>
      <c r="C346" s="200"/>
      <c r="D346" s="200"/>
      <c r="E346" s="200"/>
      <c r="F346" s="200"/>
      <c r="G346" s="401" t="e">
        <f t="shared" si="10"/>
        <v>#DIV/0!</v>
      </c>
      <c r="H346" s="345">
        <f t="shared" si="11"/>
        <v>0</v>
      </c>
    </row>
    <row r="347" spans="1:8" ht="12.75">
      <c r="A347" s="220" t="s">
        <v>975</v>
      </c>
      <c r="B347" s="245">
        <f>SUMIF('2011'!$D$1:$I$1,$Q$1,'2011'!$D$781:$I$781)</f>
        <v>-1427526</v>
      </c>
      <c r="C347" s="233"/>
      <c r="D347" s="233"/>
      <c r="E347" s="233"/>
      <c r="F347" s="233"/>
      <c r="G347" s="406">
        <f t="shared" si="10"/>
        <v>-1</v>
      </c>
      <c r="H347" s="363">
        <f t="shared" si="11"/>
        <v>-1427526</v>
      </c>
    </row>
    <row r="348" spans="1:8" ht="12.75">
      <c r="A348" s="221" t="s">
        <v>660</v>
      </c>
      <c r="B348" s="198">
        <f>SUMIF('2011'!$D$1:$I$1,$Q$1,'2011'!$D$782:$I$782)</f>
        <v>-1924523</v>
      </c>
      <c r="C348" s="198"/>
      <c r="D348" s="198"/>
      <c r="E348" s="198"/>
      <c r="F348" s="198"/>
      <c r="G348" s="400">
        <f t="shared" si="10"/>
        <v>-1</v>
      </c>
      <c r="H348" s="343">
        <f t="shared" si="11"/>
        <v>-1924523</v>
      </c>
    </row>
    <row r="349" spans="1:8" ht="12.75">
      <c r="A349" s="221" t="s">
        <v>674</v>
      </c>
      <c r="B349" s="198">
        <f>SUMIF('2011'!$D$1:$I$1,$Q$1,'2011'!$D$789:$I$789)</f>
        <v>496997</v>
      </c>
      <c r="C349" s="198"/>
      <c r="D349" s="198"/>
      <c r="E349" s="198"/>
      <c r="F349" s="198"/>
      <c r="G349" s="400">
        <f t="shared" si="10"/>
        <v>-1</v>
      </c>
      <c r="H349" s="343">
        <f t="shared" si="11"/>
        <v>496997</v>
      </c>
    </row>
    <row r="350" spans="1:8" ht="12.75">
      <c r="A350" s="221" t="s">
        <v>684</v>
      </c>
      <c r="B350" s="198">
        <f>SUMIF('2011'!$D$1:$I$1,$Q$1,'2011'!$D$794:$I$794)</f>
        <v>0</v>
      </c>
      <c r="C350" s="198"/>
      <c r="D350" s="198"/>
      <c r="E350" s="198"/>
      <c r="F350" s="198"/>
      <c r="G350" s="400" t="e">
        <f t="shared" si="10"/>
        <v>#DIV/0!</v>
      </c>
      <c r="H350" s="343">
        <f t="shared" si="11"/>
        <v>0</v>
      </c>
    </row>
    <row r="351" spans="1:8" ht="12.75">
      <c r="A351" s="221" t="s">
        <v>696</v>
      </c>
      <c r="B351" s="198">
        <f>SUMIF('2011'!$D$1:$I$1,$Q$1,'2011'!$D$799:$I$799)</f>
        <v>0</v>
      </c>
      <c r="C351" s="198"/>
      <c r="D351" s="198"/>
      <c r="E351" s="198"/>
      <c r="F351" s="198"/>
      <c r="G351" s="400" t="e">
        <f t="shared" si="10"/>
        <v>#DIV/0!</v>
      </c>
      <c r="H351" s="343">
        <f t="shared" si="11"/>
        <v>0</v>
      </c>
    </row>
    <row r="352" spans="1:8" ht="13.5" thickBot="1">
      <c r="A352" s="223" t="s">
        <v>698</v>
      </c>
      <c r="B352" s="200">
        <f>SUMIF('2011'!$D$1:$I$1,$Q$1,'2011'!$D$801:$I$801)</f>
        <v>0</v>
      </c>
      <c r="C352" s="200"/>
      <c r="D352" s="200"/>
      <c r="E352" s="200"/>
      <c r="F352" s="200"/>
      <c r="G352" s="401" t="e">
        <f t="shared" si="10"/>
        <v>#DIV/0!</v>
      </c>
      <c r="H352" s="345">
        <f t="shared" si="11"/>
        <v>0</v>
      </c>
    </row>
    <row r="353" spans="1:8" ht="12.75">
      <c r="A353" s="220" t="s">
        <v>980</v>
      </c>
      <c r="B353" s="245">
        <f>SUMIF('2011'!$D$1:$I$1,$Q$1,'2011'!$D$804:$I$804)</f>
        <v>4963760</v>
      </c>
      <c r="C353" s="233"/>
      <c r="D353" s="233"/>
      <c r="E353" s="233"/>
      <c r="F353" s="233"/>
      <c r="G353" s="406">
        <f t="shared" si="10"/>
        <v>-1</v>
      </c>
      <c r="H353" s="363">
        <f t="shared" si="11"/>
        <v>4963760</v>
      </c>
    </row>
    <row r="354" spans="1:8" ht="12.75">
      <c r="A354" s="221" t="s">
        <v>706</v>
      </c>
      <c r="B354" s="198">
        <f>SUMIF('2011'!$D$1:$I$1,$Q$1,'2011'!$D$805:$I$805)</f>
        <v>0</v>
      </c>
      <c r="C354" s="198"/>
      <c r="D354" s="198"/>
      <c r="E354" s="198"/>
      <c r="F354" s="198"/>
      <c r="G354" s="400" t="e">
        <f t="shared" si="10"/>
        <v>#DIV/0!</v>
      </c>
      <c r="H354" s="343">
        <f t="shared" si="11"/>
        <v>0</v>
      </c>
    </row>
    <row r="355" spans="1:8" ht="12.75">
      <c r="A355" s="221" t="s">
        <v>712</v>
      </c>
      <c r="B355" s="198">
        <f>SUMIF('2011'!$D$1:$I$1,$Q$1,'2011'!$D$808:$I$808)</f>
        <v>27650</v>
      </c>
      <c r="C355" s="198"/>
      <c r="D355" s="198"/>
      <c r="E355" s="198"/>
      <c r="F355" s="198"/>
      <c r="G355" s="400">
        <f t="shared" si="10"/>
        <v>-1</v>
      </c>
      <c r="H355" s="343">
        <f t="shared" si="11"/>
        <v>27650</v>
      </c>
    </row>
    <row r="356" spans="1:8" ht="12.75">
      <c r="A356" s="221" t="s">
        <v>719</v>
      </c>
      <c r="B356" s="198">
        <f>SUMIF('2011'!$D$1:$I$1,$Q$1,'2011'!$D$812:$I$812)</f>
        <v>0</v>
      </c>
      <c r="C356" s="198"/>
      <c r="D356" s="198"/>
      <c r="E356" s="198"/>
      <c r="F356" s="198"/>
      <c r="G356" s="400" t="e">
        <f t="shared" si="10"/>
        <v>#DIV/0!</v>
      </c>
      <c r="H356" s="343">
        <f t="shared" si="11"/>
        <v>0</v>
      </c>
    </row>
    <row r="357" spans="1:8" ht="12.75">
      <c r="A357" s="221" t="s">
        <v>727</v>
      </c>
      <c r="B357" s="198">
        <f>SUMIF('2011'!$D$1:$I$1,$Q$1,'2011'!$D$816:$I$816)</f>
        <v>4575132</v>
      </c>
      <c r="C357" s="198"/>
      <c r="D357" s="198"/>
      <c r="E357" s="198"/>
      <c r="F357" s="198"/>
      <c r="G357" s="400">
        <f t="shared" si="10"/>
        <v>-1</v>
      </c>
      <c r="H357" s="343">
        <f t="shared" si="11"/>
        <v>4575132</v>
      </c>
    </row>
    <row r="358" spans="1:8" ht="12.75">
      <c r="A358" s="221" t="s">
        <v>732</v>
      </c>
      <c r="B358" s="198">
        <f>SUMIF('2011'!$D$1:$I$1,$Q$1,'2011'!$D$819:$I$819)</f>
        <v>120534</v>
      </c>
      <c r="C358" s="198"/>
      <c r="D358" s="198"/>
      <c r="E358" s="198"/>
      <c r="F358" s="198"/>
      <c r="G358" s="400">
        <f t="shared" si="10"/>
        <v>-1</v>
      </c>
      <c r="H358" s="343">
        <f t="shared" si="11"/>
        <v>120534</v>
      </c>
    </row>
    <row r="359" spans="1:8" ht="12.75">
      <c r="A359" s="221" t="s">
        <v>1013</v>
      </c>
      <c r="B359" s="198">
        <f>SUMIF('2011'!$D$1:$I$1,$Q$1,'2011'!$D$821:$I$821)</f>
        <v>240444</v>
      </c>
      <c r="C359" s="198"/>
      <c r="D359" s="198"/>
      <c r="E359" s="198"/>
      <c r="F359" s="198"/>
      <c r="G359" s="400">
        <f t="shared" si="10"/>
        <v>-1</v>
      </c>
      <c r="H359" s="343">
        <f t="shared" si="11"/>
        <v>240444</v>
      </c>
    </row>
    <row r="360" spans="1:8" ht="12.75">
      <c r="A360" s="221" t="s">
        <v>740</v>
      </c>
      <c r="B360" s="198">
        <f>SUMIF('2011'!$D$1:$I$1,$Q$1,'2011'!$D$824:$I$824)</f>
        <v>0</v>
      </c>
      <c r="C360" s="198"/>
      <c r="D360" s="198"/>
      <c r="E360" s="198"/>
      <c r="F360" s="198"/>
      <c r="G360" s="400" t="e">
        <f t="shared" si="10"/>
        <v>#DIV/0!</v>
      </c>
      <c r="H360" s="343">
        <f t="shared" si="11"/>
        <v>0</v>
      </c>
    </row>
    <row r="361" spans="1:8" ht="12.75">
      <c r="A361" s="221" t="s">
        <v>748</v>
      </c>
      <c r="B361" s="198">
        <f>SUMIF('2011'!$D$1:$I$1,$Q$1,'2011'!$D$828:$I$828)</f>
        <v>0</v>
      </c>
      <c r="C361" s="198"/>
      <c r="D361" s="198"/>
      <c r="E361" s="198"/>
      <c r="F361" s="198"/>
      <c r="G361" s="400" t="e">
        <f t="shared" si="10"/>
        <v>#DIV/0!</v>
      </c>
      <c r="H361" s="343">
        <f t="shared" si="11"/>
        <v>0</v>
      </c>
    </row>
    <row r="362" spans="1:8" ht="13.5" thickBot="1">
      <c r="A362" s="223" t="s">
        <v>754</v>
      </c>
      <c r="B362" s="200">
        <f>SUMIF('2011'!$D$1:$I$1,$Q$1,'2011'!$D$831:$I$831)</f>
        <v>0</v>
      </c>
      <c r="C362" s="200"/>
      <c r="D362" s="200"/>
      <c r="E362" s="200"/>
      <c r="F362" s="200"/>
      <c r="G362" s="401" t="e">
        <f t="shared" si="10"/>
        <v>#DIV/0!</v>
      </c>
      <c r="H362" s="345">
        <f t="shared" si="11"/>
        <v>0</v>
      </c>
    </row>
    <row r="363" spans="1:8" ht="12.75">
      <c r="A363" s="220" t="s">
        <v>976</v>
      </c>
      <c r="B363" s="245">
        <f>SUMIF('2011'!$D$1:$I$1,$Q$1,'2011'!$D$834:$I$834)</f>
        <v>4143580</v>
      </c>
      <c r="C363" s="233"/>
      <c r="D363" s="233"/>
      <c r="E363" s="233"/>
      <c r="F363" s="233"/>
      <c r="G363" s="406">
        <f t="shared" si="10"/>
        <v>-1</v>
      </c>
      <c r="H363" s="363">
        <f t="shared" si="11"/>
        <v>4143580</v>
      </c>
    </row>
    <row r="364" spans="1:8" ht="12.75">
      <c r="A364" s="221" t="s">
        <v>762</v>
      </c>
      <c r="B364" s="198">
        <f>SUMIF('2011'!$D$1:$I$1,$Q$1,'2011'!$D$835:$I$835)</f>
        <v>1043067</v>
      </c>
      <c r="C364" s="198"/>
      <c r="D364" s="198"/>
      <c r="E364" s="198"/>
      <c r="F364" s="198"/>
      <c r="G364" s="400">
        <f t="shared" si="10"/>
        <v>-1</v>
      </c>
      <c r="H364" s="343">
        <f t="shared" si="11"/>
        <v>1043067</v>
      </c>
    </row>
    <row r="365" spans="1:8" ht="12.75">
      <c r="A365" s="221" t="s">
        <v>782</v>
      </c>
      <c r="B365" s="198">
        <f>SUMIF('2011'!$D$1:$I$1,$Q$1,'2011'!$D$845:$I$845)</f>
        <v>3111313</v>
      </c>
      <c r="C365" s="198"/>
      <c r="D365" s="198"/>
      <c r="E365" s="198"/>
      <c r="F365" s="198"/>
      <c r="G365" s="400">
        <f t="shared" si="10"/>
        <v>-1</v>
      </c>
      <c r="H365" s="343">
        <f t="shared" si="11"/>
        <v>3111313</v>
      </c>
    </row>
    <row r="366" spans="1:8" ht="12.75">
      <c r="A366" s="221" t="s">
        <v>785</v>
      </c>
      <c r="B366" s="198">
        <f>SUMIF('2011'!$D$1:$I$1,$Q$1,'2011'!$D$847:$I$847)</f>
        <v>0</v>
      </c>
      <c r="C366" s="198"/>
      <c r="D366" s="198"/>
      <c r="E366" s="198"/>
      <c r="F366" s="198"/>
      <c r="G366" s="400" t="e">
        <f t="shared" si="10"/>
        <v>#DIV/0!</v>
      </c>
      <c r="H366" s="343">
        <f t="shared" si="11"/>
        <v>0</v>
      </c>
    </row>
    <row r="367" spans="1:8" ht="12.75">
      <c r="A367" s="221" t="s">
        <v>788</v>
      </c>
      <c r="B367" s="198">
        <f>SUMIF('2011'!$D$1:$I$1,$Q$1,'2011'!$D$849:$I$849)</f>
        <v>0</v>
      </c>
      <c r="C367" s="198"/>
      <c r="D367" s="198"/>
      <c r="E367" s="198"/>
      <c r="F367" s="198"/>
      <c r="G367" s="400" t="e">
        <f t="shared" si="10"/>
        <v>#DIV/0!</v>
      </c>
      <c r="H367" s="343">
        <f t="shared" si="11"/>
        <v>0</v>
      </c>
    </row>
    <row r="368" spans="1:8" ht="12.75">
      <c r="A368" s="221" t="s">
        <v>790</v>
      </c>
      <c r="B368" s="198">
        <f>SUMIF('2011'!$D$1:$I$1,$Q$1,'2011'!$D$851:$I$851)</f>
        <v>-10800</v>
      </c>
      <c r="C368" s="198"/>
      <c r="D368" s="198"/>
      <c r="E368" s="198"/>
      <c r="F368" s="198"/>
      <c r="G368" s="400">
        <f t="shared" si="10"/>
        <v>-1</v>
      </c>
      <c r="H368" s="343">
        <f t="shared" si="11"/>
        <v>-10800</v>
      </c>
    </row>
    <row r="369" spans="1:8" ht="12.75">
      <c r="A369" s="221" t="s">
        <v>794</v>
      </c>
      <c r="B369" s="198">
        <f>SUMIF('2011'!$D$1:$I$1,$Q$1,'2011'!$D$853:$I$853)</f>
        <v>0</v>
      </c>
      <c r="C369" s="198"/>
      <c r="D369" s="198"/>
      <c r="E369" s="198"/>
      <c r="F369" s="198"/>
      <c r="G369" s="400" t="e">
        <f t="shared" si="10"/>
        <v>#DIV/0!</v>
      </c>
      <c r="H369" s="343">
        <f t="shared" si="11"/>
        <v>0</v>
      </c>
    </row>
    <row r="370" spans="1:8" ht="12.75">
      <c r="A370" s="221" t="s">
        <v>797</v>
      </c>
      <c r="B370" s="198">
        <f>SUMIF('2011'!$D$1:$I$1,$Q$1,'2011'!$D$855:$I$855)</f>
        <v>0</v>
      </c>
      <c r="C370" s="198"/>
      <c r="D370" s="198"/>
      <c r="E370" s="198"/>
      <c r="F370" s="198"/>
      <c r="G370" s="400" t="e">
        <f t="shared" si="10"/>
        <v>#DIV/0!</v>
      </c>
      <c r="H370" s="343">
        <f t="shared" si="11"/>
        <v>0</v>
      </c>
    </row>
    <row r="371" spans="1:8" ht="12.75">
      <c r="A371" s="221" t="s">
        <v>816</v>
      </c>
      <c r="B371" s="198">
        <f>SUMIF('2011'!$D$1:$I$1,$Q$1,'2011'!$D$864:$I$864)</f>
        <v>0</v>
      </c>
      <c r="C371" s="198"/>
      <c r="D371" s="198"/>
      <c r="E371" s="198"/>
      <c r="F371" s="198"/>
      <c r="G371" s="400" t="e">
        <f t="shared" si="10"/>
        <v>#DIV/0!</v>
      </c>
      <c r="H371" s="343">
        <f t="shared" si="11"/>
        <v>0</v>
      </c>
    </row>
    <row r="372" spans="1:8" ht="13.5" thickBot="1">
      <c r="A372" s="223" t="s">
        <v>826</v>
      </c>
      <c r="B372" s="200">
        <f>SUMIF('2011'!$D$1:$I$1,$Q$1,'2011'!$D$869:$I$869)</f>
        <v>0</v>
      </c>
      <c r="C372" s="200"/>
      <c r="D372" s="200"/>
      <c r="E372" s="200"/>
      <c r="F372" s="200"/>
      <c r="G372" s="401" t="e">
        <f t="shared" si="10"/>
        <v>#DIV/0!</v>
      </c>
      <c r="H372" s="345">
        <f t="shared" si="11"/>
        <v>0</v>
      </c>
    </row>
    <row r="373" spans="1:8" ht="12.75">
      <c r="A373" s="220" t="s">
        <v>977</v>
      </c>
      <c r="B373" s="245">
        <f>SUMIF('2011'!$D$1:$I$1,$Q$1,'2011'!$D$871:$I$871)</f>
        <v>-17685731</v>
      </c>
      <c r="C373" s="233"/>
      <c r="D373" s="233"/>
      <c r="E373" s="233"/>
      <c r="F373" s="233"/>
      <c r="G373" s="406">
        <f t="shared" si="10"/>
        <v>-1</v>
      </c>
      <c r="H373" s="363">
        <f t="shared" si="11"/>
        <v>-17685731</v>
      </c>
    </row>
    <row r="374" spans="1:8" ht="12.75">
      <c r="A374" s="221" t="s">
        <v>831</v>
      </c>
      <c r="B374" s="198">
        <f>SUMIF('2011'!$D$1:$I$1,$Q$1,'2011'!$D$872:$I$872)</f>
        <v>0</v>
      </c>
      <c r="C374" s="198"/>
      <c r="D374" s="198"/>
      <c r="E374" s="198"/>
      <c r="F374" s="198"/>
      <c r="G374" s="400" t="e">
        <f t="shared" si="10"/>
        <v>#DIV/0!</v>
      </c>
      <c r="H374" s="343">
        <f t="shared" si="11"/>
        <v>0</v>
      </c>
    </row>
    <row r="375" spans="1:8" ht="12.75">
      <c r="A375" s="221" t="s">
        <v>837</v>
      </c>
      <c r="B375" s="198">
        <f>SUMIF('2011'!$D$1:$I$1,$Q$1,'2011'!$D$875:$I$875)</f>
        <v>0</v>
      </c>
      <c r="C375" s="198"/>
      <c r="D375" s="198"/>
      <c r="E375" s="198"/>
      <c r="F375" s="198"/>
      <c r="G375" s="400" t="e">
        <f t="shared" si="10"/>
        <v>#DIV/0!</v>
      </c>
      <c r="H375" s="343">
        <f t="shared" si="11"/>
        <v>0</v>
      </c>
    </row>
    <row r="376" spans="1:8" ht="12.75">
      <c r="A376" s="221" t="s">
        <v>81</v>
      </c>
      <c r="B376" s="198">
        <f>SUMIF('2011'!$D$1:$I$1,$Q$1,'2011'!$D$877:$I$877)</f>
        <v>0</v>
      </c>
      <c r="C376" s="198"/>
      <c r="D376" s="198"/>
      <c r="E376" s="198"/>
      <c r="F376" s="198"/>
      <c r="G376" s="400" t="e">
        <f t="shared" si="10"/>
        <v>#DIV/0!</v>
      </c>
      <c r="H376" s="343">
        <f t="shared" si="11"/>
        <v>0</v>
      </c>
    </row>
    <row r="377" spans="1:8" ht="12.75">
      <c r="A377" s="221" t="s">
        <v>842</v>
      </c>
      <c r="B377" s="198">
        <f>SUMIF('2011'!$D$1:$I$1,$Q$1,'2011'!$D$879:$I$879)</f>
        <v>0</v>
      </c>
      <c r="C377" s="198"/>
      <c r="D377" s="198"/>
      <c r="E377" s="198"/>
      <c r="F377" s="198"/>
      <c r="G377" s="400" t="e">
        <f t="shared" si="10"/>
        <v>#DIV/0!</v>
      </c>
      <c r="H377" s="343">
        <f t="shared" si="11"/>
        <v>0</v>
      </c>
    </row>
    <row r="378" spans="1:8" ht="12.75">
      <c r="A378" s="221" t="s">
        <v>845</v>
      </c>
      <c r="B378" s="198">
        <f>SUMIF('2011'!$D$1:$I$1,$Q$1,'2011'!$D$881:$I$881)</f>
        <v>0</v>
      </c>
      <c r="C378" s="198"/>
      <c r="D378" s="198"/>
      <c r="E378" s="198"/>
      <c r="F378" s="198"/>
      <c r="G378" s="400" t="e">
        <f t="shared" si="10"/>
        <v>#DIV/0!</v>
      </c>
      <c r="H378" s="343">
        <f t="shared" si="11"/>
        <v>0</v>
      </c>
    </row>
    <row r="379" spans="1:8" ht="12.75">
      <c r="A379" s="221" t="s">
        <v>1014</v>
      </c>
      <c r="B379" s="198">
        <f>SUMIF('2011'!$D$1:$I$1,$Q$1,'2011'!$D$883:$I$883)</f>
        <v>0</v>
      </c>
      <c r="C379" s="198"/>
      <c r="D379" s="198"/>
      <c r="E379" s="198"/>
      <c r="F379" s="198"/>
      <c r="G379" s="400" t="e">
        <f t="shared" si="10"/>
        <v>#DIV/0!</v>
      </c>
      <c r="H379" s="343">
        <f t="shared" si="11"/>
        <v>0</v>
      </c>
    </row>
    <row r="380" spans="1:8" ht="12.75">
      <c r="A380" s="221" t="s">
        <v>857</v>
      </c>
      <c r="B380" s="198">
        <f>SUMIF('2011'!$D$1:$I$1,$Q$1,'2011'!$D$888:$I$888)</f>
        <v>0</v>
      </c>
      <c r="C380" s="198"/>
      <c r="D380" s="198"/>
      <c r="E380" s="198"/>
      <c r="F380" s="198"/>
      <c r="G380" s="400" t="e">
        <f t="shared" si="10"/>
        <v>#DIV/0!</v>
      </c>
      <c r="H380" s="343">
        <f t="shared" si="11"/>
        <v>0</v>
      </c>
    </row>
    <row r="381" spans="1:8" ht="13.5" thickBot="1">
      <c r="A381" s="428" t="s">
        <v>1028</v>
      </c>
      <c r="B381" s="200">
        <f>SUMIF('2011'!$D$1:$I$1,$Q$1,'2011'!$D$890:$I$890)</f>
        <v>-17685731</v>
      </c>
      <c r="C381" s="200"/>
      <c r="D381" s="200"/>
      <c r="E381" s="200"/>
      <c r="F381" s="200"/>
      <c r="G381" s="401">
        <f t="shared" si="10"/>
        <v>-1</v>
      </c>
      <c r="H381" s="345">
        <f t="shared" si="11"/>
        <v>-17685731</v>
      </c>
    </row>
    <row r="382" spans="1:8" ht="12.75">
      <c r="A382" s="232"/>
      <c r="B382" s="233"/>
      <c r="C382" s="233"/>
      <c r="D382" s="233"/>
      <c r="E382" s="233"/>
      <c r="F382" s="233"/>
      <c r="G382" s="410" t="e">
        <f t="shared" si="10"/>
        <v>#DIV/0!</v>
      </c>
      <c r="H382" s="377" t="e">
        <f t="shared" si="11"/>
        <v>#DIV/0!</v>
      </c>
    </row>
    <row r="383" spans="1:8" ht="13.5" thickBot="1">
      <c r="A383" s="246" t="s">
        <v>1029</v>
      </c>
      <c r="B383" s="213">
        <f>SUMIF('2011'!$D$1:$I$1,$Q$1,'2011'!$D$895:$I$895)</f>
        <v>0</v>
      </c>
      <c r="C383" s="200"/>
      <c r="D383" s="200"/>
      <c r="E383" s="200"/>
      <c r="F383" s="200"/>
      <c r="G383" s="408" t="e">
        <f t="shared" si="10"/>
        <v>#DIV/0!</v>
      </c>
      <c r="H383" s="369">
        <f t="shared" si="11"/>
        <v>0</v>
      </c>
    </row>
    <row r="384" spans="1:8" ht="12.75" customHeight="1">
      <c r="A384" s="190"/>
      <c r="B384" s="190"/>
      <c r="C384" s="190"/>
      <c r="D384" s="190"/>
      <c r="E384" s="190"/>
      <c r="F384" s="190"/>
      <c r="G384" s="190"/>
      <c r="H384" s="212"/>
    </row>
    <row r="385" spans="1:8" ht="12.75" customHeight="1">
      <c r="A385" s="190"/>
      <c r="B385" s="190"/>
      <c r="C385" s="190"/>
      <c r="D385" s="190"/>
      <c r="E385" s="190"/>
      <c r="F385" s="190"/>
      <c r="G385" s="190"/>
      <c r="H385" s="212"/>
    </row>
    <row r="386" spans="1:8" ht="12.75" customHeight="1">
      <c r="A386" s="190"/>
      <c r="B386" s="190"/>
      <c r="C386" s="190"/>
      <c r="D386" s="190"/>
      <c r="E386" s="190"/>
      <c r="F386" s="190"/>
      <c r="G386" s="190"/>
      <c r="H386" s="212"/>
    </row>
    <row r="387" spans="1:8" ht="12.75" customHeight="1">
      <c r="A387" s="190"/>
      <c r="B387" s="190"/>
      <c r="C387" s="190"/>
      <c r="D387" s="190"/>
      <c r="E387" s="190"/>
      <c r="F387" s="190"/>
      <c r="G387" s="190"/>
      <c r="H387" s="212"/>
    </row>
    <row r="388" spans="1:8" ht="12.75" customHeight="1">
      <c r="A388" s="190"/>
      <c r="B388" s="190"/>
      <c r="C388" s="190"/>
      <c r="D388" s="190"/>
      <c r="E388" s="190"/>
      <c r="F388" s="190"/>
      <c r="G388" s="190"/>
      <c r="H388" s="212"/>
    </row>
    <row r="389" spans="1:8" ht="12.75" customHeight="1">
      <c r="A389" s="190"/>
      <c r="B389" s="190"/>
      <c r="C389" s="190"/>
      <c r="D389" s="190"/>
      <c r="E389" s="190"/>
      <c r="F389" s="190"/>
      <c r="G389" s="190"/>
      <c r="H389" s="212"/>
    </row>
    <row r="390" spans="1:8" ht="12.75" customHeight="1">
      <c r="A390" s="190"/>
      <c r="B390" s="190"/>
      <c r="C390" s="190"/>
      <c r="D390" s="190"/>
      <c r="E390" s="190"/>
      <c r="F390" s="190"/>
      <c r="G390" s="190"/>
      <c r="H390" s="212"/>
    </row>
    <row r="391" spans="1:8" ht="12.75" customHeight="1">
      <c r="A391" s="209"/>
      <c r="B391" s="209"/>
      <c r="C391" s="209"/>
      <c r="D391" s="209"/>
      <c r="E391" s="209"/>
      <c r="F391" s="209"/>
      <c r="G391" s="209"/>
      <c r="H391" s="212"/>
    </row>
    <row r="392" spans="1:8" ht="12.75" customHeight="1">
      <c r="A392" s="209"/>
      <c r="B392" s="209"/>
      <c r="C392" s="209"/>
      <c r="D392" s="209"/>
      <c r="E392" s="209"/>
      <c r="F392" s="209"/>
      <c r="G392" s="209"/>
      <c r="H392" s="209"/>
    </row>
    <row r="393" spans="1:8" ht="12.75" customHeight="1">
      <c r="A393" s="209"/>
      <c r="B393" s="209"/>
      <c r="C393" s="209"/>
      <c r="D393" s="209"/>
      <c r="E393" s="209"/>
      <c r="F393" s="209"/>
      <c r="G393" s="209"/>
      <c r="H393" s="209"/>
    </row>
    <row r="394" spans="1:8" ht="12.75" customHeight="1">
      <c r="A394" s="209"/>
      <c r="B394" s="209"/>
      <c r="C394" s="209"/>
      <c r="D394" s="209"/>
      <c r="E394" s="209"/>
      <c r="F394" s="209"/>
      <c r="G394" s="209"/>
      <c r="H394" s="209"/>
    </row>
    <row r="395" spans="1:8" ht="12.75" customHeight="1">
      <c r="A395" s="209"/>
      <c r="B395" s="209"/>
      <c r="C395" s="209"/>
      <c r="D395" s="209"/>
      <c r="E395" s="209"/>
      <c r="F395" s="209"/>
      <c r="G395" s="209"/>
      <c r="H395" s="209"/>
    </row>
    <row r="396" spans="1:8" ht="12.75" customHeight="1">
      <c r="A396" s="209"/>
      <c r="B396" s="209"/>
      <c r="C396" s="209"/>
      <c r="D396" s="209"/>
      <c r="E396" s="209"/>
      <c r="F396" s="209"/>
      <c r="G396" s="209"/>
      <c r="H396" s="209"/>
    </row>
    <row r="397" spans="1:8" ht="12.75" customHeight="1">
      <c r="A397" s="209"/>
      <c r="B397" s="209"/>
      <c r="C397" s="209"/>
      <c r="D397" s="209"/>
      <c r="E397" s="209"/>
      <c r="F397" s="209"/>
      <c r="G397" s="209"/>
      <c r="H397" s="209"/>
    </row>
    <row r="398" spans="1:8" ht="12.75" customHeight="1">
      <c r="A398" s="209"/>
      <c r="B398" s="209"/>
      <c r="C398" s="209"/>
      <c r="D398" s="209"/>
      <c r="E398" s="209"/>
      <c r="F398" s="209"/>
      <c r="G398" s="209"/>
      <c r="H398" s="209"/>
    </row>
    <row r="399" spans="1:8" ht="12.75" customHeight="1">
      <c r="A399" s="209"/>
      <c r="B399" s="209"/>
      <c r="C399" s="209"/>
      <c r="D399" s="209"/>
      <c r="E399" s="209"/>
      <c r="F399" s="209"/>
      <c r="G399" s="209"/>
      <c r="H399" s="209"/>
    </row>
    <row r="400" spans="1:8" ht="12.75" customHeight="1">
      <c r="A400" s="209"/>
      <c r="B400" s="209"/>
      <c r="C400" s="209"/>
      <c r="D400" s="209"/>
      <c r="E400" s="209"/>
      <c r="F400" s="209"/>
      <c r="G400" s="209"/>
      <c r="H400" s="209"/>
    </row>
    <row r="401" spans="1:8" ht="12.75" customHeight="1">
      <c r="A401" s="209"/>
      <c r="B401" s="209"/>
      <c r="C401" s="209"/>
      <c r="D401" s="209"/>
      <c r="E401" s="209"/>
      <c r="F401" s="209"/>
      <c r="G401" s="209"/>
      <c r="H401" s="209"/>
    </row>
    <row r="402" spans="1:8" ht="12.75" customHeight="1">
      <c r="A402" s="209"/>
      <c r="B402" s="209"/>
      <c r="C402" s="209"/>
      <c r="D402" s="209"/>
      <c r="E402" s="209"/>
      <c r="F402" s="209"/>
      <c r="G402" s="209"/>
      <c r="H402" s="209"/>
    </row>
    <row r="403" spans="1:8" ht="12.75" customHeight="1">
      <c r="A403" s="209"/>
      <c r="B403" s="209"/>
      <c r="C403" s="209"/>
      <c r="D403" s="209"/>
      <c r="E403" s="209"/>
      <c r="F403" s="209"/>
      <c r="G403" s="209"/>
      <c r="H403" s="209"/>
    </row>
    <row r="404" spans="1:8" ht="12.75" customHeight="1">
      <c r="A404" s="209"/>
      <c r="B404" s="209"/>
      <c r="C404" s="209"/>
      <c r="D404" s="209"/>
      <c r="E404" s="209"/>
      <c r="F404" s="209"/>
      <c r="G404" s="209"/>
      <c r="H404" s="209"/>
    </row>
    <row r="405" spans="1:8" ht="12.75" customHeight="1">
      <c r="A405" s="209"/>
      <c r="B405" s="209"/>
      <c r="C405" s="209"/>
      <c r="D405" s="209"/>
      <c r="E405" s="209"/>
      <c r="F405" s="209"/>
      <c r="G405" s="209"/>
      <c r="H405" s="209"/>
    </row>
    <row r="406" spans="1:8" ht="12.75" customHeight="1">
      <c r="A406" s="209"/>
      <c r="B406" s="209"/>
      <c r="C406" s="209"/>
      <c r="D406" s="209"/>
      <c r="E406" s="209"/>
      <c r="F406" s="209"/>
      <c r="G406" s="209"/>
      <c r="H406" s="209"/>
    </row>
    <row r="407" spans="1:8" ht="12.75" customHeight="1">
      <c r="A407" s="209"/>
      <c r="B407" s="209"/>
      <c r="C407" s="209"/>
      <c r="D407" s="209"/>
      <c r="E407" s="209"/>
      <c r="F407" s="209"/>
      <c r="G407" s="209"/>
      <c r="H407" s="209"/>
    </row>
    <row r="408" spans="1:8" ht="12.75" customHeight="1">
      <c r="A408" s="209"/>
      <c r="B408" s="209"/>
      <c r="C408" s="209"/>
      <c r="D408" s="209"/>
      <c r="E408" s="209"/>
      <c r="F408" s="209"/>
      <c r="G408" s="209"/>
      <c r="H408" s="209"/>
    </row>
    <row r="409" spans="1:8" ht="12.75" customHeight="1">
      <c r="A409" s="209"/>
      <c r="B409" s="209"/>
      <c r="C409" s="209"/>
      <c r="D409" s="209"/>
      <c r="E409" s="209"/>
      <c r="F409" s="209"/>
      <c r="G409" s="209"/>
      <c r="H409" s="209"/>
    </row>
    <row r="410" spans="1:8" ht="12.75" customHeight="1">
      <c r="A410" s="209"/>
      <c r="B410" s="209"/>
      <c r="C410" s="209"/>
      <c r="D410" s="209"/>
      <c r="E410" s="209"/>
      <c r="F410" s="209"/>
      <c r="G410" s="209"/>
      <c r="H410" s="209"/>
    </row>
    <row r="411" spans="1:8" ht="12.75" customHeight="1">
      <c r="A411" s="209"/>
      <c r="B411" s="209"/>
      <c r="C411" s="209"/>
      <c r="D411" s="209"/>
      <c r="E411" s="209"/>
      <c r="F411" s="209"/>
      <c r="G411" s="209"/>
      <c r="H411" s="209"/>
    </row>
    <row r="412" spans="1:8" ht="12.75" customHeight="1">
      <c r="A412" s="209"/>
      <c r="B412" s="209"/>
      <c r="C412" s="209"/>
      <c r="D412" s="209"/>
      <c r="E412" s="209"/>
      <c r="F412" s="209"/>
      <c r="G412" s="209"/>
      <c r="H412" s="209"/>
    </row>
    <row r="413" spans="1:8" ht="12.75" customHeight="1">
      <c r="A413" s="209"/>
      <c r="B413" s="209"/>
      <c r="C413" s="209"/>
      <c r="D413" s="209"/>
      <c r="E413" s="209"/>
      <c r="F413" s="209"/>
      <c r="G413" s="209"/>
      <c r="H413" s="209"/>
    </row>
    <row r="414" spans="1:8" ht="12.75" customHeight="1">
      <c r="A414" s="209"/>
      <c r="B414" s="209"/>
      <c r="C414" s="209"/>
      <c r="D414" s="209"/>
      <c r="E414" s="209"/>
      <c r="F414" s="209"/>
      <c r="G414" s="209"/>
      <c r="H414" s="209"/>
    </row>
    <row r="415" spans="1:8" ht="12.75" customHeight="1">
      <c r="A415" s="209"/>
      <c r="B415" s="209"/>
      <c r="C415" s="209"/>
      <c r="D415" s="209"/>
      <c r="E415" s="209"/>
      <c r="F415" s="209"/>
      <c r="G415" s="209"/>
      <c r="H415" s="209"/>
    </row>
    <row r="416" spans="1:8" ht="12.75" customHeight="1">
      <c r="A416" s="209"/>
      <c r="B416" s="209"/>
      <c r="C416" s="209"/>
      <c r="D416" s="209"/>
      <c r="E416" s="209"/>
      <c r="F416" s="209"/>
      <c r="G416" s="209"/>
      <c r="H416" s="209"/>
    </row>
    <row r="417" spans="1:8" ht="12.75" customHeight="1">
      <c r="A417" s="209"/>
      <c r="B417" s="209"/>
      <c r="C417" s="209"/>
      <c r="D417" s="209"/>
      <c r="E417" s="209"/>
      <c r="F417" s="209"/>
      <c r="G417" s="209"/>
      <c r="H417" s="209"/>
    </row>
    <row r="418" spans="1:8" ht="12.75" customHeight="1">
      <c r="A418" s="209"/>
      <c r="B418" s="209"/>
      <c r="C418" s="209"/>
      <c r="D418" s="209"/>
      <c r="E418" s="209"/>
      <c r="F418" s="209"/>
      <c r="G418" s="209"/>
      <c r="H418" s="209"/>
    </row>
    <row r="419" spans="1:8" ht="12.75" customHeight="1">
      <c r="A419" s="209"/>
      <c r="B419" s="209"/>
      <c r="C419" s="209"/>
      <c r="D419" s="209"/>
      <c r="E419" s="209"/>
      <c r="F419" s="209"/>
      <c r="G419" s="209"/>
      <c r="H419" s="209"/>
    </row>
    <row r="420" spans="1:8" ht="12.75" customHeight="1">
      <c r="A420" s="209"/>
      <c r="B420" s="209"/>
      <c r="C420" s="209"/>
      <c r="D420" s="209"/>
      <c r="E420" s="209"/>
      <c r="F420" s="209"/>
      <c r="G420" s="209"/>
      <c r="H420" s="209"/>
    </row>
    <row r="421" spans="1:8" ht="12.75" customHeight="1">
      <c r="A421" s="209"/>
      <c r="B421" s="209"/>
      <c r="C421" s="209"/>
      <c r="D421" s="209"/>
      <c r="E421" s="209"/>
      <c r="F421" s="209"/>
      <c r="G421" s="209"/>
      <c r="H421" s="209"/>
    </row>
    <row r="422" spans="1:8" ht="12.75" customHeight="1">
      <c r="A422" s="209"/>
      <c r="B422" s="209"/>
      <c r="C422" s="209"/>
      <c r="D422" s="209"/>
      <c r="E422" s="209"/>
      <c r="F422" s="209"/>
      <c r="G422" s="209"/>
      <c r="H422" s="209"/>
    </row>
    <row r="423" spans="1:8" ht="12.75" customHeight="1">
      <c r="A423" s="209"/>
      <c r="B423" s="209"/>
      <c r="C423" s="209"/>
      <c r="D423" s="209"/>
      <c r="E423" s="209"/>
      <c r="F423" s="209"/>
      <c r="G423" s="209"/>
      <c r="H423" s="209"/>
    </row>
    <row r="424" spans="1:8" ht="12.75" customHeight="1">
      <c r="A424" s="209"/>
      <c r="B424" s="209"/>
      <c r="C424" s="209"/>
      <c r="D424" s="209"/>
      <c r="E424" s="209"/>
      <c r="F424" s="209"/>
      <c r="G424" s="209"/>
      <c r="H424" s="209"/>
    </row>
    <row r="425" spans="1:8" ht="12.75" customHeight="1">
      <c r="A425" s="209"/>
      <c r="B425" s="209"/>
      <c r="C425" s="209"/>
      <c r="D425" s="209"/>
      <c r="E425" s="209"/>
      <c r="F425" s="209"/>
      <c r="G425" s="209"/>
      <c r="H425" s="209"/>
    </row>
    <row r="426" spans="1:8" ht="12.75" customHeight="1">
      <c r="A426" s="209"/>
      <c r="B426" s="209"/>
      <c r="C426" s="209"/>
      <c r="D426" s="209"/>
      <c r="E426" s="209"/>
      <c r="F426" s="209"/>
      <c r="G426" s="209"/>
      <c r="H426" s="209"/>
    </row>
    <row r="427" spans="1:8" ht="12.75" customHeight="1">
      <c r="A427" s="209"/>
      <c r="B427" s="209"/>
      <c r="C427" s="209"/>
      <c r="D427" s="209"/>
      <c r="E427" s="209"/>
      <c r="F427" s="209"/>
      <c r="G427" s="209"/>
      <c r="H427" s="209"/>
    </row>
    <row r="428" spans="1:8" ht="12.75" customHeight="1">
      <c r="A428" s="209"/>
      <c r="B428" s="209"/>
      <c r="C428" s="209"/>
      <c r="D428" s="209"/>
      <c r="E428" s="209"/>
      <c r="F428" s="209"/>
      <c r="G428" s="209"/>
      <c r="H428" s="209"/>
    </row>
    <row r="429" spans="1:8" ht="12.75" customHeight="1">
      <c r="A429" s="209"/>
      <c r="B429" s="209"/>
      <c r="C429" s="209"/>
      <c r="D429" s="209"/>
      <c r="E429" s="209"/>
      <c r="F429" s="209"/>
      <c r="G429" s="209"/>
      <c r="H429" s="209"/>
    </row>
    <row r="430" spans="1:8" ht="12.75" customHeight="1">
      <c r="A430" s="209"/>
      <c r="B430" s="209"/>
      <c r="C430" s="209"/>
      <c r="D430" s="209"/>
      <c r="E430" s="209"/>
      <c r="F430" s="209"/>
      <c r="G430" s="209"/>
      <c r="H430" s="209"/>
    </row>
    <row r="431" spans="1:8" ht="12.75" customHeight="1">
      <c r="A431" s="209"/>
      <c r="B431" s="209"/>
      <c r="C431" s="209"/>
      <c r="D431" s="209"/>
      <c r="E431" s="209"/>
      <c r="F431" s="209"/>
      <c r="G431" s="209"/>
      <c r="H431" s="209"/>
    </row>
    <row r="432" spans="1:8" ht="12.75" customHeight="1">
      <c r="A432" s="209"/>
      <c r="B432" s="209"/>
      <c r="C432" s="209"/>
      <c r="D432" s="209"/>
      <c r="E432" s="209"/>
      <c r="F432" s="209"/>
      <c r="G432" s="209"/>
      <c r="H432" s="209"/>
    </row>
    <row r="433" spans="1:8" ht="12.75" customHeight="1">
      <c r="A433" s="209"/>
      <c r="B433" s="209"/>
      <c r="C433" s="209"/>
      <c r="D433" s="209"/>
      <c r="E433" s="209"/>
      <c r="F433" s="209"/>
      <c r="G433" s="209"/>
      <c r="H433" s="209"/>
    </row>
    <row r="434" spans="1:8" ht="12.75" customHeight="1">
      <c r="A434" s="209"/>
      <c r="B434" s="209"/>
      <c r="C434" s="209"/>
      <c r="D434" s="209"/>
      <c r="E434" s="209"/>
      <c r="F434" s="209"/>
      <c r="G434" s="209"/>
      <c r="H434" s="209"/>
    </row>
    <row r="435" spans="1:8" ht="12.75" customHeight="1">
      <c r="A435" s="209"/>
      <c r="B435" s="209"/>
      <c r="C435" s="209"/>
      <c r="D435" s="209"/>
      <c r="E435" s="209"/>
      <c r="F435" s="209"/>
      <c r="G435" s="209"/>
      <c r="H435" s="209"/>
    </row>
    <row r="436" spans="1:8" ht="12.75" customHeight="1">
      <c r="A436" s="209"/>
      <c r="B436" s="209"/>
      <c r="C436" s="209"/>
      <c r="D436" s="209"/>
      <c r="E436" s="209"/>
      <c r="F436" s="209"/>
      <c r="G436" s="209"/>
      <c r="H436" s="209"/>
    </row>
    <row r="437" spans="1:8" ht="12.75" customHeight="1">
      <c r="A437" s="209"/>
      <c r="B437" s="209"/>
      <c r="C437" s="209"/>
      <c r="D437" s="209"/>
      <c r="E437" s="209"/>
      <c r="F437" s="209"/>
      <c r="G437" s="209"/>
      <c r="H437" s="209"/>
    </row>
    <row r="438" spans="1:8" ht="12.75" customHeight="1">
      <c r="A438" s="209"/>
      <c r="B438" s="209"/>
      <c r="C438" s="209"/>
      <c r="D438" s="209"/>
      <c r="E438" s="209"/>
      <c r="F438" s="209"/>
      <c r="G438" s="209"/>
      <c r="H438" s="209"/>
    </row>
    <row r="439" spans="1:8" ht="12.75" customHeight="1">
      <c r="A439" s="209"/>
      <c r="B439" s="209"/>
      <c r="C439" s="209"/>
      <c r="D439" s="209"/>
      <c r="E439" s="209"/>
      <c r="F439" s="209"/>
      <c r="G439" s="209"/>
      <c r="H439" s="209"/>
    </row>
    <row r="440" spans="1:8" ht="12.75" customHeight="1">
      <c r="A440" s="209"/>
      <c r="B440" s="209"/>
      <c r="C440" s="209"/>
      <c r="D440" s="209"/>
      <c r="E440" s="209"/>
      <c r="F440" s="209"/>
      <c r="G440" s="209"/>
      <c r="H440" s="209"/>
    </row>
    <row r="441" spans="1:8" ht="12.75" customHeight="1">
      <c r="A441" s="209"/>
      <c r="B441" s="209"/>
      <c r="C441" s="209"/>
      <c r="D441" s="209"/>
      <c r="E441" s="209"/>
      <c r="F441" s="209"/>
      <c r="G441" s="209"/>
      <c r="H441" s="209"/>
    </row>
    <row r="442" spans="1:8" ht="12.75" customHeight="1">
      <c r="A442" s="209"/>
      <c r="B442" s="209"/>
      <c r="C442" s="209"/>
      <c r="D442" s="209"/>
      <c r="E442" s="209"/>
      <c r="F442" s="209"/>
      <c r="G442" s="209"/>
      <c r="H442" s="209"/>
    </row>
    <row r="443" spans="1:8" ht="12.75" customHeight="1">
      <c r="A443" s="209"/>
      <c r="B443" s="209"/>
      <c r="C443" s="209"/>
      <c r="D443" s="209"/>
      <c r="E443" s="209"/>
      <c r="F443" s="209"/>
      <c r="G443" s="209"/>
      <c r="H443" s="209"/>
    </row>
    <row r="444" spans="1:8" ht="12.75" customHeight="1">
      <c r="A444" s="209"/>
      <c r="B444" s="209"/>
      <c r="C444" s="209"/>
      <c r="D444" s="209"/>
      <c r="E444" s="209"/>
      <c r="F444" s="209"/>
      <c r="G444" s="209"/>
      <c r="H444" s="209"/>
    </row>
    <row r="445" spans="1:8" ht="12.75" customHeight="1">
      <c r="A445" s="209"/>
      <c r="B445" s="209"/>
      <c r="C445" s="209"/>
      <c r="D445" s="209"/>
      <c r="E445" s="209"/>
      <c r="F445" s="209"/>
      <c r="G445" s="209"/>
      <c r="H445" s="209"/>
    </row>
    <row r="446" spans="1:8" ht="12.75" customHeight="1">
      <c r="A446" s="209"/>
      <c r="B446" s="209"/>
      <c r="C446" s="209"/>
      <c r="D446" s="209"/>
      <c r="E446" s="209"/>
      <c r="F446" s="209"/>
      <c r="G446" s="209"/>
      <c r="H446" s="209"/>
    </row>
    <row r="447" spans="1:8" ht="12.75" customHeight="1">
      <c r="A447" s="209"/>
      <c r="B447" s="209"/>
      <c r="C447" s="209"/>
      <c r="D447" s="209"/>
      <c r="E447" s="209"/>
      <c r="F447" s="209"/>
      <c r="G447" s="209"/>
      <c r="H447" s="209"/>
    </row>
    <row r="448" spans="1:8" ht="12.75" customHeight="1">
      <c r="A448" s="209"/>
      <c r="B448" s="209"/>
      <c r="C448" s="209"/>
      <c r="D448" s="209"/>
      <c r="E448" s="209"/>
      <c r="F448" s="209"/>
      <c r="G448" s="209"/>
      <c r="H448" s="209"/>
    </row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</sheetData>
  <sheetProtection/>
  <printOptions horizontalCentered="1"/>
  <pageMargins left="0.03937007874015748" right="0.03937007874015748" top="0.4724409448818898" bottom="0.3937007874015748" header="0.15748031496062992" footer="0.15748031496062992"/>
  <pageSetup horizontalDpi="600" verticalDpi="600" orientation="portrait" paperSize="9" r:id="rId3"/>
  <headerFooter alignWithMargins="0">
    <oddHeader>&amp;L&amp;"Arial,Fett"&amp;14Finanzkennzahlen (HRM2) Gemeinden Kanton Glarus - Erhebung 2011</oddHeader>
    <oddFooter>&amp;CSeite &amp;P</oddFooter>
  </headerFooter>
  <rowBreaks count="8" manualBreakCount="8">
    <brk id="56" max="7" man="1"/>
    <brk id="104" max="7" man="1"/>
    <brk id="139" max="7" man="1"/>
    <brk id="183" max="7" man="1"/>
    <brk id="216" max="7" man="1"/>
    <brk id="272" max="7" man="1"/>
    <brk id="302" max="7" man="1"/>
    <brk id="390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B3023"/>
  <sheetViews>
    <sheetView tabSelected="1" zoomScale="150" zoomScaleNormal="150" workbookViewId="0" topLeftCell="A1">
      <pane ySplit="5" topLeftCell="A6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24.28125" style="0" customWidth="1"/>
    <col min="2" max="6" width="11.28125" style="0" customWidth="1"/>
    <col min="7" max="7" width="13.421875" style="0" customWidth="1"/>
    <col min="8" max="8" width="3.00390625" style="0" customWidth="1"/>
    <col min="9" max="10" width="1.8515625" style="0" customWidth="1"/>
    <col min="11" max="11" width="3.140625" style="0" customWidth="1"/>
    <col min="12" max="12" width="29.7109375" style="0" customWidth="1"/>
    <col min="13" max="13" width="2.8515625" style="0" customWidth="1"/>
    <col min="14" max="14" width="9.7109375" style="0" customWidth="1"/>
  </cols>
  <sheetData>
    <row r="1" spans="1:16" ht="9" customHeight="1">
      <c r="A1" s="291"/>
      <c r="B1" s="292"/>
      <c r="C1" s="292"/>
      <c r="D1" s="292"/>
      <c r="E1" s="292"/>
      <c r="F1" s="292"/>
      <c r="G1" s="293"/>
      <c r="J1" s="67"/>
      <c r="K1" s="87"/>
      <c r="L1" s="298">
        <v>2011</v>
      </c>
      <c r="M1" s="298">
        <v>1</v>
      </c>
      <c r="N1" s="88"/>
      <c r="O1" s="67">
        <v>1</v>
      </c>
      <c r="P1">
        <f>INDEX(L1:L6,O1)</f>
        <v>2011</v>
      </c>
    </row>
    <row r="2" spans="1:15" ht="18">
      <c r="A2" s="294" t="s">
        <v>952</v>
      </c>
      <c r="B2" s="86"/>
      <c r="C2" s="86"/>
      <c r="D2" s="86"/>
      <c r="E2" s="86"/>
      <c r="F2" s="86"/>
      <c r="G2" s="295"/>
      <c r="J2" s="67"/>
      <c r="K2" s="89"/>
      <c r="L2" s="298">
        <v>2012</v>
      </c>
      <c r="M2" s="298">
        <v>2</v>
      </c>
      <c r="N2" s="88"/>
      <c r="O2" s="67"/>
    </row>
    <row r="3" spans="1:15" ht="14.25" customHeight="1" thickBot="1">
      <c r="A3" s="294"/>
      <c r="B3" s="86"/>
      <c r="C3" s="86"/>
      <c r="D3" s="86"/>
      <c r="E3" s="86"/>
      <c r="F3" s="86"/>
      <c r="G3" s="295"/>
      <c r="J3" s="67"/>
      <c r="K3" s="89"/>
      <c r="L3" s="298">
        <v>2013</v>
      </c>
      <c r="M3" s="298">
        <v>3</v>
      </c>
      <c r="N3" s="88"/>
      <c r="O3" s="67"/>
    </row>
    <row r="4" spans="1:15" ht="12" customHeight="1">
      <c r="A4" s="294"/>
      <c r="B4" s="333" t="s">
        <v>1020</v>
      </c>
      <c r="C4" s="332" t="s">
        <v>1020</v>
      </c>
      <c r="D4" s="332" t="s">
        <v>1020</v>
      </c>
      <c r="E4" s="332" t="s">
        <v>966</v>
      </c>
      <c r="F4" s="336" t="s">
        <v>967</v>
      </c>
      <c r="G4" s="337" t="s">
        <v>1015</v>
      </c>
      <c r="J4" s="67"/>
      <c r="K4" s="89"/>
      <c r="L4" s="298">
        <v>2014</v>
      </c>
      <c r="M4" s="298">
        <v>4</v>
      </c>
      <c r="N4" s="88"/>
      <c r="O4" s="67"/>
    </row>
    <row r="5" spans="1:15" ht="10.5" customHeight="1" thickBot="1">
      <c r="A5" s="304"/>
      <c r="B5" s="334" t="s">
        <v>1021</v>
      </c>
      <c r="C5" s="335" t="s">
        <v>1022</v>
      </c>
      <c r="D5" s="335" t="s">
        <v>1023</v>
      </c>
      <c r="E5" s="335" t="s">
        <v>969</v>
      </c>
      <c r="F5" s="338" t="s">
        <v>968</v>
      </c>
      <c r="G5" s="339" t="s">
        <v>1016</v>
      </c>
      <c r="J5" s="67"/>
      <c r="K5" s="89"/>
      <c r="L5" s="298">
        <v>2015</v>
      </c>
      <c r="M5" s="298">
        <v>5</v>
      </c>
      <c r="N5" s="88"/>
      <c r="O5" s="67"/>
    </row>
    <row r="6" spans="1:14" ht="18.75" thickBot="1">
      <c r="A6" s="277" t="s">
        <v>308</v>
      </c>
      <c r="B6" s="278"/>
      <c r="C6" s="278"/>
      <c r="D6" s="278"/>
      <c r="E6" s="278"/>
      <c r="F6" s="278"/>
      <c r="G6" s="307"/>
      <c r="I6" s="67"/>
      <c r="J6" s="89"/>
      <c r="K6" s="88"/>
      <c r="L6" s="301">
        <v>2016</v>
      </c>
      <c r="M6" s="298">
        <v>6</v>
      </c>
      <c r="N6" s="67"/>
    </row>
    <row r="7" spans="1:14" ht="12.75">
      <c r="A7" s="232"/>
      <c r="B7" s="305"/>
      <c r="C7" s="305"/>
      <c r="D7" s="305"/>
      <c r="E7" s="305"/>
      <c r="F7" s="340"/>
      <c r="G7" s="341"/>
      <c r="I7" s="67"/>
      <c r="J7" s="89"/>
      <c r="K7" s="88"/>
      <c r="N7" s="67"/>
    </row>
    <row r="8" spans="1:14" ht="12.75">
      <c r="A8" s="423" t="s">
        <v>985</v>
      </c>
      <c r="B8" s="198">
        <f aca="true" t="shared" si="0" ref="B8:G16">SUMIF($A$1003:$Z$1003,$P$1,B1006:B1006)</f>
        <v>9416975.42</v>
      </c>
      <c r="C8" s="198">
        <f t="shared" si="0"/>
        <v>5259234.16</v>
      </c>
      <c r="D8" s="198">
        <f t="shared" si="0"/>
        <v>2542119.82</v>
      </c>
      <c r="E8" s="198">
        <f t="shared" si="0"/>
        <v>17218329.4</v>
      </c>
      <c r="F8" s="342">
        <f t="shared" si="0"/>
        <v>19033563.91</v>
      </c>
      <c r="G8" s="343">
        <f t="shared" si="0"/>
        <v>36251893.31</v>
      </c>
      <c r="I8" s="67"/>
      <c r="J8" s="89"/>
      <c r="K8" s="88"/>
      <c r="N8" s="67"/>
    </row>
    <row r="9" spans="1:14" ht="12.75">
      <c r="A9" s="221" t="s">
        <v>27</v>
      </c>
      <c r="B9" s="198">
        <f t="shared" si="0"/>
        <v>16131189.49</v>
      </c>
      <c r="C9" s="198">
        <f t="shared" si="0"/>
        <v>15464621.26</v>
      </c>
      <c r="D9" s="198">
        <f t="shared" si="0"/>
        <v>30342776.66</v>
      </c>
      <c r="E9" s="198">
        <f t="shared" si="0"/>
        <v>61938587.41</v>
      </c>
      <c r="F9" s="342">
        <f t="shared" si="0"/>
        <v>67431523.87</v>
      </c>
      <c r="G9" s="343">
        <f t="shared" si="0"/>
        <v>129370111.28</v>
      </c>
      <c r="I9" s="67"/>
      <c r="J9" s="89"/>
      <c r="K9" s="88"/>
      <c r="L9" s="89"/>
      <c r="M9" s="88"/>
      <c r="N9" s="67"/>
    </row>
    <row r="10" spans="1:14" ht="12.75">
      <c r="A10" s="423" t="s">
        <v>28</v>
      </c>
      <c r="B10" s="198">
        <f t="shared" si="0"/>
        <v>0</v>
      </c>
      <c r="C10" s="198">
        <f t="shared" si="0"/>
        <v>97849.9</v>
      </c>
      <c r="D10" s="198">
        <f t="shared" si="0"/>
        <v>0</v>
      </c>
      <c r="E10" s="198">
        <f t="shared" si="0"/>
        <v>97849.9</v>
      </c>
      <c r="F10" s="342">
        <f t="shared" si="0"/>
        <v>0</v>
      </c>
      <c r="G10" s="343">
        <f t="shared" si="0"/>
        <v>97849.9</v>
      </c>
      <c r="I10" s="67"/>
      <c r="J10" s="89"/>
      <c r="K10" s="88"/>
      <c r="L10" s="89"/>
      <c r="M10" s="88"/>
      <c r="N10" s="67"/>
    </row>
    <row r="11" spans="1:14" ht="12.75">
      <c r="A11" s="221" t="s">
        <v>29</v>
      </c>
      <c r="B11" s="198">
        <f t="shared" si="0"/>
        <v>4524345.13</v>
      </c>
      <c r="C11" s="198">
        <f t="shared" si="0"/>
        <v>998814</v>
      </c>
      <c r="D11" s="198">
        <f t="shared" si="0"/>
        <v>713047.95</v>
      </c>
      <c r="E11" s="198">
        <f t="shared" si="0"/>
        <v>6236207.08</v>
      </c>
      <c r="F11" s="342">
        <f t="shared" si="0"/>
        <v>7186020.53</v>
      </c>
      <c r="G11" s="343">
        <f t="shared" si="0"/>
        <v>13422227.61</v>
      </c>
      <c r="I11" s="67"/>
      <c r="J11" s="89"/>
      <c r="K11" s="88"/>
      <c r="L11" s="89"/>
      <c r="M11" s="88"/>
      <c r="N11" s="67"/>
    </row>
    <row r="12" spans="1:14" ht="12.75">
      <c r="A12" s="221" t="s">
        <v>30</v>
      </c>
      <c r="B12" s="198">
        <f t="shared" si="0"/>
        <v>103628.72</v>
      </c>
      <c r="C12" s="198">
        <f t="shared" si="0"/>
        <v>240000</v>
      </c>
      <c r="D12" s="198">
        <f t="shared" si="0"/>
        <v>509807.6</v>
      </c>
      <c r="E12" s="198">
        <f t="shared" si="0"/>
        <v>853436.32</v>
      </c>
      <c r="F12" s="342">
        <f t="shared" si="0"/>
        <v>0</v>
      </c>
      <c r="G12" s="343">
        <f t="shared" si="0"/>
        <v>853436.32</v>
      </c>
      <c r="I12" s="67"/>
      <c r="J12" s="89"/>
      <c r="K12" s="88"/>
      <c r="L12" s="89"/>
      <c r="M12" s="88"/>
      <c r="N12" s="67"/>
    </row>
    <row r="13" spans="1:14" ht="12.75">
      <c r="A13" s="221" t="s">
        <v>31</v>
      </c>
      <c r="B13" s="198">
        <f t="shared" si="0"/>
        <v>11003348</v>
      </c>
      <c r="C13" s="198">
        <f t="shared" si="0"/>
        <v>1140024.42</v>
      </c>
      <c r="D13" s="198">
        <f t="shared" si="0"/>
        <v>2267437.07</v>
      </c>
      <c r="E13" s="198">
        <f t="shared" si="0"/>
        <v>14410809.49</v>
      </c>
      <c r="F13" s="342">
        <f t="shared" si="0"/>
        <v>266414618.21</v>
      </c>
      <c r="G13" s="343">
        <f t="shared" si="0"/>
        <v>280825427.7</v>
      </c>
      <c r="I13" s="67"/>
      <c r="J13" s="89"/>
      <c r="K13" s="88"/>
      <c r="L13" s="89"/>
      <c r="M13" s="88"/>
      <c r="N13" s="67"/>
    </row>
    <row r="14" spans="1:14" ht="12.75">
      <c r="A14" s="221" t="s">
        <v>32</v>
      </c>
      <c r="B14" s="198">
        <f t="shared" si="0"/>
        <v>18248742.7</v>
      </c>
      <c r="C14" s="198">
        <f t="shared" si="0"/>
        <v>29903000</v>
      </c>
      <c r="D14" s="198">
        <f t="shared" si="0"/>
        <v>48011343.79</v>
      </c>
      <c r="E14" s="198">
        <f t="shared" si="0"/>
        <v>96163086.49000001</v>
      </c>
      <c r="F14" s="342">
        <f t="shared" si="0"/>
        <v>13899225</v>
      </c>
      <c r="G14" s="343">
        <f t="shared" si="0"/>
        <v>110062311.49000001</v>
      </c>
      <c r="J14" s="89"/>
      <c r="K14" s="88"/>
      <c r="L14" s="89"/>
      <c r="M14" s="88"/>
      <c r="N14" s="67"/>
    </row>
    <row r="15" spans="1:14" ht="13.5" thickBot="1">
      <c r="A15" s="223" t="s">
        <v>959</v>
      </c>
      <c r="B15" s="200">
        <f t="shared" si="0"/>
        <v>0</v>
      </c>
      <c r="C15" s="200">
        <f t="shared" si="0"/>
        <v>0</v>
      </c>
      <c r="D15" s="200">
        <f t="shared" si="0"/>
        <v>0</v>
      </c>
      <c r="E15" s="200">
        <f t="shared" si="0"/>
        <v>0</v>
      </c>
      <c r="F15" s="344">
        <f t="shared" si="0"/>
        <v>0</v>
      </c>
      <c r="G15" s="345">
        <f t="shared" si="0"/>
        <v>0</v>
      </c>
      <c r="I15" s="67"/>
      <c r="J15" s="89"/>
      <c r="K15" s="88"/>
      <c r="L15" s="89"/>
      <c r="M15" s="88"/>
      <c r="N15" s="67"/>
    </row>
    <row r="16" spans="1:14" ht="12.75">
      <c r="A16" s="306" t="s">
        <v>0</v>
      </c>
      <c r="B16" s="267">
        <f t="shared" si="0"/>
        <v>59428229.45999999</v>
      </c>
      <c r="C16" s="267">
        <f t="shared" si="0"/>
        <v>53103543.74</v>
      </c>
      <c r="D16" s="267">
        <f t="shared" si="0"/>
        <v>84386532.89</v>
      </c>
      <c r="E16" s="267">
        <f t="shared" si="0"/>
        <v>196918306.09</v>
      </c>
      <c r="F16" s="346">
        <f t="shared" si="0"/>
        <v>373964951.52</v>
      </c>
      <c r="G16" s="347">
        <f t="shared" si="0"/>
        <v>570883257.61</v>
      </c>
      <c r="I16" s="67"/>
      <c r="J16" s="89"/>
      <c r="K16" s="88"/>
      <c r="L16" s="89"/>
      <c r="M16" s="88"/>
      <c r="N16" s="67"/>
    </row>
    <row r="17" spans="1:14" ht="12.75">
      <c r="A17" s="225"/>
      <c r="B17" s="211"/>
      <c r="C17" s="211"/>
      <c r="D17" s="211"/>
      <c r="E17" s="211"/>
      <c r="F17" s="348"/>
      <c r="G17" s="349"/>
      <c r="I17" s="67"/>
      <c r="J17" s="89"/>
      <c r="K17" s="88"/>
      <c r="L17" s="89"/>
      <c r="M17" s="88"/>
      <c r="N17" s="67"/>
    </row>
    <row r="18" spans="1:14" ht="12.75">
      <c r="A18" s="221" t="s">
        <v>33</v>
      </c>
      <c r="B18" s="198">
        <f aca="true" t="shared" si="1" ref="B18:G24">SUMIF($A$1003:$Z$1003,$P$1,B1015:B1015)</f>
        <v>28301606.44</v>
      </c>
      <c r="C18" s="198">
        <f t="shared" si="1"/>
        <v>22589001</v>
      </c>
      <c r="D18" s="198">
        <f t="shared" si="1"/>
        <v>43679800.56</v>
      </c>
      <c r="E18" s="198">
        <f t="shared" si="1"/>
        <v>94570408</v>
      </c>
      <c r="F18" s="342">
        <f t="shared" si="1"/>
        <v>20702613.06</v>
      </c>
      <c r="G18" s="343">
        <f t="shared" si="1"/>
        <v>115273021.06</v>
      </c>
      <c r="I18" s="67"/>
      <c r="J18" s="89"/>
      <c r="K18" s="88"/>
      <c r="L18" s="166"/>
      <c r="M18" s="88"/>
      <c r="N18" s="67"/>
    </row>
    <row r="19" spans="1:14" ht="12.75">
      <c r="A19" s="221" t="s">
        <v>34</v>
      </c>
      <c r="B19" s="198">
        <f t="shared" si="1"/>
        <v>360335.36</v>
      </c>
      <c r="C19" s="198">
        <f t="shared" si="1"/>
        <v>305000</v>
      </c>
      <c r="D19" s="198">
        <f t="shared" si="1"/>
        <v>262590.05</v>
      </c>
      <c r="E19" s="198">
        <f t="shared" si="1"/>
        <v>927925.4099999999</v>
      </c>
      <c r="F19" s="342">
        <f t="shared" si="1"/>
        <v>0</v>
      </c>
      <c r="G19" s="343">
        <f t="shared" si="1"/>
        <v>927925.4099999999</v>
      </c>
      <c r="I19" s="67"/>
      <c r="J19" s="89"/>
      <c r="K19" s="88"/>
      <c r="L19" s="166"/>
      <c r="M19" s="88"/>
      <c r="N19" s="67"/>
    </row>
    <row r="20" spans="1:14" ht="12.75">
      <c r="A20" s="221" t="s">
        <v>35</v>
      </c>
      <c r="B20" s="198">
        <f t="shared" si="1"/>
        <v>17409</v>
      </c>
      <c r="C20" s="198">
        <f t="shared" si="1"/>
        <v>31001</v>
      </c>
      <c r="D20" s="198">
        <f t="shared" si="1"/>
        <v>3224000</v>
      </c>
      <c r="E20" s="198">
        <f t="shared" si="1"/>
        <v>3272410</v>
      </c>
      <c r="F20" s="342">
        <f t="shared" si="1"/>
        <v>28436436.3</v>
      </c>
      <c r="G20" s="343">
        <f t="shared" si="1"/>
        <v>31708846.3</v>
      </c>
      <c r="I20" s="67"/>
      <c r="J20" s="89"/>
      <c r="K20" s="88"/>
      <c r="L20" s="166"/>
      <c r="M20" s="88"/>
      <c r="N20" s="67"/>
    </row>
    <row r="21" spans="1:14" ht="12.75">
      <c r="A21" s="221" t="s">
        <v>36</v>
      </c>
      <c r="B21" s="198">
        <f t="shared" si="1"/>
        <v>8230969.5</v>
      </c>
      <c r="C21" s="198">
        <f t="shared" si="1"/>
        <v>13283257</v>
      </c>
      <c r="D21" s="198">
        <f t="shared" si="1"/>
        <v>5191445.8</v>
      </c>
      <c r="E21" s="198">
        <f t="shared" si="1"/>
        <v>26705672.3</v>
      </c>
      <c r="F21" s="342">
        <f t="shared" si="1"/>
        <v>79744927.6</v>
      </c>
      <c r="G21" s="343">
        <f t="shared" si="1"/>
        <v>106450599.89999999</v>
      </c>
      <c r="I21" s="67"/>
      <c r="J21" s="89"/>
      <c r="K21" s="88"/>
      <c r="L21" s="166"/>
      <c r="M21" s="88"/>
      <c r="N21" s="67"/>
    </row>
    <row r="22" spans="1:14" ht="12.75">
      <c r="A22" s="221" t="s">
        <v>15</v>
      </c>
      <c r="B22" s="198">
        <f t="shared" si="1"/>
        <v>419832</v>
      </c>
      <c r="C22" s="198">
        <f t="shared" si="1"/>
        <v>1593000</v>
      </c>
      <c r="D22" s="198">
        <f t="shared" si="1"/>
        <v>8649884.88</v>
      </c>
      <c r="E22" s="198">
        <f t="shared" si="1"/>
        <v>10662716.88</v>
      </c>
      <c r="F22" s="342">
        <f t="shared" si="1"/>
        <v>70387993.93</v>
      </c>
      <c r="G22" s="343">
        <f t="shared" si="1"/>
        <v>81050710.81</v>
      </c>
      <c r="I22" s="67"/>
      <c r="J22" s="89"/>
      <c r="K22" s="88"/>
      <c r="L22" s="166"/>
      <c r="M22" s="88"/>
      <c r="N22" s="67"/>
    </row>
    <row r="23" spans="1:14" ht="13.5" thickBot="1">
      <c r="A23" s="223" t="s">
        <v>986</v>
      </c>
      <c r="B23" s="200">
        <f t="shared" si="1"/>
        <v>0</v>
      </c>
      <c r="C23" s="200">
        <f t="shared" si="1"/>
        <v>0</v>
      </c>
      <c r="D23" s="200">
        <f t="shared" si="1"/>
        <v>-372772.3</v>
      </c>
      <c r="E23" s="200">
        <f t="shared" si="1"/>
        <v>-372772.3</v>
      </c>
      <c r="F23" s="344">
        <f t="shared" si="1"/>
        <v>0</v>
      </c>
      <c r="G23" s="345">
        <f t="shared" si="1"/>
        <v>-372772.3</v>
      </c>
      <c r="I23" s="67"/>
      <c r="J23" s="89"/>
      <c r="K23" s="88"/>
      <c r="L23" s="166"/>
      <c r="M23" s="88"/>
      <c r="N23" s="67"/>
    </row>
    <row r="24" spans="1:14" ht="12.75">
      <c r="A24" s="224" t="s">
        <v>1</v>
      </c>
      <c r="B24" s="201">
        <f t="shared" si="1"/>
        <v>37330152.3</v>
      </c>
      <c r="C24" s="201">
        <f t="shared" si="1"/>
        <v>37801259</v>
      </c>
      <c r="D24" s="201">
        <f t="shared" si="1"/>
        <v>60634948.99</v>
      </c>
      <c r="E24" s="201">
        <f t="shared" si="1"/>
        <v>135766360.29</v>
      </c>
      <c r="F24" s="350">
        <f t="shared" si="1"/>
        <v>199271970.89</v>
      </c>
      <c r="G24" s="351">
        <f t="shared" si="1"/>
        <v>335038331.18</v>
      </c>
      <c r="I24" s="67"/>
      <c r="J24" s="89"/>
      <c r="K24" s="88"/>
      <c r="L24" s="89"/>
      <c r="M24" s="88"/>
      <c r="N24" s="67"/>
    </row>
    <row r="25" spans="1:14" ht="13.5" thickBot="1">
      <c r="A25" s="226"/>
      <c r="B25" s="227"/>
      <c r="C25" s="227"/>
      <c r="D25" s="227"/>
      <c r="E25" s="227"/>
      <c r="F25" s="352"/>
      <c r="G25" s="353"/>
      <c r="I25" s="67"/>
      <c r="J25" s="89"/>
      <c r="K25" s="88"/>
      <c r="L25" s="89"/>
      <c r="M25" s="88"/>
      <c r="N25" s="67"/>
    </row>
    <row r="26" spans="1:14" ht="13.5" thickBot="1">
      <c r="A26" s="228" t="s">
        <v>878</v>
      </c>
      <c r="B26" s="229">
        <f aca="true" t="shared" si="2" ref="B26:G26">SUMIF($A$1003:$Z$1003,$P$1,B1022:B1022)</f>
        <v>96758381.75999999</v>
      </c>
      <c r="C26" s="229">
        <f t="shared" si="2"/>
        <v>90904802.74000001</v>
      </c>
      <c r="D26" s="229">
        <f t="shared" si="2"/>
        <v>145021481.88</v>
      </c>
      <c r="E26" s="229">
        <f t="shared" si="2"/>
        <v>332684666.38</v>
      </c>
      <c r="F26" s="354">
        <f t="shared" si="2"/>
        <v>573236922.41</v>
      </c>
      <c r="G26" s="355">
        <f t="shared" si="2"/>
        <v>905921588.79</v>
      </c>
      <c r="I26" s="67"/>
      <c r="J26" s="89"/>
      <c r="K26" s="88"/>
      <c r="L26" s="89"/>
      <c r="M26" s="88"/>
      <c r="N26" s="67"/>
    </row>
    <row r="27" spans="1:14" ht="12.75">
      <c r="A27" s="230"/>
      <c r="B27" s="202"/>
      <c r="C27" s="202"/>
      <c r="D27" s="202"/>
      <c r="E27" s="202"/>
      <c r="F27" s="356"/>
      <c r="G27" s="357"/>
      <c r="I27" s="67"/>
      <c r="J27" s="89"/>
      <c r="K27" s="88"/>
      <c r="L27" s="89"/>
      <c r="M27" s="88"/>
      <c r="N27" s="67"/>
    </row>
    <row r="28" spans="1:14" ht="12.75">
      <c r="A28" s="221"/>
      <c r="B28" s="198"/>
      <c r="C28" s="198"/>
      <c r="D28" s="198"/>
      <c r="E28" s="198"/>
      <c r="F28" s="342"/>
      <c r="G28" s="349"/>
      <c r="I28" s="67"/>
      <c r="J28" s="89"/>
      <c r="K28" s="88"/>
      <c r="L28" s="89"/>
      <c r="M28" s="88"/>
      <c r="N28" s="67"/>
    </row>
    <row r="29" spans="1:14" ht="12.75">
      <c r="A29" s="221" t="s">
        <v>37</v>
      </c>
      <c r="B29" s="198">
        <f aca="true" t="shared" si="3" ref="B29:G36">SUMIF($A$1003:$Z$1003,$P$1,B1025:B1025)</f>
        <v>6181550.44</v>
      </c>
      <c r="C29" s="198">
        <f t="shared" si="3"/>
        <v>4892078.05</v>
      </c>
      <c r="D29" s="198">
        <f t="shared" si="3"/>
        <v>7204552.1</v>
      </c>
      <c r="E29" s="198">
        <f t="shared" si="3"/>
        <v>18278180.59</v>
      </c>
      <c r="F29" s="342">
        <f t="shared" si="3"/>
        <v>58805076.1</v>
      </c>
      <c r="G29" s="343">
        <f t="shared" si="3"/>
        <v>77083256.69</v>
      </c>
      <c r="I29" s="67"/>
      <c r="J29" s="89"/>
      <c r="K29" s="88"/>
      <c r="L29" s="89"/>
      <c r="M29" s="88"/>
      <c r="N29" s="67"/>
    </row>
    <row r="30" spans="1:14" ht="12.75">
      <c r="A30" s="221" t="s">
        <v>38</v>
      </c>
      <c r="B30" s="198">
        <f t="shared" si="3"/>
        <v>100000</v>
      </c>
      <c r="C30" s="198">
        <f t="shared" si="3"/>
        <v>5024139.8</v>
      </c>
      <c r="D30" s="198">
        <f t="shared" si="3"/>
        <v>17251265</v>
      </c>
      <c r="E30" s="198">
        <f t="shared" si="3"/>
        <v>22375404.8</v>
      </c>
      <c r="F30" s="342">
        <f t="shared" si="3"/>
        <v>20425000</v>
      </c>
      <c r="G30" s="343">
        <f t="shared" si="3"/>
        <v>42800404.8</v>
      </c>
      <c r="I30" s="67"/>
      <c r="J30" s="89"/>
      <c r="K30" s="88"/>
      <c r="L30" s="89"/>
      <c r="M30" s="88"/>
      <c r="N30" s="67"/>
    </row>
    <row r="31" spans="1:14" ht="12.75">
      <c r="A31" s="221" t="s">
        <v>957</v>
      </c>
      <c r="B31" s="198">
        <f t="shared" si="3"/>
        <v>601244.6</v>
      </c>
      <c r="C31" s="198">
        <f t="shared" si="3"/>
        <v>1403447.05</v>
      </c>
      <c r="D31" s="198">
        <f t="shared" si="3"/>
        <v>857463.59</v>
      </c>
      <c r="E31" s="198">
        <f t="shared" si="3"/>
        <v>2862155.2399999998</v>
      </c>
      <c r="F31" s="342">
        <f t="shared" si="3"/>
        <v>10498006.5</v>
      </c>
      <c r="G31" s="343">
        <f t="shared" si="3"/>
        <v>13360161.74</v>
      </c>
      <c r="I31" s="67"/>
      <c r="J31" s="89"/>
      <c r="K31" s="88"/>
      <c r="L31" s="89"/>
      <c r="M31" s="88"/>
      <c r="N31" s="67"/>
    </row>
    <row r="32" spans="1:14" ht="12.75">
      <c r="A32" s="221" t="s">
        <v>40</v>
      </c>
      <c r="B32" s="198">
        <f t="shared" si="3"/>
        <v>301062.3</v>
      </c>
      <c r="C32" s="198">
        <f t="shared" si="3"/>
        <v>400000</v>
      </c>
      <c r="D32" s="198">
        <f t="shared" si="3"/>
        <v>0</v>
      </c>
      <c r="E32" s="198">
        <f t="shared" si="3"/>
        <v>701062.3</v>
      </c>
      <c r="F32" s="342">
        <f t="shared" si="3"/>
        <v>992700</v>
      </c>
      <c r="G32" s="343">
        <f t="shared" si="3"/>
        <v>1693762.3</v>
      </c>
      <c r="I32" s="67"/>
      <c r="J32" s="89"/>
      <c r="K32" s="88"/>
      <c r="L32" s="89"/>
      <c r="M32" s="88"/>
      <c r="N32" s="67"/>
    </row>
    <row r="33" spans="1:14" ht="12.75">
      <c r="A33" s="221" t="s">
        <v>41</v>
      </c>
      <c r="B33" s="198">
        <f t="shared" si="3"/>
        <v>24159034.8</v>
      </c>
      <c r="C33" s="198">
        <f t="shared" si="3"/>
        <v>22520000</v>
      </c>
      <c r="D33" s="198">
        <f t="shared" si="3"/>
        <v>24392462.25</v>
      </c>
      <c r="E33" s="198">
        <f t="shared" si="3"/>
        <v>71071497.05</v>
      </c>
      <c r="F33" s="342">
        <f t="shared" si="3"/>
        <v>82935209.94</v>
      </c>
      <c r="G33" s="343">
        <f t="shared" si="3"/>
        <v>154006706.99</v>
      </c>
      <c r="I33" s="67"/>
      <c r="J33" s="89"/>
      <c r="K33" s="88"/>
      <c r="L33" s="89"/>
      <c r="M33" s="88"/>
      <c r="N33" s="67"/>
    </row>
    <row r="34" spans="1:14" ht="12.75">
      <c r="A34" s="221" t="s">
        <v>42</v>
      </c>
      <c r="B34" s="198">
        <f t="shared" si="3"/>
        <v>473000</v>
      </c>
      <c r="C34" s="198">
        <f t="shared" si="3"/>
        <v>0</v>
      </c>
      <c r="D34" s="198">
        <f t="shared" si="3"/>
        <v>312395.7</v>
      </c>
      <c r="E34" s="198">
        <f t="shared" si="3"/>
        <v>785395.7</v>
      </c>
      <c r="F34" s="342">
        <f t="shared" si="3"/>
        <v>0</v>
      </c>
      <c r="G34" s="343">
        <f t="shared" si="3"/>
        <v>785395.7</v>
      </c>
      <c r="I34" s="67"/>
      <c r="J34" s="89"/>
      <c r="K34" s="88"/>
      <c r="L34" s="89"/>
      <c r="M34" s="88"/>
      <c r="N34" s="67"/>
    </row>
    <row r="35" spans="1:14" ht="13.5" thickBot="1">
      <c r="A35" s="265" t="s">
        <v>1007</v>
      </c>
      <c r="B35" s="219">
        <f t="shared" si="3"/>
        <v>4601416.4</v>
      </c>
      <c r="C35" s="219">
        <f t="shared" si="3"/>
        <v>582463.25</v>
      </c>
      <c r="D35" s="219">
        <f t="shared" si="3"/>
        <v>2823734.2</v>
      </c>
      <c r="E35" s="219">
        <f t="shared" si="3"/>
        <v>8007613.850000001</v>
      </c>
      <c r="F35" s="358">
        <f t="shared" si="3"/>
        <v>21066053.94</v>
      </c>
      <c r="G35" s="359">
        <f t="shared" si="3"/>
        <v>29073667.790000003</v>
      </c>
      <c r="I35" s="67"/>
      <c r="J35" s="89"/>
      <c r="K35" s="88"/>
      <c r="L35" s="89"/>
      <c r="M35" s="88"/>
      <c r="N35" s="67"/>
    </row>
    <row r="36" spans="1:14" ht="12.75">
      <c r="A36" s="306" t="s">
        <v>5</v>
      </c>
      <c r="B36" s="267">
        <f t="shared" si="3"/>
        <v>36417308.54</v>
      </c>
      <c r="C36" s="267">
        <f t="shared" si="3"/>
        <v>34822128.15</v>
      </c>
      <c r="D36" s="267">
        <f t="shared" si="3"/>
        <v>52841872.84</v>
      </c>
      <c r="E36" s="267">
        <f t="shared" si="3"/>
        <v>124081309.52999999</v>
      </c>
      <c r="F36" s="346">
        <f t="shared" si="3"/>
        <v>194722046.48</v>
      </c>
      <c r="G36" s="347">
        <f t="shared" si="3"/>
        <v>318803356.01</v>
      </c>
      <c r="I36" s="67"/>
      <c r="J36" s="89"/>
      <c r="K36" s="88"/>
      <c r="L36" s="89"/>
      <c r="M36" s="88"/>
      <c r="N36" s="67"/>
    </row>
    <row r="37" spans="1:14" ht="12.75">
      <c r="A37" s="225"/>
      <c r="B37" s="211"/>
      <c r="C37" s="211"/>
      <c r="D37" s="211"/>
      <c r="E37" s="211"/>
      <c r="F37" s="348"/>
      <c r="G37" s="349"/>
      <c r="I37" s="67"/>
      <c r="J37" s="89"/>
      <c r="K37" s="88"/>
      <c r="L37" s="89"/>
      <c r="M37" s="88"/>
      <c r="N37" s="67"/>
    </row>
    <row r="38" spans="1:14" ht="12.75">
      <c r="A38" s="221" t="s">
        <v>1008</v>
      </c>
      <c r="B38" s="198">
        <f aca="true" t="shared" si="4" ref="B38:G46">SUMIF($A$1003:$Z$1003,$P$1,B1033:B1033)</f>
        <v>4478751.8</v>
      </c>
      <c r="C38" s="198">
        <f t="shared" si="4"/>
        <v>2027988.06</v>
      </c>
      <c r="D38" s="198">
        <f t="shared" si="4"/>
        <v>12059098.59</v>
      </c>
      <c r="E38" s="198">
        <f t="shared" si="4"/>
        <v>18565838.45</v>
      </c>
      <c r="F38" s="342">
        <f t="shared" si="4"/>
        <v>0</v>
      </c>
      <c r="G38" s="343">
        <f t="shared" si="4"/>
        <v>18565838.45</v>
      </c>
      <c r="I38" s="67"/>
      <c r="J38" s="89"/>
      <c r="K38" s="88"/>
      <c r="L38" s="89"/>
      <c r="M38" s="88"/>
      <c r="N38" s="67"/>
    </row>
    <row r="39" spans="1:14" ht="12.75">
      <c r="A39" s="221" t="s">
        <v>44</v>
      </c>
      <c r="B39" s="198">
        <f t="shared" si="4"/>
        <v>10734946.86</v>
      </c>
      <c r="C39" s="198">
        <f t="shared" si="4"/>
        <v>2857416.08</v>
      </c>
      <c r="D39" s="198">
        <f t="shared" si="4"/>
        <v>7326194.46</v>
      </c>
      <c r="E39" s="198">
        <f t="shared" si="4"/>
        <v>20918557.4</v>
      </c>
      <c r="F39" s="342">
        <f t="shared" si="4"/>
        <v>166011201.3</v>
      </c>
      <c r="G39" s="343">
        <f t="shared" si="4"/>
        <v>186929758.70000002</v>
      </c>
      <c r="I39" s="67"/>
      <c r="J39" s="89"/>
      <c r="K39" s="88"/>
      <c r="L39" s="89"/>
      <c r="M39" s="88"/>
      <c r="N39" s="67"/>
    </row>
    <row r="40" spans="1:14" ht="12.75">
      <c r="A40" s="221" t="s">
        <v>45</v>
      </c>
      <c r="B40" s="198">
        <f t="shared" si="4"/>
        <v>0</v>
      </c>
      <c r="C40" s="198">
        <f t="shared" si="4"/>
        <v>0</v>
      </c>
      <c r="D40" s="198">
        <f t="shared" si="4"/>
        <v>0</v>
      </c>
      <c r="E40" s="198">
        <f t="shared" si="4"/>
        <v>0</v>
      </c>
      <c r="F40" s="342">
        <f t="shared" si="4"/>
        <v>0</v>
      </c>
      <c r="G40" s="343">
        <f t="shared" si="4"/>
        <v>0</v>
      </c>
      <c r="I40" s="67"/>
      <c r="J40" s="89"/>
      <c r="K40" s="88"/>
      <c r="L40" s="89"/>
      <c r="M40" s="88"/>
      <c r="N40" s="67"/>
    </row>
    <row r="41" spans="1:14" ht="12.75">
      <c r="A41" s="221" t="s">
        <v>46</v>
      </c>
      <c r="B41" s="198">
        <f t="shared" si="4"/>
        <v>1998222.2</v>
      </c>
      <c r="C41" s="198">
        <f t="shared" si="4"/>
        <v>0</v>
      </c>
      <c r="D41" s="198">
        <f t="shared" si="4"/>
        <v>1773216.67</v>
      </c>
      <c r="E41" s="198">
        <f t="shared" si="4"/>
        <v>3771438.87</v>
      </c>
      <c r="F41" s="342">
        <f t="shared" si="4"/>
        <v>0</v>
      </c>
      <c r="G41" s="343">
        <f t="shared" si="4"/>
        <v>3771438.87</v>
      </c>
      <c r="I41" s="67"/>
      <c r="J41" s="89"/>
      <c r="K41" s="88"/>
      <c r="L41" s="89"/>
      <c r="M41" s="88"/>
      <c r="N41" s="67"/>
    </row>
    <row r="42" spans="1:14" ht="12.75">
      <c r="A42" s="221" t="s">
        <v>47</v>
      </c>
      <c r="B42" s="198">
        <f t="shared" si="4"/>
        <v>5161587.5</v>
      </c>
      <c r="C42" s="198">
        <f t="shared" si="4"/>
        <v>11315263.75</v>
      </c>
      <c r="D42" s="198">
        <f t="shared" si="4"/>
        <v>-1226450.55</v>
      </c>
      <c r="E42" s="198">
        <f t="shared" si="4"/>
        <v>15250400.7</v>
      </c>
      <c r="F42" s="342">
        <f t="shared" si="4"/>
        <v>33940732.41</v>
      </c>
      <c r="G42" s="343">
        <f t="shared" si="4"/>
        <v>49191133.11</v>
      </c>
      <c r="I42" s="67"/>
      <c r="J42" s="89"/>
      <c r="K42" s="88"/>
      <c r="L42" s="89"/>
      <c r="M42" s="88"/>
      <c r="N42" s="67"/>
    </row>
    <row r="43" spans="1:14" ht="12.75">
      <c r="A43" s="221" t="s">
        <v>987</v>
      </c>
      <c r="B43" s="198">
        <f t="shared" si="4"/>
        <v>14971732.6</v>
      </c>
      <c r="C43" s="198">
        <f t="shared" si="4"/>
        <v>7256876.15</v>
      </c>
      <c r="D43" s="198">
        <f t="shared" si="4"/>
        <v>23632397.15</v>
      </c>
      <c r="E43" s="198">
        <f t="shared" si="4"/>
        <v>45861005.9</v>
      </c>
      <c r="F43" s="342">
        <f t="shared" si="4"/>
        <v>85440376.21</v>
      </c>
      <c r="G43" s="343">
        <f t="shared" si="4"/>
        <v>131301382.10999998</v>
      </c>
      <c r="I43" s="67"/>
      <c r="J43" s="89"/>
      <c r="K43" s="88"/>
      <c r="L43" s="89"/>
      <c r="M43" s="88"/>
      <c r="N43" s="67"/>
    </row>
    <row r="44" spans="1:14" ht="12.75">
      <c r="A44" s="221" t="s">
        <v>49</v>
      </c>
      <c r="B44" s="198">
        <f t="shared" si="4"/>
        <v>0</v>
      </c>
      <c r="C44" s="198">
        <f t="shared" si="4"/>
        <v>29110673.4</v>
      </c>
      <c r="D44" s="198">
        <f t="shared" si="4"/>
        <v>48142882.46</v>
      </c>
      <c r="E44" s="198">
        <f t="shared" si="4"/>
        <v>77253555.86</v>
      </c>
      <c r="F44" s="342">
        <f t="shared" si="4"/>
        <v>41773103.47</v>
      </c>
      <c r="G44" s="343">
        <f t="shared" si="4"/>
        <v>119026659.33</v>
      </c>
      <c r="I44" s="67"/>
      <c r="J44" s="89"/>
      <c r="K44" s="88"/>
      <c r="L44" s="89"/>
      <c r="M44" s="88"/>
      <c r="N44" s="67"/>
    </row>
    <row r="45" spans="1:14" ht="13.5" thickBot="1">
      <c r="A45" s="223" t="s">
        <v>958</v>
      </c>
      <c r="B45" s="200">
        <f t="shared" si="4"/>
        <v>22995832.26</v>
      </c>
      <c r="C45" s="200">
        <f t="shared" si="4"/>
        <v>3514457.15</v>
      </c>
      <c r="D45" s="200">
        <f t="shared" si="4"/>
        <v>472270.26</v>
      </c>
      <c r="E45" s="200">
        <f t="shared" si="4"/>
        <v>26982559.67</v>
      </c>
      <c r="F45" s="344">
        <f t="shared" si="4"/>
        <v>51349462.54</v>
      </c>
      <c r="G45" s="345">
        <f t="shared" si="4"/>
        <v>78332022.21000001</v>
      </c>
      <c r="I45" s="67"/>
      <c r="J45" s="89"/>
      <c r="K45" s="88"/>
      <c r="L45" s="89"/>
      <c r="M45" s="88"/>
      <c r="N45" s="67"/>
    </row>
    <row r="46" spans="1:14" ht="12.75">
      <c r="A46" s="224" t="s">
        <v>18</v>
      </c>
      <c r="B46" s="201">
        <f t="shared" si="4"/>
        <v>60341073.22</v>
      </c>
      <c r="C46" s="201">
        <f t="shared" si="4"/>
        <v>56082674.589999996</v>
      </c>
      <c r="D46" s="201">
        <f t="shared" si="4"/>
        <v>92179609.04</v>
      </c>
      <c r="E46" s="201">
        <f t="shared" si="4"/>
        <v>208603356.85000002</v>
      </c>
      <c r="F46" s="350">
        <f t="shared" si="4"/>
        <v>378514875.93</v>
      </c>
      <c r="G46" s="351">
        <f t="shared" si="4"/>
        <v>587118232.78</v>
      </c>
      <c r="I46" s="67"/>
      <c r="J46" s="89"/>
      <c r="K46" s="88"/>
      <c r="L46" s="89"/>
      <c r="M46" s="88"/>
      <c r="N46" s="67"/>
    </row>
    <row r="47" spans="1:14" ht="13.5" thickBot="1">
      <c r="A47" s="226"/>
      <c r="B47" s="227"/>
      <c r="C47" s="227"/>
      <c r="D47" s="227"/>
      <c r="E47" s="227"/>
      <c r="F47" s="352"/>
      <c r="G47" s="353"/>
      <c r="I47" s="67"/>
      <c r="J47" s="89"/>
      <c r="K47" s="88"/>
      <c r="L47" s="89"/>
      <c r="M47" s="88"/>
      <c r="N47" s="67"/>
    </row>
    <row r="48" spans="1:14" ht="13.5" thickBot="1">
      <c r="A48" s="228" t="s">
        <v>879</v>
      </c>
      <c r="B48" s="229">
        <f aca="true" t="shared" si="5" ref="B48:G48">SUMIF($A$1003:$Z$1003,$P$1,B1042:B1042)</f>
        <v>96758381.75999999</v>
      </c>
      <c r="C48" s="229">
        <f t="shared" si="5"/>
        <v>90904802.74</v>
      </c>
      <c r="D48" s="229">
        <f t="shared" si="5"/>
        <v>145021481.88</v>
      </c>
      <c r="E48" s="229">
        <f t="shared" si="5"/>
        <v>332684666.38</v>
      </c>
      <c r="F48" s="354">
        <f t="shared" si="5"/>
        <v>573236922.41</v>
      </c>
      <c r="G48" s="355">
        <f t="shared" si="5"/>
        <v>905921588.79</v>
      </c>
      <c r="I48" s="67"/>
      <c r="J48" s="89"/>
      <c r="K48" s="88"/>
      <c r="L48" s="89"/>
      <c r="M48" s="88"/>
      <c r="N48" s="67"/>
    </row>
    <row r="49" spans="1:14" ht="12.75">
      <c r="A49" s="231"/>
      <c r="B49" s="217"/>
      <c r="C49" s="217"/>
      <c r="D49" s="217"/>
      <c r="E49" s="217"/>
      <c r="F49" s="360"/>
      <c r="G49" s="361"/>
      <c r="I49" s="67"/>
      <c r="J49" s="89"/>
      <c r="K49" s="88"/>
      <c r="L49" s="89"/>
      <c r="M49" s="88"/>
      <c r="N49" s="67"/>
    </row>
    <row r="50" spans="1:14" ht="13.5" thickBot="1">
      <c r="A50" s="231"/>
      <c r="B50" s="217"/>
      <c r="C50" s="217"/>
      <c r="D50" s="217"/>
      <c r="E50" s="217"/>
      <c r="F50" s="360"/>
      <c r="G50" s="361"/>
      <c r="I50" s="67"/>
      <c r="J50" s="89"/>
      <c r="K50" s="88"/>
      <c r="L50" s="89"/>
      <c r="M50" s="88"/>
      <c r="N50" s="67"/>
    </row>
    <row r="51" spans="1:14" ht="12.75">
      <c r="A51" s="220" t="s">
        <v>988</v>
      </c>
      <c r="B51" s="245">
        <f aca="true" t="shared" si="6" ref="B51:G51">SUMIF($A$1003:$Z$1003,$P$1,B1921:B1921)</f>
        <v>23010920.919999994</v>
      </c>
      <c r="C51" s="245">
        <f t="shared" si="6"/>
        <v>18281415.590000004</v>
      </c>
      <c r="D51" s="245">
        <f t="shared" si="6"/>
        <v>31544660.049999997</v>
      </c>
      <c r="E51" s="245">
        <f t="shared" si="6"/>
        <v>72836996.56000002</v>
      </c>
      <c r="F51" s="362">
        <f t="shared" si="6"/>
        <v>179242905.04</v>
      </c>
      <c r="G51" s="363">
        <f t="shared" si="6"/>
        <v>252079901.60000002</v>
      </c>
      <c r="I51" s="67"/>
      <c r="J51" s="89"/>
      <c r="K51" s="88"/>
      <c r="L51" s="89"/>
      <c r="M51" s="88"/>
      <c r="N51" s="67"/>
    </row>
    <row r="52" spans="1:14" ht="12.75">
      <c r="A52" s="244"/>
      <c r="B52" s="214"/>
      <c r="C52" s="214"/>
      <c r="D52" s="214"/>
      <c r="E52" s="214"/>
      <c r="F52" s="364"/>
      <c r="G52" s="365"/>
      <c r="I52" s="67"/>
      <c r="J52" s="89"/>
      <c r="K52" s="88"/>
      <c r="L52" s="89"/>
      <c r="M52" s="88"/>
      <c r="N52" s="67"/>
    </row>
    <row r="53" spans="1:14" ht="12.75">
      <c r="A53" s="243" t="s">
        <v>989</v>
      </c>
      <c r="B53" s="204">
        <f aca="true" t="shared" si="7" ref="B53:G53">SUMIF($A$1003:$Z$1003,$P$1,B1928:B1928)</f>
        <v>31259299.42</v>
      </c>
      <c r="C53" s="204">
        <f t="shared" si="7"/>
        <v>31595673.589999996</v>
      </c>
      <c r="D53" s="204">
        <f t="shared" si="7"/>
        <v>39960105.85</v>
      </c>
      <c r="E53" s="204">
        <f t="shared" si="7"/>
        <v>102815078.86000003</v>
      </c>
      <c r="F53" s="366">
        <f t="shared" si="7"/>
        <v>287424268.94000006</v>
      </c>
      <c r="G53" s="367">
        <f t="shared" si="7"/>
        <v>390239347.79999995</v>
      </c>
      <c r="I53" s="67"/>
      <c r="J53" s="89"/>
      <c r="K53" s="88"/>
      <c r="L53" s="89"/>
      <c r="M53" s="88"/>
      <c r="N53" s="67"/>
    </row>
    <row r="54" spans="1:14" ht="12.75">
      <c r="A54" s="244"/>
      <c r="B54" s="214"/>
      <c r="C54" s="214"/>
      <c r="D54" s="214"/>
      <c r="E54" s="214"/>
      <c r="F54" s="364"/>
      <c r="G54" s="365"/>
      <c r="I54" s="67"/>
      <c r="J54" s="89"/>
      <c r="K54" s="88"/>
      <c r="L54" s="89"/>
      <c r="M54" s="88"/>
      <c r="N54" s="67"/>
    </row>
    <row r="55" spans="1:14" ht="13.5" thickBot="1">
      <c r="A55" s="246" t="s">
        <v>1027</v>
      </c>
      <c r="B55" s="213">
        <f aca="true" t="shared" si="8" ref="B55:G55">SUMIF($A$1003:$Z$1003,$P$1,B1905:B1905)</f>
        <v>-30440585.240000002</v>
      </c>
      <c r="C55" s="213">
        <f t="shared" si="8"/>
        <v>-32436217.85</v>
      </c>
      <c r="D55" s="213">
        <f t="shared" si="8"/>
        <v>-48848279.35</v>
      </c>
      <c r="E55" s="213">
        <f t="shared" si="8"/>
        <v>-111725082.44</v>
      </c>
      <c r="F55" s="368">
        <f t="shared" si="8"/>
        <v>-162165286.04</v>
      </c>
      <c r="G55" s="369">
        <f t="shared" si="8"/>
        <v>-273890368.48</v>
      </c>
      <c r="I55" s="67"/>
      <c r="J55" s="89"/>
      <c r="K55" s="88"/>
      <c r="L55" s="89"/>
      <c r="M55" s="88"/>
      <c r="N55" s="67"/>
    </row>
    <row r="56" spans="1:14" ht="13.5" thickBot="1">
      <c r="A56" s="192"/>
      <c r="B56" s="192"/>
      <c r="C56" s="192"/>
      <c r="D56" s="192"/>
      <c r="E56" s="192"/>
      <c r="F56" s="192"/>
      <c r="G56" s="194"/>
      <c r="I56" s="67"/>
      <c r="J56" s="89"/>
      <c r="K56" s="88"/>
      <c r="L56" s="89"/>
      <c r="M56" s="88"/>
      <c r="N56" s="67"/>
    </row>
    <row r="57" spans="1:14" ht="18">
      <c r="A57" s="281" t="s">
        <v>43</v>
      </c>
      <c r="B57" s="282"/>
      <c r="C57" s="282"/>
      <c r="D57" s="282"/>
      <c r="E57" s="282"/>
      <c r="F57" s="282"/>
      <c r="G57" s="284"/>
      <c r="I57" s="67"/>
      <c r="J57" s="89"/>
      <c r="K57" s="88"/>
      <c r="L57" s="89"/>
      <c r="M57" s="88"/>
      <c r="N57" s="67"/>
    </row>
    <row r="58" spans="1:14" ht="12.75">
      <c r="A58" s="271" t="s">
        <v>981</v>
      </c>
      <c r="B58" s="203"/>
      <c r="C58" s="203"/>
      <c r="D58" s="203"/>
      <c r="E58" s="203"/>
      <c r="F58" s="370"/>
      <c r="G58" s="357"/>
      <c r="I58" s="67"/>
      <c r="J58" s="89"/>
      <c r="K58" s="88"/>
      <c r="L58" s="89"/>
      <c r="M58" s="88"/>
      <c r="N58" s="67"/>
    </row>
    <row r="59" spans="1:14" ht="12.75">
      <c r="A59" s="235"/>
      <c r="B59" s="197"/>
      <c r="C59" s="197"/>
      <c r="D59" s="197"/>
      <c r="E59" s="197"/>
      <c r="F59" s="371"/>
      <c r="G59" s="349"/>
      <c r="I59" s="67"/>
      <c r="J59" s="89"/>
      <c r="K59" s="88"/>
      <c r="L59" s="89"/>
      <c r="M59" s="88"/>
      <c r="N59" s="67"/>
    </row>
    <row r="60" spans="1:14" ht="12.75">
      <c r="A60" s="221" t="s">
        <v>8</v>
      </c>
      <c r="B60" s="198">
        <f aca="true" t="shared" si="9" ref="B60:G67">SUMIF($A$1003:$Z$1003,$P$1,B2049:B2049)</f>
        <v>21877511.6</v>
      </c>
      <c r="C60" s="198">
        <f t="shared" si="9"/>
        <v>23409920.500000004</v>
      </c>
      <c r="D60" s="198">
        <f t="shared" si="9"/>
        <v>30682990.540000003</v>
      </c>
      <c r="E60" s="198">
        <f t="shared" si="9"/>
        <v>75970422.64</v>
      </c>
      <c r="F60" s="342">
        <f t="shared" si="9"/>
        <v>71379209</v>
      </c>
      <c r="G60" s="343">
        <f t="shared" si="9"/>
        <v>147349631.64</v>
      </c>
      <c r="I60" s="67"/>
      <c r="J60" s="89"/>
      <c r="K60" s="88"/>
      <c r="L60" s="89"/>
      <c r="M60" s="88"/>
      <c r="N60" s="67"/>
    </row>
    <row r="61" spans="1:14" ht="12.75">
      <c r="A61" s="221" t="s">
        <v>880</v>
      </c>
      <c r="B61" s="198">
        <f t="shared" si="9"/>
        <v>10577287.240000002</v>
      </c>
      <c r="C61" s="198">
        <f t="shared" si="9"/>
        <v>8346573.03</v>
      </c>
      <c r="D61" s="198">
        <f t="shared" si="9"/>
        <v>12542877.870000001</v>
      </c>
      <c r="E61" s="198">
        <f t="shared" si="9"/>
        <v>31466738.14</v>
      </c>
      <c r="F61" s="342">
        <f t="shared" si="9"/>
        <v>31330807</v>
      </c>
      <c r="G61" s="343">
        <f t="shared" si="9"/>
        <v>62797545.14000001</v>
      </c>
      <c r="I61" s="67"/>
      <c r="J61" s="89"/>
      <c r="K61" s="88"/>
      <c r="L61" s="89"/>
      <c r="M61" s="88"/>
      <c r="N61" s="67"/>
    </row>
    <row r="62" spans="1:14" ht="12.75">
      <c r="A62" s="221" t="s">
        <v>990</v>
      </c>
      <c r="B62" s="198">
        <f t="shared" si="9"/>
        <v>3684268</v>
      </c>
      <c r="C62" s="198">
        <f t="shared" si="9"/>
        <v>3242020.98</v>
      </c>
      <c r="D62" s="198">
        <f t="shared" si="9"/>
        <v>6232616.07</v>
      </c>
      <c r="E62" s="198">
        <f t="shared" si="9"/>
        <v>13158905.05</v>
      </c>
      <c r="F62" s="342">
        <f t="shared" si="9"/>
        <v>9019009</v>
      </c>
      <c r="G62" s="343">
        <f t="shared" si="9"/>
        <v>22177914.05</v>
      </c>
      <c r="I62" s="67"/>
      <c r="J62" s="89"/>
      <c r="K62" s="88"/>
      <c r="L62" s="89"/>
      <c r="M62" s="88"/>
      <c r="N62" s="67"/>
    </row>
    <row r="63" spans="1:14" ht="12.75">
      <c r="A63" s="221" t="s">
        <v>1005</v>
      </c>
      <c r="B63" s="198">
        <f t="shared" si="9"/>
        <v>107741.95</v>
      </c>
      <c r="C63" s="198">
        <f t="shared" si="9"/>
        <v>100805.1</v>
      </c>
      <c r="D63" s="198">
        <f t="shared" si="9"/>
        <v>473976.48</v>
      </c>
      <c r="E63" s="198">
        <f t="shared" si="9"/>
        <v>682523.53</v>
      </c>
      <c r="F63" s="342">
        <f t="shared" si="9"/>
        <v>3306200</v>
      </c>
      <c r="G63" s="343">
        <f t="shared" si="9"/>
        <v>3988723.5300000003</v>
      </c>
      <c r="I63" s="67"/>
      <c r="J63" s="89"/>
      <c r="K63" s="88"/>
      <c r="L63" s="89"/>
      <c r="M63" s="88"/>
      <c r="N63" s="67"/>
    </row>
    <row r="64" spans="1:14" ht="12.75">
      <c r="A64" s="221" t="s">
        <v>87</v>
      </c>
      <c r="B64" s="198">
        <f t="shared" si="9"/>
        <v>3827379.65</v>
      </c>
      <c r="C64" s="198">
        <f t="shared" si="9"/>
        <v>5288109.369999999</v>
      </c>
      <c r="D64" s="198">
        <f t="shared" si="9"/>
        <v>8383087.93</v>
      </c>
      <c r="E64" s="198">
        <f t="shared" si="9"/>
        <v>17498576.95</v>
      </c>
      <c r="F64" s="342">
        <f t="shared" si="9"/>
        <v>189993093</v>
      </c>
      <c r="G64" s="343">
        <f t="shared" si="9"/>
        <v>207491669.95</v>
      </c>
      <c r="I64" s="67"/>
      <c r="J64" s="89"/>
      <c r="K64" s="88"/>
      <c r="L64" s="89"/>
      <c r="M64" s="88"/>
      <c r="N64" s="67"/>
    </row>
    <row r="65" spans="1:14" ht="12.75">
      <c r="A65" s="221" t="s">
        <v>9</v>
      </c>
      <c r="B65" s="198">
        <f t="shared" si="9"/>
        <v>0</v>
      </c>
      <c r="C65" s="198">
        <f t="shared" si="9"/>
        <v>0</v>
      </c>
      <c r="D65" s="198">
        <f t="shared" si="9"/>
        <v>0</v>
      </c>
      <c r="E65" s="198">
        <f t="shared" si="9"/>
        <v>0</v>
      </c>
      <c r="F65" s="342">
        <f t="shared" si="9"/>
        <v>28430592</v>
      </c>
      <c r="G65" s="343">
        <f t="shared" si="9"/>
        <v>28430592</v>
      </c>
      <c r="I65" s="67"/>
      <c r="J65" s="89"/>
      <c r="K65" s="88"/>
      <c r="L65" s="89"/>
      <c r="M65" s="88"/>
      <c r="N65" s="67"/>
    </row>
    <row r="66" spans="1:14" ht="13.5" thickBot="1">
      <c r="A66" s="223" t="s">
        <v>10</v>
      </c>
      <c r="B66" s="200">
        <f t="shared" si="9"/>
        <v>5937643.01</v>
      </c>
      <c r="C66" s="200">
        <f t="shared" si="9"/>
        <v>4636688.75</v>
      </c>
      <c r="D66" s="200">
        <f t="shared" si="9"/>
        <v>6493096.64</v>
      </c>
      <c r="E66" s="200">
        <f t="shared" si="9"/>
        <v>17067428.4</v>
      </c>
      <c r="F66" s="344">
        <f t="shared" si="9"/>
        <v>10680140</v>
      </c>
      <c r="G66" s="345">
        <f t="shared" si="9"/>
        <v>27747568.400000002</v>
      </c>
      <c r="I66" s="67"/>
      <c r="J66" s="89"/>
      <c r="K66" s="88"/>
      <c r="L66" s="89"/>
      <c r="M66" s="88"/>
      <c r="N66" s="67"/>
    </row>
    <row r="67" spans="1:14" ht="12.75">
      <c r="A67" s="308" t="s">
        <v>297</v>
      </c>
      <c r="B67" s="317">
        <f t="shared" si="9"/>
        <v>46011831.45</v>
      </c>
      <c r="C67" s="317">
        <f t="shared" si="9"/>
        <v>45024117.730000004</v>
      </c>
      <c r="D67" s="317">
        <f t="shared" si="9"/>
        <v>64808645.53</v>
      </c>
      <c r="E67" s="317">
        <f t="shared" si="9"/>
        <v>155844594.71</v>
      </c>
      <c r="F67" s="372">
        <f t="shared" si="9"/>
        <v>344139050</v>
      </c>
      <c r="G67" s="373">
        <f t="shared" si="9"/>
        <v>499983644.71</v>
      </c>
      <c r="I67" s="67"/>
      <c r="J67" s="89"/>
      <c r="K67" s="88"/>
      <c r="L67" s="89"/>
      <c r="M67" s="88"/>
      <c r="N67" s="67"/>
    </row>
    <row r="68" spans="1:14" ht="12.75">
      <c r="A68" s="225"/>
      <c r="B68" s="198"/>
      <c r="C68" s="198"/>
      <c r="D68" s="198"/>
      <c r="E68" s="198"/>
      <c r="F68" s="342"/>
      <c r="G68" s="343"/>
      <c r="I68" s="67"/>
      <c r="J68" s="89"/>
      <c r="K68" s="88"/>
      <c r="L68" s="89"/>
      <c r="M68" s="88"/>
      <c r="N68" s="67"/>
    </row>
    <row r="69" spans="1:14" ht="12.75">
      <c r="A69" s="221" t="s">
        <v>203</v>
      </c>
      <c r="B69" s="198">
        <f aca="true" t="shared" si="10" ref="B69:G77">SUMIF($A$1003:$Z$1003,$P$1,B2058:B2058)</f>
        <v>-21059526.4</v>
      </c>
      <c r="C69" s="198">
        <f t="shared" si="10"/>
        <v>-28157267.209999997</v>
      </c>
      <c r="D69" s="198">
        <f t="shared" si="10"/>
        <v>-36121013.41</v>
      </c>
      <c r="E69" s="198">
        <f t="shared" si="10"/>
        <v>-85337807.02</v>
      </c>
      <c r="F69" s="342">
        <f t="shared" si="10"/>
        <v>-110076004</v>
      </c>
      <c r="G69" s="343">
        <f t="shared" si="10"/>
        <v>-195413811.01999998</v>
      </c>
      <c r="I69" s="67"/>
      <c r="J69" s="89"/>
      <c r="K69" s="88"/>
      <c r="M69" s="88"/>
      <c r="N69" s="67"/>
    </row>
    <row r="70" spans="1:14" ht="12.75">
      <c r="A70" s="221" t="s">
        <v>105</v>
      </c>
      <c r="B70" s="198">
        <f t="shared" si="10"/>
        <v>-1125800.55</v>
      </c>
      <c r="C70" s="198">
        <f t="shared" si="10"/>
        <v>-599623.35</v>
      </c>
      <c r="D70" s="198">
        <f t="shared" si="10"/>
        <v>-299542.1</v>
      </c>
      <c r="E70" s="198">
        <f t="shared" si="10"/>
        <v>-2024966</v>
      </c>
      <c r="F70" s="342">
        <f t="shared" si="10"/>
        <v>-16143638</v>
      </c>
      <c r="G70" s="343">
        <f t="shared" si="10"/>
        <v>-18168604</v>
      </c>
      <c r="I70" s="67"/>
      <c r="J70" s="89"/>
      <c r="K70" s="88"/>
      <c r="M70" s="88"/>
      <c r="N70" s="67"/>
    </row>
    <row r="71" spans="1:14" ht="12.75">
      <c r="A71" s="221" t="s">
        <v>12</v>
      </c>
      <c r="B71" s="198">
        <f t="shared" si="10"/>
        <v>-7722533.61</v>
      </c>
      <c r="C71" s="198">
        <f t="shared" si="10"/>
        <v>-5713645.430000001</v>
      </c>
      <c r="D71" s="198">
        <f t="shared" si="10"/>
        <v>-8828829.7</v>
      </c>
      <c r="E71" s="198">
        <f t="shared" si="10"/>
        <v>-22265008.740000006</v>
      </c>
      <c r="F71" s="342">
        <f t="shared" si="10"/>
        <v>-58263121</v>
      </c>
      <c r="G71" s="343">
        <f t="shared" si="10"/>
        <v>-80528129.74000001</v>
      </c>
      <c r="I71" s="67"/>
      <c r="J71" s="89"/>
      <c r="K71" s="88"/>
      <c r="M71" s="88"/>
      <c r="N71" s="67"/>
    </row>
    <row r="72" spans="1:14" ht="12.75">
      <c r="A72" s="221" t="s">
        <v>115</v>
      </c>
      <c r="B72" s="198">
        <f t="shared" si="10"/>
        <v>-175823.2</v>
      </c>
      <c r="C72" s="198">
        <f t="shared" si="10"/>
        <v>-789</v>
      </c>
      <c r="D72" s="198">
        <f t="shared" si="10"/>
        <v>-255735.5</v>
      </c>
      <c r="E72" s="198">
        <f t="shared" si="10"/>
        <v>-432347.7</v>
      </c>
      <c r="F72" s="342">
        <f t="shared" si="10"/>
        <v>-135589</v>
      </c>
      <c r="G72" s="343">
        <f t="shared" si="10"/>
        <v>-567936.7000000001</v>
      </c>
      <c r="I72" s="67"/>
      <c r="J72" s="89"/>
      <c r="K72" s="88"/>
      <c r="M72" s="88"/>
      <c r="N72" s="67"/>
    </row>
    <row r="73" spans="1:14" ht="12.75">
      <c r="A73" s="221" t="s">
        <v>1006</v>
      </c>
      <c r="B73" s="198">
        <f t="shared" si="10"/>
        <v>0</v>
      </c>
      <c r="C73" s="198">
        <f t="shared" si="10"/>
        <v>-97780</v>
      </c>
      <c r="D73" s="198">
        <f t="shared" si="10"/>
        <v>-1361400.2</v>
      </c>
      <c r="E73" s="198">
        <f t="shared" si="10"/>
        <v>-1459180.2</v>
      </c>
      <c r="F73" s="342">
        <f t="shared" si="10"/>
        <v>-14928644</v>
      </c>
      <c r="G73" s="343">
        <f t="shared" si="10"/>
        <v>-16387824.2</v>
      </c>
      <c r="I73" s="67"/>
      <c r="J73" s="89"/>
      <c r="K73" s="88"/>
      <c r="M73" s="88"/>
      <c r="N73" s="67"/>
    </row>
    <row r="74" spans="1:14" ht="12.75">
      <c r="A74" s="221" t="s">
        <v>133</v>
      </c>
      <c r="B74" s="198">
        <f t="shared" si="10"/>
        <v>-5415474.090000001</v>
      </c>
      <c r="C74" s="198">
        <f t="shared" si="10"/>
        <v>-2000740.26</v>
      </c>
      <c r="D74" s="198">
        <f t="shared" si="10"/>
        <v>-4527555.32</v>
      </c>
      <c r="E74" s="198">
        <f t="shared" si="10"/>
        <v>-11943769.670000002</v>
      </c>
      <c r="F74" s="342">
        <f t="shared" si="10"/>
        <v>-118667814</v>
      </c>
      <c r="G74" s="343">
        <f t="shared" si="10"/>
        <v>-130611583.67</v>
      </c>
      <c r="I74" s="67"/>
      <c r="J74" s="89"/>
      <c r="K74" s="88"/>
      <c r="N74" s="67"/>
    </row>
    <row r="75" spans="1:14" ht="12.75">
      <c r="A75" s="221" t="s">
        <v>9</v>
      </c>
      <c r="B75" s="198">
        <f t="shared" si="10"/>
        <v>0</v>
      </c>
      <c r="C75" s="198">
        <f t="shared" si="10"/>
        <v>0</v>
      </c>
      <c r="D75" s="198">
        <f t="shared" si="10"/>
        <v>0</v>
      </c>
      <c r="E75" s="198">
        <f t="shared" si="10"/>
        <v>0</v>
      </c>
      <c r="F75" s="342">
        <f t="shared" si="10"/>
        <v>-28430592</v>
      </c>
      <c r="G75" s="343">
        <f t="shared" si="10"/>
        <v>-28430592</v>
      </c>
      <c r="I75" s="67"/>
      <c r="J75" s="89"/>
      <c r="K75" s="88"/>
      <c r="L75" s="89"/>
      <c r="M75" s="88"/>
      <c r="N75" s="67"/>
    </row>
    <row r="76" spans="1:14" ht="13.5" thickBot="1">
      <c r="A76" s="223" t="s">
        <v>10</v>
      </c>
      <c r="B76" s="200">
        <f t="shared" si="10"/>
        <v>-5937643.01</v>
      </c>
      <c r="C76" s="200">
        <f t="shared" si="10"/>
        <v>-4636688.75</v>
      </c>
      <c r="D76" s="200">
        <f t="shared" si="10"/>
        <v>-6493096.64</v>
      </c>
      <c r="E76" s="200">
        <f t="shared" si="10"/>
        <v>-17067428.4</v>
      </c>
      <c r="F76" s="344">
        <f t="shared" si="10"/>
        <v>-10680140</v>
      </c>
      <c r="G76" s="345">
        <f t="shared" si="10"/>
        <v>-27747568.400000002</v>
      </c>
      <c r="I76" s="67"/>
      <c r="J76" s="89"/>
      <c r="K76" s="88"/>
      <c r="L76" s="89"/>
      <c r="M76" s="88"/>
      <c r="N76" s="67"/>
    </row>
    <row r="77" spans="1:14" ht="12.75">
      <c r="A77" s="236" t="s">
        <v>991</v>
      </c>
      <c r="B77" s="210">
        <f t="shared" si="10"/>
        <v>-41436800.86</v>
      </c>
      <c r="C77" s="210">
        <f t="shared" si="10"/>
        <v>-41206534</v>
      </c>
      <c r="D77" s="210">
        <f t="shared" si="10"/>
        <v>-57887172.87</v>
      </c>
      <c r="E77" s="210">
        <f t="shared" si="10"/>
        <v>-140530507.73000002</v>
      </c>
      <c r="F77" s="374">
        <f t="shared" si="10"/>
        <v>-357325542</v>
      </c>
      <c r="G77" s="375">
        <f t="shared" si="10"/>
        <v>-497856049.72999996</v>
      </c>
      <c r="I77" s="67"/>
      <c r="J77" s="89"/>
      <c r="K77" s="88"/>
      <c r="N77" s="67"/>
    </row>
    <row r="78" spans="1:14" ht="13.5" thickBot="1">
      <c r="A78" s="309"/>
      <c r="B78" s="219"/>
      <c r="C78" s="219"/>
      <c r="D78" s="219"/>
      <c r="E78" s="219"/>
      <c r="F78" s="358"/>
      <c r="G78" s="359"/>
      <c r="I78" s="67"/>
      <c r="J78" s="89"/>
      <c r="K78" s="88"/>
      <c r="N78" s="67"/>
    </row>
    <row r="79" spans="1:14" ht="13.5" thickBot="1">
      <c r="A79" s="228" t="s">
        <v>992</v>
      </c>
      <c r="B79" s="229">
        <f aca="true" t="shared" si="11" ref="B79:G79">SUMIF($A$1003:$Z$1003,$P$1,B2068:B2068)</f>
        <v>4575030.590000004</v>
      </c>
      <c r="C79" s="229">
        <f t="shared" si="11"/>
        <v>3817583.730000004</v>
      </c>
      <c r="D79" s="229">
        <f t="shared" si="11"/>
        <v>6921472.660000004</v>
      </c>
      <c r="E79" s="229">
        <f t="shared" si="11"/>
        <v>15314086.97999999</v>
      </c>
      <c r="F79" s="354">
        <f t="shared" si="11"/>
        <v>-13186492</v>
      </c>
      <c r="G79" s="355">
        <f t="shared" si="11"/>
        <v>2127594.980000019</v>
      </c>
      <c r="I79" s="67"/>
      <c r="J79" s="89"/>
      <c r="K79" s="88"/>
      <c r="N79" s="67"/>
    </row>
    <row r="80" spans="1:14" ht="12.75">
      <c r="A80" s="232"/>
      <c r="B80" s="233"/>
      <c r="C80" s="233"/>
      <c r="D80" s="233"/>
      <c r="E80" s="233"/>
      <c r="F80" s="376"/>
      <c r="G80" s="377"/>
      <c r="I80" s="67"/>
      <c r="J80" s="89"/>
      <c r="K80" s="88"/>
      <c r="N80" s="67"/>
    </row>
    <row r="81" spans="1:14" ht="12.75">
      <c r="A81" s="221" t="s">
        <v>77</v>
      </c>
      <c r="B81" s="198">
        <f aca="true" t="shared" si="12" ref="B81:G83">SUMIF($A$1003:$Z$1003,$P$1,B2070:B2070)</f>
        <v>817929.81</v>
      </c>
      <c r="C81" s="198">
        <f t="shared" si="12"/>
        <v>1233973.89</v>
      </c>
      <c r="D81" s="198">
        <f t="shared" si="12"/>
        <v>1210651.79</v>
      </c>
      <c r="E81" s="198">
        <f t="shared" si="12"/>
        <v>3262555.49</v>
      </c>
      <c r="F81" s="342">
        <f t="shared" si="12"/>
        <v>5543599</v>
      </c>
      <c r="G81" s="343">
        <f t="shared" si="12"/>
        <v>8806154.49</v>
      </c>
      <c r="I81" s="67"/>
      <c r="J81" s="89"/>
      <c r="K81" s="90"/>
      <c r="N81" s="67"/>
    </row>
    <row r="82" spans="1:14" ht="13.5" thickBot="1">
      <c r="A82" s="223" t="s">
        <v>23</v>
      </c>
      <c r="B82" s="200">
        <f t="shared" si="12"/>
        <v>-2108066.85</v>
      </c>
      <c r="C82" s="200">
        <f t="shared" si="12"/>
        <v>-3072726.6900000004</v>
      </c>
      <c r="D82" s="200">
        <f t="shared" si="12"/>
        <v>-3330469.76</v>
      </c>
      <c r="E82" s="200">
        <f t="shared" si="12"/>
        <v>-8511263.3</v>
      </c>
      <c r="F82" s="344">
        <f t="shared" si="12"/>
        <v>-13226123</v>
      </c>
      <c r="G82" s="345">
        <f t="shared" si="12"/>
        <v>-21737386.3</v>
      </c>
      <c r="I82" s="67"/>
      <c r="J82" s="67"/>
      <c r="K82" s="90"/>
      <c r="N82" s="67"/>
    </row>
    <row r="83" spans="1:14" ht="12.75">
      <c r="A83" s="236" t="s">
        <v>305</v>
      </c>
      <c r="B83" s="210">
        <f t="shared" si="12"/>
        <v>-1290137.04</v>
      </c>
      <c r="C83" s="210">
        <f t="shared" si="12"/>
        <v>-1838752.8000000005</v>
      </c>
      <c r="D83" s="210">
        <f t="shared" si="12"/>
        <v>-2119817.9699999997</v>
      </c>
      <c r="E83" s="210">
        <f t="shared" si="12"/>
        <v>-5248707.8100000005</v>
      </c>
      <c r="F83" s="374">
        <f t="shared" si="12"/>
        <v>-7682524</v>
      </c>
      <c r="G83" s="375">
        <f t="shared" si="12"/>
        <v>-12931231.81</v>
      </c>
      <c r="I83" s="67"/>
      <c r="J83" s="67"/>
      <c r="K83" s="90"/>
      <c r="N83" s="67"/>
    </row>
    <row r="84" spans="1:14" ht="13.5" thickBot="1">
      <c r="A84" s="309"/>
      <c r="B84" s="219"/>
      <c r="C84" s="219"/>
      <c r="D84" s="219"/>
      <c r="E84" s="219"/>
      <c r="F84" s="358"/>
      <c r="G84" s="359"/>
      <c r="I84" s="67"/>
      <c r="J84" s="67"/>
      <c r="K84" s="90"/>
      <c r="N84" s="67"/>
    </row>
    <row r="85" spans="1:14" ht="13.5" thickBot="1">
      <c r="A85" s="228" t="s">
        <v>302</v>
      </c>
      <c r="B85" s="229">
        <f aca="true" t="shared" si="13" ref="B85:G85">SUMIF($A$1003:$Z$1003,$P$1,B2074:B2074)</f>
        <v>3284893.5500000035</v>
      </c>
      <c r="C85" s="229">
        <f t="shared" si="13"/>
        <v>1978830.9300000037</v>
      </c>
      <c r="D85" s="229">
        <f t="shared" si="13"/>
        <v>4801654.690000004</v>
      </c>
      <c r="E85" s="229">
        <f t="shared" si="13"/>
        <v>10065379.169999989</v>
      </c>
      <c r="F85" s="354">
        <f t="shared" si="13"/>
        <v>-20869016</v>
      </c>
      <c r="G85" s="355">
        <f t="shared" si="13"/>
        <v>-10803636.829999981</v>
      </c>
      <c r="I85" s="67"/>
      <c r="J85" s="67"/>
      <c r="K85" s="90"/>
      <c r="N85" s="67"/>
    </row>
    <row r="86" spans="1:14" ht="12.75">
      <c r="A86" s="232"/>
      <c r="B86" s="233"/>
      <c r="C86" s="233"/>
      <c r="D86" s="233"/>
      <c r="E86" s="233"/>
      <c r="F86" s="376"/>
      <c r="G86" s="377"/>
      <c r="I86" s="67"/>
      <c r="J86" s="67"/>
      <c r="K86" s="90"/>
      <c r="N86" s="67"/>
    </row>
    <row r="87" spans="1:14" ht="12.75">
      <c r="A87" s="221" t="s">
        <v>303</v>
      </c>
      <c r="B87" s="198">
        <f aca="true" t="shared" si="14" ref="B87:G89">SUMIF($A$1003:$Z$1003,$P$1,B2076:B2076)</f>
        <v>1060893.53</v>
      </c>
      <c r="C87" s="198">
        <f t="shared" si="14"/>
        <v>2005225</v>
      </c>
      <c r="D87" s="198">
        <f t="shared" si="14"/>
        <v>372772.3</v>
      </c>
      <c r="E87" s="198">
        <f t="shared" si="14"/>
        <v>3438890.8299999996</v>
      </c>
      <c r="F87" s="342">
        <f t="shared" si="14"/>
        <v>12901113</v>
      </c>
      <c r="G87" s="343">
        <f t="shared" si="14"/>
        <v>16340003.830000002</v>
      </c>
      <c r="I87" s="67"/>
      <c r="J87" s="67"/>
      <c r="K87" s="90"/>
      <c r="N87" s="67"/>
    </row>
    <row r="88" spans="1:14" ht="13.5" thickBot="1">
      <c r="A88" s="223" t="s">
        <v>138</v>
      </c>
      <c r="B88" s="200">
        <f t="shared" si="14"/>
        <v>-4983345.680000001</v>
      </c>
      <c r="C88" s="200">
        <f t="shared" si="14"/>
        <v>-7498513.079999999</v>
      </c>
      <c r="D88" s="200">
        <f t="shared" si="14"/>
        <v>-5646697.25</v>
      </c>
      <c r="E88" s="200">
        <f t="shared" si="14"/>
        <v>-18128556.009999998</v>
      </c>
      <c r="F88" s="344">
        <f t="shared" si="14"/>
        <v>-134365</v>
      </c>
      <c r="G88" s="345">
        <f t="shared" si="14"/>
        <v>-18262921.009999998</v>
      </c>
      <c r="I88" s="67"/>
      <c r="J88" s="67"/>
      <c r="K88" s="90"/>
      <c r="N88" s="67"/>
    </row>
    <row r="89" spans="1:14" ht="12.75">
      <c r="A89" s="236" t="s">
        <v>307</v>
      </c>
      <c r="B89" s="210">
        <f t="shared" si="14"/>
        <v>-3922452.1500000004</v>
      </c>
      <c r="C89" s="210">
        <f t="shared" si="14"/>
        <v>-5493288.079999999</v>
      </c>
      <c r="D89" s="210">
        <f t="shared" si="14"/>
        <v>-5273924.95</v>
      </c>
      <c r="E89" s="210">
        <f t="shared" si="14"/>
        <v>-14689665.179999998</v>
      </c>
      <c r="F89" s="374">
        <f t="shared" si="14"/>
        <v>12766748</v>
      </c>
      <c r="G89" s="375">
        <f t="shared" si="14"/>
        <v>-1922917.179999996</v>
      </c>
      <c r="I89" s="67"/>
      <c r="J89" s="67"/>
      <c r="K89" s="90"/>
      <c r="N89" s="67"/>
    </row>
    <row r="90" spans="1:14" ht="12.75">
      <c r="A90" s="237"/>
      <c r="B90" s="198"/>
      <c r="C90" s="198"/>
      <c r="D90" s="198"/>
      <c r="E90" s="198"/>
      <c r="F90" s="342"/>
      <c r="G90" s="343"/>
      <c r="I90" s="67"/>
      <c r="J90" s="67"/>
      <c r="K90" s="90"/>
      <c r="N90" s="67"/>
    </row>
    <row r="91" spans="1:14" ht="13.5" thickBot="1">
      <c r="A91" s="309"/>
      <c r="B91" s="219"/>
      <c r="C91" s="219"/>
      <c r="D91" s="219"/>
      <c r="E91" s="219"/>
      <c r="F91" s="358"/>
      <c r="G91" s="359"/>
      <c r="I91" s="67"/>
      <c r="J91" s="67"/>
      <c r="K91" s="90"/>
      <c r="N91" s="67"/>
    </row>
    <row r="92" spans="1:14" ht="13.5" thickBot="1">
      <c r="A92" s="311" t="s">
        <v>993</v>
      </c>
      <c r="B92" s="318">
        <f aca="true" t="shared" si="15" ref="B92:G92">SUMIF($A$1003:$Z$1003,$P$1,B2080:B2080)</f>
        <v>-637558.5999999968</v>
      </c>
      <c r="C92" s="318">
        <f t="shared" si="15"/>
        <v>-3514457.1499999957</v>
      </c>
      <c r="D92" s="318">
        <f t="shared" si="15"/>
        <v>-472270.25999999605</v>
      </c>
      <c r="E92" s="318">
        <f t="shared" si="15"/>
        <v>-4624286.010000009</v>
      </c>
      <c r="F92" s="378">
        <f t="shared" si="15"/>
        <v>-8102268</v>
      </c>
      <c r="G92" s="379">
        <f t="shared" si="15"/>
        <v>-12726554.009999977</v>
      </c>
      <c r="I92" s="67"/>
      <c r="K92" s="2"/>
      <c r="N92" s="67"/>
    </row>
    <row r="93" spans="1:14" ht="12.75">
      <c r="A93" s="312"/>
      <c r="B93" s="313"/>
      <c r="C93" s="313"/>
      <c r="D93" s="313"/>
      <c r="E93" s="313"/>
      <c r="F93" s="380"/>
      <c r="G93" s="381"/>
      <c r="I93" s="67"/>
      <c r="K93" s="2"/>
      <c r="N93" s="67"/>
    </row>
    <row r="94" spans="1:14" ht="13.5" thickBot="1">
      <c r="A94" s="239"/>
      <c r="B94" s="234"/>
      <c r="C94" s="234"/>
      <c r="D94" s="234"/>
      <c r="E94" s="234"/>
      <c r="F94" s="382"/>
      <c r="G94" s="383"/>
      <c r="I94" s="67"/>
      <c r="K94" s="2"/>
      <c r="N94" s="67"/>
    </row>
    <row r="95" spans="1:14" ht="12.75">
      <c r="A95" s="230"/>
      <c r="B95" s="202"/>
      <c r="C95" s="202"/>
      <c r="D95" s="202"/>
      <c r="E95" s="202"/>
      <c r="F95" s="356"/>
      <c r="G95" s="384"/>
      <c r="I95" s="67"/>
      <c r="K95" s="2"/>
      <c r="N95" s="67"/>
    </row>
    <row r="96" spans="1:14" ht="12.75">
      <c r="A96" s="244" t="s">
        <v>960</v>
      </c>
      <c r="B96" s="204">
        <f aca="true" t="shared" si="16" ref="B96:G98">SUMIF($A$1003:$Z$1003,$P$1,B2090:B2090)</f>
        <v>47890654.79000001</v>
      </c>
      <c r="C96" s="204">
        <f t="shared" si="16"/>
        <v>48263316.620000005</v>
      </c>
      <c r="D96" s="204">
        <f t="shared" si="16"/>
        <v>66392069.62</v>
      </c>
      <c r="E96" s="204">
        <f t="shared" si="16"/>
        <v>162546041.03</v>
      </c>
      <c r="F96" s="366">
        <f t="shared" si="16"/>
        <v>362583762</v>
      </c>
      <c r="G96" s="367">
        <f t="shared" si="16"/>
        <v>525129803.03</v>
      </c>
      <c r="I96" s="67"/>
      <c r="K96" s="2"/>
      <c r="N96" s="67"/>
    </row>
    <row r="97" spans="1:14" ht="12.75">
      <c r="A97" s="244" t="s">
        <v>961</v>
      </c>
      <c r="B97" s="204">
        <f t="shared" si="16"/>
        <v>-48528213.39</v>
      </c>
      <c r="C97" s="204">
        <f t="shared" si="16"/>
        <v>-51777773.769999996</v>
      </c>
      <c r="D97" s="204">
        <f t="shared" si="16"/>
        <v>-66864339.879999995</v>
      </c>
      <c r="E97" s="204">
        <f t="shared" si="16"/>
        <v>-167170327.04000002</v>
      </c>
      <c r="F97" s="366">
        <f t="shared" si="16"/>
        <v>-370686030</v>
      </c>
      <c r="G97" s="367">
        <f t="shared" si="16"/>
        <v>-537856357.04</v>
      </c>
      <c r="I97" s="67"/>
      <c r="K97" s="2"/>
      <c r="N97" s="67"/>
    </row>
    <row r="98" spans="1:14" ht="12.75">
      <c r="A98" s="243" t="s">
        <v>993</v>
      </c>
      <c r="B98" s="204">
        <f t="shared" si="16"/>
        <v>-637558.599999994</v>
      </c>
      <c r="C98" s="204">
        <f t="shared" si="16"/>
        <v>-3514457.149999991</v>
      </c>
      <c r="D98" s="204">
        <f t="shared" si="16"/>
        <v>-472270.2599999979</v>
      </c>
      <c r="E98" s="204">
        <f t="shared" si="16"/>
        <v>-4624286.01000002</v>
      </c>
      <c r="F98" s="366">
        <f t="shared" si="16"/>
        <v>-8102268</v>
      </c>
      <c r="G98" s="367">
        <f t="shared" si="16"/>
        <v>-12726554.00999999</v>
      </c>
      <c r="I98" s="67"/>
      <c r="K98" s="2"/>
      <c r="N98" s="67"/>
    </row>
    <row r="99" spans="1:14" ht="13.5" thickBot="1">
      <c r="A99" s="265"/>
      <c r="B99" s="219"/>
      <c r="C99" s="219"/>
      <c r="D99" s="219"/>
      <c r="E99" s="219"/>
      <c r="F99" s="358"/>
      <c r="G99" s="359"/>
      <c r="I99" s="67"/>
      <c r="K99" s="2"/>
      <c r="N99" s="67"/>
    </row>
    <row r="100" spans="1:14" ht="13.5" thickBot="1">
      <c r="A100" s="310"/>
      <c r="B100" s="314"/>
      <c r="C100" s="314"/>
      <c r="D100" s="314"/>
      <c r="E100" s="314"/>
      <c r="F100" s="385"/>
      <c r="G100" s="386"/>
      <c r="I100" s="67"/>
      <c r="K100" s="2"/>
      <c r="N100" s="67"/>
    </row>
    <row r="101" spans="1:14" ht="12.75">
      <c r="A101" s="230"/>
      <c r="B101" s="202"/>
      <c r="C101" s="202"/>
      <c r="D101" s="202"/>
      <c r="E101" s="202"/>
      <c r="F101" s="356"/>
      <c r="G101" s="384"/>
      <c r="I101" s="67"/>
      <c r="K101" s="2"/>
      <c r="N101" s="67"/>
    </row>
    <row r="102" spans="1:14" ht="12.75">
      <c r="A102" s="243" t="s">
        <v>253</v>
      </c>
      <c r="B102" s="204">
        <f aca="true" t="shared" si="17" ref="B102:G102">SUMIF($A$1003:$Z$1003,$P$1,B1976:B1976)</f>
        <v>4451923.55</v>
      </c>
      <c r="C102" s="204">
        <f t="shared" si="17"/>
        <v>7119470.129999999</v>
      </c>
      <c r="D102" s="204">
        <f t="shared" si="17"/>
        <v>7554149.660000001</v>
      </c>
      <c r="E102" s="204">
        <f t="shared" si="17"/>
        <v>19125543.340000007</v>
      </c>
      <c r="F102" s="366">
        <f t="shared" si="17"/>
        <v>23337636</v>
      </c>
      <c r="G102" s="367">
        <f t="shared" si="17"/>
        <v>42463179.34000001</v>
      </c>
      <c r="I102" s="67"/>
      <c r="K102" s="2"/>
      <c r="N102" s="67"/>
    </row>
    <row r="103" spans="1:14" ht="13.5" thickBot="1">
      <c r="A103" s="223"/>
      <c r="B103" s="200"/>
      <c r="C103" s="200"/>
      <c r="D103" s="200"/>
      <c r="E103" s="200"/>
      <c r="F103" s="344"/>
      <c r="G103" s="345"/>
      <c r="I103" s="67"/>
      <c r="K103" s="2"/>
      <c r="N103" s="67"/>
    </row>
    <row r="104" spans="1:14" ht="13.5" thickBot="1">
      <c r="A104" s="192"/>
      <c r="B104" s="193"/>
      <c r="C104" s="193"/>
      <c r="D104" s="193"/>
      <c r="E104" s="193"/>
      <c r="F104" s="193"/>
      <c r="G104" s="194"/>
      <c r="I104" s="67"/>
      <c r="K104" s="2"/>
      <c r="N104" s="67"/>
    </row>
    <row r="105" spans="1:14" ht="18">
      <c r="A105" s="285" t="s">
        <v>21</v>
      </c>
      <c r="B105" s="286"/>
      <c r="C105" s="286"/>
      <c r="D105" s="286"/>
      <c r="E105" s="286"/>
      <c r="F105" s="286"/>
      <c r="G105" s="288"/>
      <c r="I105" s="67"/>
      <c r="K105" s="2"/>
      <c r="N105" s="67"/>
    </row>
    <row r="106" spans="1:14" ht="12.75">
      <c r="A106" s="230"/>
      <c r="B106" s="272"/>
      <c r="C106" s="272"/>
      <c r="D106" s="272"/>
      <c r="E106" s="272"/>
      <c r="F106" s="387"/>
      <c r="G106" s="357"/>
      <c r="I106" s="67"/>
      <c r="K106" s="2"/>
      <c r="N106" s="67"/>
    </row>
    <row r="107" spans="1:14" ht="12.75">
      <c r="A107" s="221" t="s">
        <v>153</v>
      </c>
      <c r="B107" s="198">
        <f aca="true" t="shared" si="18" ref="B107:G107">SUMIF($A$1003:$Z$1003,$P$1,B1195:B1195)</f>
        <v>7107548.220000001</v>
      </c>
      <c r="C107" s="198">
        <f t="shared" si="18"/>
        <v>3028344.3</v>
      </c>
      <c r="D107" s="198">
        <f t="shared" si="18"/>
        <v>5188694.4799999995</v>
      </c>
      <c r="E107" s="198">
        <f t="shared" si="18"/>
        <v>15324587</v>
      </c>
      <c r="F107" s="342">
        <f t="shared" si="18"/>
        <v>11527649</v>
      </c>
      <c r="G107" s="343">
        <f t="shared" si="18"/>
        <v>26852236</v>
      </c>
      <c r="I107" s="67"/>
      <c r="K107" s="2"/>
      <c r="N107" s="67"/>
    </row>
    <row r="108" spans="1:14" ht="12.75">
      <c r="A108" s="221" t="s">
        <v>154</v>
      </c>
      <c r="B108" s="198">
        <f aca="true" t="shared" si="19" ref="B108:G108">SUMIF($A$1003:$Z$1003,$P$1,B1204:B1204)</f>
        <v>0</v>
      </c>
      <c r="C108" s="198">
        <f t="shared" si="19"/>
        <v>0</v>
      </c>
      <c r="D108" s="198">
        <f t="shared" si="19"/>
        <v>0</v>
      </c>
      <c r="E108" s="198">
        <f t="shared" si="19"/>
        <v>0</v>
      </c>
      <c r="F108" s="342">
        <f t="shared" si="19"/>
        <v>0</v>
      </c>
      <c r="G108" s="343">
        <f t="shared" si="19"/>
        <v>0</v>
      </c>
      <c r="I108" s="67"/>
      <c r="K108" s="2"/>
      <c r="N108" s="67"/>
    </row>
    <row r="109" spans="1:14" ht="12.75">
      <c r="A109" s="221" t="s">
        <v>34</v>
      </c>
      <c r="B109" s="198">
        <f aca="true" t="shared" si="20" ref="B109:G109">SUMIF($A$1003:$Z$1003,$P$1,B1208:B1208)</f>
        <v>372319.18</v>
      </c>
      <c r="C109" s="198">
        <f t="shared" si="20"/>
        <v>328031.7</v>
      </c>
      <c r="D109" s="198">
        <f t="shared" si="20"/>
        <v>63289.5</v>
      </c>
      <c r="E109" s="198">
        <f t="shared" si="20"/>
        <v>763640.38</v>
      </c>
      <c r="F109" s="342">
        <f t="shared" si="20"/>
        <v>1277303</v>
      </c>
      <c r="G109" s="343">
        <f t="shared" si="20"/>
        <v>2040943.38</v>
      </c>
      <c r="I109" s="67"/>
      <c r="K109" s="2"/>
      <c r="N109" s="67"/>
    </row>
    <row r="110" spans="1:14" ht="12.75">
      <c r="A110" s="221" t="s">
        <v>35</v>
      </c>
      <c r="B110" s="198">
        <f aca="true" t="shared" si="21" ref="B110:G110">SUMIF($A$1003:$Z$1003,$P$1,B1218:B1218)</f>
        <v>0</v>
      </c>
      <c r="C110" s="198">
        <f t="shared" si="21"/>
        <v>0</v>
      </c>
      <c r="D110" s="198">
        <f t="shared" si="21"/>
        <v>0</v>
      </c>
      <c r="E110" s="198">
        <f t="shared" si="21"/>
        <v>0</v>
      </c>
      <c r="F110" s="342">
        <f t="shared" si="21"/>
        <v>70000</v>
      </c>
      <c r="G110" s="343">
        <f t="shared" si="21"/>
        <v>70000</v>
      </c>
      <c r="I110" s="67"/>
      <c r="K110" s="2"/>
      <c r="N110" s="67"/>
    </row>
    <row r="111" spans="1:14" ht="12.75">
      <c r="A111" s="221" t="s">
        <v>167</v>
      </c>
      <c r="B111" s="198">
        <f aca="true" t="shared" si="22" ref="B111:G111">SUMIF($A$1003:$Z$1003,$P$1,B1228:B1228)</f>
        <v>0</v>
      </c>
      <c r="C111" s="198">
        <f t="shared" si="22"/>
        <v>0</v>
      </c>
      <c r="D111" s="198">
        <f t="shared" si="22"/>
        <v>0</v>
      </c>
      <c r="E111" s="198">
        <f t="shared" si="22"/>
        <v>0</v>
      </c>
      <c r="F111" s="342">
        <f t="shared" si="22"/>
        <v>40000</v>
      </c>
      <c r="G111" s="343">
        <f t="shared" si="22"/>
        <v>40000</v>
      </c>
      <c r="I111" s="67"/>
      <c r="K111" s="2"/>
      <c r="N111" s="67"/>
    </row>
    <row r="112" spans="1:14" ht="12.75">
      <c r="A112" s="221" t="s">
        <v>882</v>
      </c>
      <c r="B112" s="198">
        <f aca="true" t="shared" si="23" ref="B112:G112">SUMIF($A$1003:$Z$1003,$P$1,B1238:B1238)</f>
        <v>171507.95</v>
      </c>
      <c r="C112" s="198">
        <f t="shared" si="23"/>
        <v>51311.9</v>
      </c>
      <c r="D112" s="198">
        <f t="shared" si="23"/>
        <v>406378.4</v>
      </c>
      <c r="E112" s="198">
        <f t="shared" si="23"/>
        <v>629198.25</v>
      </c>
      <c r="F112" s="342">
        <f t="shared" si="23"/>
        <v>13617807</v>
      </c>
      <c r="G112" s="343">
        <f t="shared" si="23"/>
        <v>14247005.25</v>
      </c>
      <c r="I112" s="67"/>
      <c r="K112" s="2"/>
      <c r="N112" s="67"/>
    </row>
    <row r="113" spans="1:14" ht="12.75">
      <c r="A113" s="221" t="s">
        <v>169</v>
      </c>
      <c r="B113" s="198">
        <f aca="true" t="shared" si="24" ref="B113:G113">SUMIF($A$1003:$Z$1003,$P$1,B1248:B1248)</f>
        <v>0</v>
      </c>
      <c r="C113" s="198">
        <f t="shared" si="24"/>
        <v>0</v>
      </c>
      <c r="D113" s="198">
        <f t="shared" si="24"/>
        <v>0</v>
      </c>
      <c r="E113" s="198">
        <f t="shared" si="24"/>
        <v>0</v>
      </c>
      <c r="F113" s="342">
        <f t="shared" si="24"/>
        <v>3607338</v>
      </c>
      <c r="G113" s="343">
        <f t="shared" si="24"/>
        <v>3607338</v>
      </c>
      <c r="I113" s="67"/>
      <c r="K113" s="2"/>
      <c r="N113" s="67"/>
    </row>
    <row r="114" spans="1:14" ht="13.5" thickBot="1">
      <c r="A114" s="223" t="s">
        <v>997</v>
      </c>
      <c r="B114" s="200">
        <f aca="true" t="shared" si="25" ref="B114:G115">SUMIF($A$1003:$Z$1003,$P$1,B1255:B1255)</f>
        <v>0</v>
      </c>
      <c r="C114" s="200">
        <f t="shared" si="25"/>
        <v>0</v>
      </c>
      <c r="D114" s="200">
        <f t="shared" si="25"/>
        <v>0</v>
      </c>
      <c r="E114" s="200">
        <f t="shared" si="25"/>
        <v>0</v>
      </c>
      <c r="F114" s="344">
        <f t="shared" si="25"/>
        <v>0</v>
      </c>
      <c r="G114" s="345">
        <f t="shared" si="25"/>
        <v>0</v>
      </c>
      <c r="I114" s="67"/>
      <c r="K114" s="2"/>
      <c r="N114" s="67"/>
    </row>
    <row r="115" spans="1:14" ht="12.75">
      <c r="A115" s="306" t="s">
        <v>172</v>
      </c>
      <c r="B115" s="267">
        <f t="shared" si="25"/>
        <v>7651375.350000001</v>
      </c>
      <c r="C115" s="267">
        <f t="shared" si="25"/>
        <v>3407687.9</v>
      </c>
      <c r="D115" s="267">
        <f t="shared" si="25"/>
        <v>5658362.38</v>
      </c>
      <c r="E115" s="267">
        <f t="shared" si="25"/>
        <v>16717425.63</v>
      </c>
      <c r="F115" s="346">
        <f t="shared" si="25"/>
        <v>30140097</v>
      </c>
      <c r="G115" s="347">
        <f t="shared" si="25"/>
        <v>46857522.629999995</v>
      </c>
      <c r="I115" s="67"/>
      <c r="K115" s="2"/>
      <c r="N115" s="67"/>
    </row>
    <row r="116" spans="1:14" ht="12.75">
      <c r="A116" s="236"/>
      <c r="B116" s="198"/>
      <c r="C116" s="198"/>
      <c r="D116" s="198"/>
      <c r="E116" s="198"/>
      <c r="F116" s="342"/>
      <c r="G116" s="343"/>
      <c r="I116" s="67"/>
      <c r="K116" s="2"/>
      <c r="N116" s="67"/>
    </row>
    <row r="117" spans="1:14" ht="12.75">
      <c r="A117" s="221" t="s">
        <v>994</v>
      </c>
      <c r="B117" s="198">
        <f aca="true" t="shared" si="26" ref="B117:G117">-SUMIF($A$1003:$Z$1003,$P$1,B1267:B1267)</f>
        <v>0</v>
      </c>
      <c r="C117" s="198">
        <f t="shared" si="26"/>
        <v>0</v>
      </c>
      <c r="D117" s="198">
        <f t="shared" si="26"/>
        <v>0</v>
      </c>
      <c r="E117" s="198">
        <f t="shared" si="26"/>
        <v>0</v>
      </c>
      <c r="F117" s="342">
        <f t="shared" si="26"/>
        <v>0</v>
      </c>
      <c r="G117" s="343">
        <f t="shared" si="26"/>
        <v>0</v>
      </c>
      <c r="I117" s="67"/>
      <c r="K117" s="2"/>
      <c r="N117" s="67"/>
    </row>
    <row r="118" spans="1:14" ht="12.75">
      <c r="A118" s="221" t="s">
        <v>112</v>
      </c>
      <c r="B118" s="198">
        <f aca="true" t="shared" si="27" ref="B118:G118">-SUMIF($A$1003:$Z$1003,$P$1,B1276:B1276)</f>
        <v>0</v>
      </c>
      <c r="C118" s="198">
        <f t="shared" si="27"/>
        <v>0</v>
      </c>
      <c r="D118" s="198">
        <f t="shared" si="27"/>
        <v>0</v>
      </c>
      <c r="E118" s="198">
        <f t="shared" si="27"/>
        <v>0</v>
      </c>
      <c r="F118" s="342">
        <f t="shared" si="27"/>
        <v>0</v>
      </c>
      <c r="G118" s="343">
        <f t="shared" si="27"/>
        <v>0</v>
      </c>
      <c r="I118" s="67"/>
      <c r="K118" s="2"/>
      <c r="N118" s="67"/>
    </row>
    <row r="119" spans="1:14" ht="12.75">
      <c r="A119" s="221" t="s">
        <v>185</v>
      </c>
      <c r="B119" s="198">
        <f aca="true" t="shared" si="28" ref="B119:G119">-SUMIF($A$1003:$Z$1003,$P$1,B1280:B1280)</f>
        <v>0</v>
      </c>
      <c r="C119" s="198">
        <f t="shared" si="28"/>
        <v>0</v>
      </c>
      <c r="D119" s="198">
        <f t="shared" si="28"/>
        <v>0</v>
      </c>
      <c r="E119" s="198">
        <f t="shared" si="28"/>
        <v>0</v>
      </c>
      <c r="F119" s="342">
        <f t="shared" si="28"/>
        <v>0</v>
      </c>
      <c r="G119" s="343">
        <f t="shared" si="28"/>
        <v>0</v>
      </c>
      <c r="I119" s="67"/>
      <c r="K119" s="2"/>
      <c r="N119" s="67"/>
    </row>
    <row r="120" spans="1:14" ht="12.75">
      <c r="A120" s="221" t="s">
        <v>995</v>
      </c>
      <c r="B120" s="198">
        <f aca="true" t="shared" si="29" ref="B120:G120">-SUMIF($A$1003:$Z$1003,$P$1,B1290:B1290)</f>
        <v>-3163798.3</v>
      </c>
      <c r="C120" s="198">
        <f t="shared" si="29"/>
        <v>-1156132.2</v>
      </c>
      <c r="D120" s="198">
        <f t="shared" si="29"/>
        <v>-2503614.9</v>
      </c>
      <c r="E120" s="198">
        <f t="shared" si="29"/>
        <v>-6823545.399999999</v>
      </c>
      <c r="F120" s="342">
        <f t="shared" si="29"/>
        <v>-8564227</v>
      </c>
      <c r="G120" s="343">
        <f t="shared" si="29"/>
        <v>-15387772.400000002</v>
      </c>
      <c r="I120" s="67"/>
      <c r="K120" s="2"/>
      <c r="N120" s="67"/>
    </row>
    <row r="121" spans="1:14" ht="12.75">
      <c r="A121" s="221" t="s">
        <v>187</v>
      </c>
      <c r="B121" s="198">
        <f aca="true" t="shared" si="30" ref="B121:G121">-SUMIF($A$1003:$Z$1003,$P$1,B1300:B1300)</f>
        <v>0</v>
      </c>
      <c r="C121" s="198">
        <f t="shared" si="30"/>
        <v>0</v>
      </c>
      <c r="D121" s="198">
        <f t="shared" si="30"/>
        <v>0</v>
      </c>
      <c r="E121" s="198">
        <f t="shared" si="30"/>
        <v>0</v>
      </c>
      <c r="F121" s="342">
        <f t="shared" si="30"/>
        <v>-282801</v>
      </c>
      <c r="G121" s="343">
        <f t="shared" si="30"/>
        <v>-282801</v>
      </c>
      <c r="I121" s="67"/>
      <c r="K121" s="2"/>
      <c r="N121" s="67"/>
    </row>
    <row r="122" spans="1:14" ht="12.75">
      <c r="A122" s="221" t="s">
        <v>188</v>
      </c>
      <c r="B122" s="198">
        <f aca="true" t="shared" si="31" ref="B122:G122">-SUMIF($A$1003:$Z$1003,$P$1,B1310:B1310)</f>
        <v>0</v>
      </c>
      <c r="C122" s="198">
        <f t="shared" si="31"/>
        <v>0</v>
      </c>
      <c r="D122" s="198">
        <f t="shared" si="31"/>
        <v>0</v>
      </c>
      <c r="E122" s="198">
        <f t="shared" si="31"/>
        <v>0</v>
      </c>
      <c r="F122" s="342">
        <f t="shared" si="31"/>
        <v>0</v>
      </c>
      <c r="G122" s="343">
        <f t="shared" si="31"/>
        <v>0</v>
      </c>
      <c r="I122" s="67"/>
      <c r="K122" s="2"/>
      <c r="N122" s="67"/>
    </row>
    <row r="123" spans="1:14" ht="12.75">
      <c r="A123" s="221" t="s">
        <v>996</v>
      </c>
      <c r="B123" s="198">
        <f aca="true" t="shared" si="32" ref="B123:G123">-SUMIF($A$1003:$Z$1003,$P$1,B1320:B1320)</f>
        <v>0</v>
      </c>
      <c r="C123" s="198">
        <f t="shared" si="32"/>
        <v>0</v>
      </c>
      <c r="D123" s="198">
        <f t="shared" si="32"/>
        <v>0</v>
      </c>
      <c r="E123" s="198">
        <f t="shared" si="32"/>
        <v>0</v>
      </c>
      <c r="F123" s="342">
        <f t="shared" si="32"/>
        <v>0</v>
      </c>
      <c r="G123" s="343">
        <f t="shared" si="32"/>
        <v>0</v>
      </c>
      <c r="I123" s="67"/>
      <c r="K123" s="2"/>
      <c r="N123" s="67"/>
    </row>
    <row r="124" spans="1:14" ht="12.75">
      <c r="A124" s="221" t="s">
        <v>169</v>
      </c>
      <c r="B124" s="198">
        <f aca="true" t="shared" si="33" ref="B124:G124">-SUMIF($A$1003:$Z$1003,$P$1,B1330:B1330)</f>
        <v>0</v>
      </c>
      <c r="C124" s="198">
        <f t="shared" si="33"/>
        <v>0</v>
      </c>
      <c r="D124" s="198">
        <f t="shared" si="33"/>
        <v>0</v>
      </c>
      <c r="E124" s="198">
        <f t="shared" si="33"/>
        <v>0</v>
      </c>
      <c r="F124" s="342">
        <f t="shared" si="33"/>
        <v>-3607338</v>
      </c>
      <c r="G124" s="343">
        <f t="shared" si="33"/>
        <v>-3607338</v>
      </c>
      <c r="I124" s="67"/>
      <c r="K124" s="2"/>
      <c r="N124" s="67"/>
    </row>
    <row r="125" spans="1:14" ht="13.5" thickBot="1">
      <c r="A125" s="223" t="s">
        <v>998</v>
      </c>
      <c r="B125" s="200">
        <f aca="true" t="shared" si="34" ref="B125:G126">-SUMIF($A$1003:$Z$1003,$P$1,B1338:B1338)</f>
        <v>0</v>
      </c>
      <c r="C125" s="200">
        <f t="shared" si="34"/>
        <v>0</v>
      </c>
      <c r="D125" s="200">
        <f t="shared" si="34"/>
        <v>0</v>
      </c>
      <c r="E125" s="200">
        <f t="shared" si="34"/>
        <v>0</v>
      </c>
      <c r="F125" s="344">
        <f t="shared" si="34"/>
        <v>0</v>
      </c>
      <c r="G125" s="345">
        <f t="shared" si="34"/>
        <v>0</v>
      </c>
      <c r="I125" s="67"/>
      <c r="K125" s="2"/>
      <c r="N125" s="67"/>
    </row>
    <row r="126" spans="1:14" ht="12.75">
      <c r="A126" s="306" t="s">
        <v>173</v>
      </c>
      <c r="B126" s="267">
        <f t="shared" si="34"/>
        <v>-3163798.3</v>
      </c>
      <c r="C126" s="267">
        <f t="shared" si="34"/>
        <v>-1156132.2</v>
      </c>
      <c r="D126" s="267">
        <f t="shared" si="34"/>
        <v>-2503614.9</v>
      </c>
      <c r="E126" s="267">
        <f t="shared" si="34"/>
        <v>-6823545.399999999</v>
      </c>
      <c r="F126" s="346">
        <f t="shared" si="34"/>
        <v>-12454366</v>
      </c>
      <c r="G126" s="347">
        <f t="shared" si="34"/>
        <v>-19277911.400000002</v>
      </c>
      <c r="I126" s="67"/>
      <c r="K126" s="2"/>
      <c r="N126" s="67"/>
    </row>
    <row r="127" spans="1:14" ht="12.75">
      <c r="A127" s="236"/>
      <c r="B127" s="198"/>
      <c r="C127" s="198"/>
      <c r="D127" s="198"/>
      <c r="E127" s="198"/>
      <c r="F127" s="342"/>
      <c r="G127" s="343"/>
      <c r="I127" s="67"/>
      <c r="K127" s="2"/>
      <c r="N127" s="67"/>
    </row>
    <row r="128" spans="1:14" ht="12.75">
      <c r="A128" s="221" t="s">
        <v>192</v>
      </c>
      <c r="B128" s="198">
        <f aca="true" t="shared" si="35" ref="B128:G128">-SUMIF($A$1003:$Z$1003,$P$1,B1343:B1343)</f>
        <v>-3163798.3</v>
      </c>
      <c r="C128" s="198">
        <f t="shared" si="35"/>
        <v>-1156132.2</v>
      </c>
      <c r="D128" s="198">
        <f t="shared" si="35"/>
        <v>-2503614.9</v>
      </c>
      <c r="E128" s="198">
        <f t="shared" si="35"/>
        <v>-6823545.4</v>
      </c>
      <c r="F128" s="342">
        <f t="shared" si="35"/>
        <v>-8847028</v>
      </c>
      <c r="G128" s="343">
        <f t="shared" si="35"/>
        <v>-15670573.4</v>
      </c>
      <c r="I128" s="67"/>
      <c r="K128" s="2"/>
      <c r="N128" s="67"/>
    </row>
    <row r="129" spans="1:14" ht="13.5" thickBot="1">
      <c r="A129" s="223" t="s">
        <v>197</v>
      </c>
      <c r="B129" s="200">
        <f aca="true" t="shared" si="36" ref="B129:G129">SUMIF($A$1003:$Z$1003,$P$1,B1344:B1344)</f>
        <v>7651375.35</v>
      </c>
      <c r="C129" s="200">
        <f t="shared" si="36"/>
        <v>3407687.9</v>
      </c>
      <c r="D129" s="200">
        <f t="shared" si="36"/>
        <v>5658362.38</v>
      </c>
      <c r="E129" s="200">
        <f t="shared" si="36"/>
        <v>16717425.629999999</v>
      </c>
      <c r="F129" s="344">
        <f t="shared" si="36"/>
        <v>26532759</v>
      </c>
      <c r="G129" s="345">
        <f t="shared" si="36"/>
        <v>43250184.629999995</v>
      </c>
      <c r="I129" s="67"/>
      <c r="K129" s="2"/>
      <c r="N129" s="67"/>
    </row>
    <row r="130" spans="1:14" ht="12.75">
      <c r="A130" s="232"/>
      <c r="B130" s="233"/>
      <c r="C130" s="233"/>
      <c r="D130" s="233"/>
      <c r="E130" s="233"/>
      <c r="F130" s="376"/>
      <c r="G130" s="377"/>
      <c r="I130" s="67"/>
      <c r="K130" s="2"/>
      <c r="N130" s="67"/>
    </row>
    <row r="131" spans="1:11" ht="12.75">
      <c r="A131" s="243" t="s">
        <v>883</v>
      </c>
      <c r="B131" s="204">
        <f aca="true" t="shared" si="37" ref="B131:G131">SUMIF($A$1003:$Z$1003,$P$1,B2097:B2097)</f>
        <v>4487577.050000001</v>
      </c>
      <c r="C131" s="204">
        <f t="shared" si="37"/>
        <v>2251555.7</v>
      </c>
      <c r="D131" s="204">
        <f t="shared" si="37"/>
        <v>3154747.48</v>
      </c>
      <c r="E131" s="204">
        <f t="shared" si="37"/>
        <v>9893880.23</v>
      </c>
      <c r="F131" s="366">
        <f t="shared" si="37"/>
        <v>17685731</v>
      </c>
      <c r="G131" s="367">
        <f t="shared" si="37"/>
        <v>27579611.229999993</v>
      </c>
      <c r="I131" s="67"/>
      <c r="K131" s="2"/>
    </row>
    <row r="132" spans="1:7" ht="13.5" thickBot="1">
      <c r="A132" s="223"/>
      <c r="B132" s="200"/>
      <c r="C132" s="200"/>
      <c r="D132" s="200"/>
      <c r="E132" s="200"/>
      <c r="F132" s="344"/>
      <c r="G132" s="345"/>
    </row>
    <row r="133" spans="1:7" ht="12.75">
      <c r="A133" s="231"/>
      <c r="B133" s="217"/>
      <c r="C133" s="217"/>
      <c r="D133" s="217"/>
      <c r="E133" s="217"/>
      <c r="F133" s="360"/>
      <c r="G133" s="388"/>
    </row>
    <row r="134" spans="1:7" ht="12.75">
      <c r="A134" s="231"/>
      <c r="B134" s="217"/>
      <c r="C134" s="217"/>
      <c r="D134" s="217"/>
      <c r="E134" s="217"/>
      <c r="F134" s="360"/>
      <c r="G134" s="388"/>
    </row>
    <row r="135" spans="1:7" ht="13.5" thickBot="1">
      <c r="A135" s="231"/>
      <c r="B135" s="217"/>
      <c r="C135" s="217"/>
      <c r="D135" s="217"/>
      <c r="E135" s="217"/>
      <c r="F135" s="360"/>
      <c r="G135" s="388"/>
    </row>
    <row r="136" spans="1:7" ht="12.75">
      <c r="A136" s="232"/>
      <c r="B136" s="233"/>
      <c r="C136" s="233"/>
      <c r="D136" s="233"/>
      <c r="E136" s="233"/>
      <c r="F136" s="376"/>
      <c r="G136" s="377"/>
    </row>
    <row r="137" spans="1:7" ht="12.75">
      <c r="A137" s="243" t="s">
        <v>284</v>
      </c>
      <c r="B137" s="204">
        <f aca="true" t="shared" si="38" ref="B137:G137">SUMIF($A$1003:$Z$1003,$P$1,B2034:B2034)</f>
        <v>7651375.350000001</v>
      </c>
      <c r="C137" s="204">
        <f t="shared" si="38"/>
        <v>3407687.9</v>
      </c>
      <c r="D137" s="204">
        <f t="shared" si="38"/>
        <v>5658362.38</v>
      </c>
      <c r="E137" s="204">
        <f t="shared" si="38"/>
        <v>16717425.63</v>
      </c>
      <c r="F137" s="366">
        <f t="shared" si="38"/>
        <v>26532759</v>
      </c>
      <c r="G137" s="367">
        <f t="shared" si="38"/>
        <v>43250184.629999995</v>
      </c>
    </row>
    <row r="138" spans="1:7" ht="13.5" thickBot="1">
      <c r="A138" s="223"/>
      <c r="B138" s="200"/>
      <c r="C138" s="200"/>
      <c r="D138" s="200"/>
      <c r="E138" s="200"/>
      <c r="F138" s="344"/>
      <c r="G138" s="345"/>
    </row>
    <row r="139" spans="1:7" ht="13.5" thickBot="1">
      <c r="A139" s="208"/>
      <c r="B139" s="192"/>
      <c r="C139" s="192"/>
      <c r="D139" s="192"/>
      <c r="E139" s="192"/>
      <c r="F139" s="192"/>
      <c r="G139" s="194"/>
    </row>
    <row r="140" spans="1:7" ht="18">
      <c r="A140" s="285" t="s">
        <v>962</v>
      </c>
      <c r="B140" s="286"/>
      <c r="C140" s="286"/>
      <c r="D140" s="286"/>
      <c r="E140" s="286"/>
      <c r="F140" s="286"/>
      <c r="G140" s="288"/>
    </row>
    <row r="141" spans="1:7" ht="12.75">
      <c r="A141" s="230"/>
      <c r="B141" s="203"/>
      <c r="C141" s="203"/>
      <c r="D141" s="203"/>
      <c r="E141" s="203"/>
      <c r="F141" s="370"/>
      <c r="G141" s="357"/>
    </row>
    <row r="142" spans="1:7" ht="12.75">
      <c r="A142" s="252" t="s">
        <v>43</v>
      </c>
      <c r="B142" s="198"/>
      <c r="C142" s="197"/>
      <c r="D142" s="197"/>
      <c r="E142" s="197"/>
      <c r="F142" s="371"/>
      <c r="G142" s="349"/>
    </row>
    <row r="143" spans="1:7" ht="12.75">
      <c r="A143" s="253" t="s">
        <v>226</v>
      </c>
      <c r="B143" s="198">
        <f aca="true" t="shared" si="39" ref="B143:G145">SUMIF($A$1003:$Z$1003,$P$1,B2090:B2090)</f>
        <v>47890654.79000001</v>
      </c>
      <c r="C143" s="198">
        <f t="shared" si="39"/>
        <v>48263316.620000005</v>
      </c>
      <c r="D143" s="198">
        <f t="shared" si="39"/>
        <v>66392069.62</v>
      </c>
      <c r="E143" s="198">
        <f t="shared" si="39"/>
        <v>162546041.03</v>
      </c>
      <c r="F143" s="342">
        <f t="shared" si="39"/>
        <v>362583762</v>
      </c>
      <c r="G143" s="343">
        <f t="shared" si="39"/>
        <v>525129803.03</v>
      </c>
    </row>
    <row r="144" spans="1:7" ht="13.5" thickBot="1">
      <c r="A144" s="254" t="s">
        <v>369</v>
      </c>
      <c r="B144" s="200">
        <f t="shared" si="39"/>
        <v>-48528213.39</v>
      </c>
      <c r="C144" s="200">
        <f t="shared" si="39"/>
        <v>-51777773.769999996</v>
      </c>
      <c r="D144" s="200">
        <f t="shared" si="39"/>
        <v>-66864339.879999995</v>
      </c>
      <c r="E144" s="200">
        <f t="shared" si="39"/>
        <v>-167170327.04000002</v>
      </c>
      <c r="F144" s="344">
        <f t="shared" si="39"/>
        <v>-370686030</v>
      </c>
      <c r="G144" s="345">
        <f t="shared" si="39"/>
        <v>-537856357.04</v>
      </c>
    </row>
    <row r="145" spans="1:7" ht="12.75">
      <c r="A145" s="255" t="s">
        <v>999</v>
      </c>
      <c r="B145" s="214">
        <f t="shared" si="39"/>
        <v>-637558.599999994</v>
      </c>
      <c r="C145" s="214">
        <f t="shared" si="39"/>
        <v>-3514457.149999991</v>
      </c>
      <c r="D145" s="214">
        <f t="shared" si="39"/>
        <v>-472270.2599999979</v>
      </c>
      <c r="E145" s="214">
        <f t="shared" si="39"/>
        <v>-4624286.01000002</v>
      </c>
      <c r="F145" s="364">
        <f t="shared" si="39"/>
        <v>-8102268</v>
      </c>
      <c r="G145" s="365">
        <f t="shared" si="39"/>
        <v>-12726554.00999999</v>
      </c>
    </row>
    <row r="146" spans="1:7" ht="12.75">
      <c r="A146" s="253"/>
      <c r="B146" s="198"/>
      <c r="C146" s="198"/>
      <c r="D146" s="198"/>
      <c r="E146" s="198"/>
      <c r="F146" s="342"/>
      <c r="G146" s="343"/>
    </row>
    <row r="147" spans="1:7" ht="12.75">
      <c r="A147" s="252" t="s">
        <v>371</v>
      </c>
      <c r="B147" s="198"/>
      <c r="C147" s="198"/>
      <c r="D147" s="198"/>
      <c r="E147" s="198"/>
      <c r="F147" s="342"/>
      <c r="G147" s="343"/>
    </row>
    <row r="148" spans="1:7" ht="12.75">
      <c r="A148" s="253" t="s">
        <v>172</v>
      </c>
      <c r="B148" s="198">
        <f aca="true" t="shared" si="40" ref="B148:G150">SUMIF($A$1003:$Z$1003,$P$1,B2095:B2095)</f>
        <v>7651375.350000001</v>
      </c>
      <c r="C148" s="198">
        <f t="shared" si="40"/>
        <v>3407687.9</v>
      </c>
      <c r="D148" s="198">
        <f t="shared" si="40"/>
        <v>5658362.38</v>
      </c>
      <c r="E148" s="198">
        <f t="shared" si="40"/>
        <v>16717425.63</v>
      </c>
      <c r="F148" s="342">
        <f t="shared" si="40"/>
        <v>30140097</v>
      </c>
      <c r="G148" s="343">
        <f t="shared" si="40"/>
        <v>46857522.629999995</v>
      </c>
    </row>
    <row r="149" spans="1:7" ht="13.5" thickBot="1">
      <c r="A149" s="320" t="s">
        <v>173</v>
      </c>
      <c r="B149" s="219">
        <f t="shared" si="40"/>
        <v>-3163798.3</v>
      </c>
      <c r="C149" s="219">
        <f t="shared" si="40"/>
        <v>-1156132.2</v>
      </c>
      <c r="D149" s="219">
        <f t="shared" si="40"/>
        <v>-2503614.9</v>
      </c>
      <c r="E149" s="219">
        <f t="shared" si="40"/>
        <v>-6823545.399999999</v>
      </c>
      <c r="F149" s="358">
        <f t="shared" si="40"/>
        <v>-12454366</v>
      </c>
      <c r="G149" s="359">
        <f t="shared" si="40"/>
        <v>-19277911.400000002</v>
      </c>
    </row>
    <row r="150" spans="1:7" ht="12.75">
      <c r="A150" s="321" t="s">
        <v>256</v>
      </c>
      <c r="B150" s="245">
        <f t="shared" si="40"/>
        <v>4487577.050000001</v>
      </c>
      <c r="C150" s="245">
        <f t="shared" si="40"/>
        <v>2251555.7</v>
      </c>
      <c r="D150" s="245">
        <f t="shared" si="40"/>
        <v>3154747.48</v>
      </c>
      <c r="E150" s="245">
        <f t="shared" si="40"/>
        <v>9893880.23</v>
      </c>
      <c r="F150" s="362">
        <f t="shared" si="40"/>
        <v>17685731</v>
      </c>
      <c r="G150" s="363">
        <f t="shared" si="40"/>
        <v>27579611.229999993</v>
      </c>
    </row>
    <row r="151" spans="1:7" ht="12.75">
      <c r="A151" s="256"/>
      <c r="B151" s="198"/>
      <c r="C151" s="198"/>
      <c r="D151" s="198"/>
      <c r="E151" s="198"/>
      <c r="F151" s="342"/>
      <c r="G151" s="343"/>
    </row>
    <row r="152" spans="1:7" ht="12.75">
      <c r="A152" s="252" t="s">
        <v>374</v>
      </c>
      <c r="B152" s="198"/>
      <c r="C152" s="198"/>
      <c r="D152" s="198"/>
      <c r="E152" s="198"/>
      <c r="F152" s="342"/>
      <c r="G152" s="343"/>
    </row>
    <row r="153" spans="1:7" ht="12.75">
      <c r="A153" s="253" t="s">
        <v>375</v>
      </c>
      <c r="B153" s="198">
        <f aca="true" t="shared" si="41" ref="B153:G158">SUMIF($A$1003:$Z$1003,$P$1,B2100:B2100)</f>
        <v>4487577.050000001</v>
      </c>
      <c r="C153" s="198">
        <f t="shared" si="41"/>
        <v>2251555.7</v>
      </c>
      <c r="D153" s="198">
        <f t="shared" si="41"/>
        <v>3154747.48</v>
      </c>
      <c r="E153" s="198">
        <f t="shared" si="41"/>
        <v>9893880.23</v>
      </c>
      <c r="F153" s="342">
        <f t="shared" si="41"/>
        <v>17685731</v>
      </c>
      <c r="G153" s="343">
        <f t="shared" si="41"/>
        <v>27579611.229999993</v>
      </c>
    </row>
    <row r="154" spans="1:7" ht="12.75">
      <c r="A154" s="253" t="s">
        <v>376</v>
      </c>
      <c r="B154" s="198">
        <f t="shared" si="41"/>
        <v>-3706623</v>
      </c>
      <c r="C154" s="198">
        <f t="shared" si="41"/>
        <v>-3523483.83</v>
      </c>
      <c r="D154" s="198">
        <f t="shared" si="41"/>
        <v>-7969303.12</v>
      </c>
      <c r="E154" s="198">
        <f t="shared" si="41"/>
        <v>-15199409.950000001</v>
      </c>
      <c r="F154" s="342">
        <f t="shared" si="41"/>
        <v>-26394277</v>
      </c>
      <c r="G154" s="343">
        <f t="shared" si="41"/>
        <v>-41593686.95</v>
      </c>
    </row>
    <row r="155" spans="1:7" ht="12.75">
      <c r="A155" s="253" t="s">
        <v>1000</v>
      </c>
      <c r="B155" s="198">
        <f t="shared" si="41"/>
        <v>-637558.599999994</v>
      </c>
      <c r="C155" s="198">
        <f t="shared" si="41"/>
        <v>-3514457.149999991</v>
      </c>
      <c r="D155" s="198">
        <f t="shared" si="41"/>
        <v>-472270.2599999979</v>
      </c>
      <c r="E155" s="198">
        <f t="shared" si="41"/>
        <v>-4624286.01000002</v>
      </c>
      <c r="F155" s="342">
        <f t="shared" si="41"/>
        <v>-8102268</v>
      </c>
      <c r="G155" s="343">
        <f t="shared" si="41"/>
        <v>-12726554.00999999</v>
      </c>
    </row>
    <row r="156" spans="1:7" ht="12.75">
      <c r="A156" s="257" t="s">
        <v>379</v>
      </c>
      <c r="B156" s="198">
        <f t="shared" si="41"/>
        <v>-107741.95</v>
      </c>
      <c r="C156" s="198">
        <f t="shared" si="41"/>
        <v>-100805.1</v>
      </c>
      <c r="D156" s="198">
        <f t="shared" si="41"/>
        <v>-473976.48</v>
      </c>
      <c r="E156" s="198">
        <f t="shared" si="41"/>
        <v>-682523.53</v>
      </c>
      <c r="F156" s="342">
        <f t="shared" si="41"/>
        <v>-1385150</v>
      </c>
      <c r="G156" s="343">
        <f t="shared" si="41"/>
        <v>-2067673.53</v>
      </c>
    </row>
    <row r="157" spans="1:7" ht="13.5" thickBot="1">
      <c r="A157" s="254" t="s">
        <v>1001</v>
      </c>
      <c r="B157" s="200">
        <f t="shared" si="41"/>
        <v>0</v>
      </c>
      <c r="C157" s="200">
        <f t="shared" si="41"/>
        <v>19275.95</v>
      </c>
      <c r="D157" s="200">
        <f t="shared" si="41"/>
        <v>1361400.2</v>
      </c>
      <c r="E157" s="200">
        <f t="shared" si="41"/>
        <v>1380676.15</v>
      </c>
      <c r="F157" s="344">
        <f t="shared" si="41"/>
        <v>12544059</v>
      </c>
      <c r="G157" s="345">
        <f t="shared" si="41"/>
        <v>13924735.15</v>
      </c>
    </row>
    <row r="158" spans="1:7" ht="12.75">
      <c r="A158" s="322" t="s">
        <v>1003</v>
      </c>
      <c r="B158" s="245">
        <f t="shared" si="41"/>
        <v>35653.50000000671</v>
      </c>
      <c r="C158" s="245">
        <f t="shared" si="41"/>
        <v>-4867914.42999999</v>
      </c>
      <c r="D158" s="245">
        <f t="shared" si="41"/>
        <v>-4399402.179999999</v>
      </c>
      <c r="E158" s="245">
        <f t="shared" si="41"/>
        <v>-9231663.11000002</v>
      </c>
      <c r="F158" s="362">
        <f t="shared" si="41"/>
        <v>-5651905</v>
      </c>
      <c r="G158" s="363">
        <f t="shared" si="41"/>
        <v>-14883568.110000001</v>
      </c>
    </row>
    <row r="159" spans="1:7" ht="12.75">
      <c r="A159" s="255" t="s">
        <v>1002</v>
      </c>
      <c r="B159" s="198"/>
      <c r="C159" s="198"/>
      <c r="D159" s="198"/>
      <c r="E159" s="198"/>
      <c r="F159" s="342"/>
      <c r="G159" s="343"/>
    </row>
    <row r="160" spans="1:7" ht="12.75">
      <c r="A160" s="253"/>
      <c r="B160" s="198"/>
      <c r="C160" s="198"/>
      <c r="D160" s="198"/>
      <c r="E160" s="198"/>
      <c r="F160" s="342"/>
      <c r="G160" s="343"/>
    </row>
    <row r="161" spans="1:7" ht="12.75">
      <c r="A161" s="252" t="s">
        <v>382</v>
      </c>
      <c r="B161" s="198"/>
      <c r="C161" s="198"/>
      <c r="D161" s="198"/>
      <c r="E161" s="198"/>
      <c r="F161" s="342"/>
      <c r="G161" s="343"/>
    </row>
    <row r="162" spans="1:7" ht="12.75">
      <c r="A162" s="253" t="s">
        <v>1004</v>
      </c>
      <c r="B162" s="198">
        <f aca="true" t="shared" si="42" ref="B162:G168">SUMIF($A$1003:$Z$1003,$P$1,B2108:B2108)</f>
        <v>35653.50000000671</v>
      </c>
      <c r="C162" s="198">
        <f t="shared" si="42"/>
        <v>-4867914.42999999</v>
      </c>
      <c r="D162" s="198">
        <f t="shared" si="42"/>
        <v>-4399402.179999999</v>
      </c>
      <c r="E162" s="198">
        <f t="shared" si="42"/>
        <v>-9231663.11000002</v>
      </c>
      <c r="F162" s="342">
        <f t="shared" si="42"/>
        <v>-5651905</v>
      </c>
      <c r="G162" s="343">
        <f t="shared" si="42"/>
        <v>-14883568.110000001</v>
      </c>
    </row>
    <row r="163" spans="1:7" ht="12.75">
      <c r="A163" s="253" t="s">
        <v>383</v>
      </c>
      <c r="B163" s="198">
        <f t="shared" si="42"/>
        <v>-7651375.35</v>
      </c>
      <c r="C163" s="198">
        <f t="shared" si="42"/>
        <v>-3407687.9</v>
      </c>
      <c r="D163" s="198">
        <f t="shared" si="42"/>
        <v>-5658362.38</v>
      </c>
      <c r="E163" s="198">
        <f t="shared" si="42"/>
        <v>-16717425.629999999</v>
      </c>
      <c r="F163" s="342">
        <f t="shared" si="42"/>
        <v>-26532759</v>
      </c>
      <c r="G163" s="343">
        <f t="shared" si="42"/>
        <v>-43250184.629999995</v>
      </c>
    </row>
    <row r="164" spans="1:7" ht="12.75">
      <c r="A164" s="253" t="s">
        <v>384</v>
      </c>
      <c r="B164" s="198">
        <f t="shared" si="42"/>
        <v>3163798.3</v>
      </c>
      <c r="C164" s="198">
        <f t="shared" si="42"/>
        <v>1156132.2</v>
      </c>
      <c r="D164" s="198">
        <f t="shared" si="42"/>
        <v>2503614.9</v>
      </c>
      <c r="E164" s="198">
        <f t="shared" si="42"/>
        <v>6823545.4</v>
      </c>
      <c r="F164" s="342">
        <f t="shared" si="42"/>
        <v>8847028</v>
      </c>
      <c r="G164" s="343">
        <f t="shared" si="42"/>
        <v>15670573.4</v>
      </c>
    </row>
    <row r="165" spans="1:7" ht="12.75">
      <c r="A165" s="253" t="s">
        <v>965</v>
      </c>
      <c r="B165" s="198">
        <f t="shared" si="42"/>
        <v>3706623</v>
      </c>
      <c r="C165" s="198">
        <f t="shared" si="42"/>
        <v>3523483.83</v>
      </c>
      <c r="D165" s="198">
        <f t="shared" si="42"/>
        <v>7969303.12</v>
      </c>
      <c r="E165" s="198">
        <f t="shared" si="42"/>
        <v>15199409.950000001</v>
      </c>
      <c r="F165" s="342">
        <f t="shared" si="42"/>
        <v>26394277</v>
      </c>
      <c r="G165" s="343">
        <f t="shared" si="42"/>
        <v>41593686.95</v>
      </c>
    </row>
    <row r="166" spans="1:7" ht="12.75">
      <c r="A166" s="257" t="s">
        <v>379</v>
      </c>
      <c r="B166" s="198">
        <f t="shared" si="42"/>
        <v>107741.95</v>
      </c>
      <c r="C166" s="198">
        <f t="shared" si="42"/>
        <v>100805.1</v>
      </c>
      <c r="D166" s="198">
        <f t="shared" si="42"/>
        <v>473976.48</v>
      </c>
      <c r="E166" s="198">
        <f t="shared" si="42"/>
        <v>682523.53</v>
      </c>
      <c r="F166" s="342">
        <f t="shared" si="42"/>
        <v>1385150</v>
      </c>
      <c r="G166" s="343">
        <f t="shared" si="42"/>
        <v>2067673.53</v>
      </c>
    </row>
    <row r="167" spans="1:7" ht="13.5" thickBot="1">
      <c r="A167" s="254" t="s">
        <v>1001</v>
      </c>
      <c r="B167" s="200">
        <f t="shared" si="42"/>
        <v>0</v>
      </c>
      <c r="C167" s="200">
        <f t="shared" si="42"/>
        <v>-19275.95</v>
      </c>
      <c r="D167" s="200">
        <f t="shared" si="42"/>
        <v>-1361400.2</v>
      </c>
      <c r="E167" s="200">
        <f t="shared" si="42"/>
        <v>-1380676.15</v>
      </c>
      <c r="F167" s="344">
        <f t="shared" si="42"/>
        <v>-12544059</v>
      </c>
      <c r="G167" s="345">
        <f t="shared" si="42"/>
        <v>-13924735.15</v>
      </c>
    </row>
    <row r="168" spans="1:7" ht="12.75">
      <c r="A168" s="321" t="s">
        <v>1025</v>
      </c>
      <c r="B168" s="245">
        <f t="shared" si="42"/>
        <v>-637558.5999999933</v>
      </c>
      <c r="C168" s="245">
        <f t="shared" si="42"/>
        <v>-3514457.1499999906</v>
      </c>
      <c r="D168" s="245">
        <f t="shared" si="42"/>
        <v>-472270.25999999815</v>
      </c>
      <c r="E168" s="245">
        <f t="shared" si="42"/>
        <v>-4624286.010000017</v>
      </c>
      <c r="F168" s="362">
        <f t="shared" si="42"/>
        <v>-8102268</v>
      </c>
      <c r="G168" s="363">
        <f t="shared" si="42"/>
        <v>-12726554.009999994</v>
      </c>
    </row>
    <row r="169" spans="1:7" ht="12.75">
      <c r="A169" s="253"/>
      <c r="B169" s="198"/>
      <c r="C169" s="198"/>
      <c r="D169" s="198"/>
      <c r="E169" s="198"/>
      <c r="F169" s="342"/>
      <c r="G169" s="343"/>
    </row>
    <row r="170" spans="1:7" ht="12.75">
      <c r="A170" s="252" t="s">
        <v>231</v>
      </c>
      <c r="B170" s="198"/>
      <c r="C170" s="198"/>
      <c r="D170" s="198"/>
      <c r="E170" s="198"/>
      <c r="F170" s="342"/>
      <c r="G170" s="343"/>
    </row>
    <row r="171" spans="1:7" ht="12.75">
      <c r="A171" s="253" t="s">
        <v>376</v>
      </c>
      <c r="B171" s="198">
        <f aca="true" t="shared" si="43" ref="B171:G175">SUMIF($A$1003:$Z$1003,$P$1,B2117:B2117)</f>
        <v>3706623</v>
      </c>
      <c r="C171" s="198">
        <f t="shared" si="43"/>
        <v>3523483.83</v>
      </c>
      <c r="D171" s="198">
        <f t="shared" si="43"/>
        <v>7969303.12</v>
      </c>
      <c r="E171" s="198">
        <f t="shared" si="43"/>
        <v>15199409.950000001</v>
      </c>
      <c r="F171" s="342">
        <f t="shared" si="43"/>
        <v>26394277</v>
      </c>
      <c r="G171" s="343">
        <f t="shared" si="43"/>
        <v>41593686.95</v>
      </c>
    </row>
    <row r="172" spans="1:7" ht="12.75">
      <c r="A172" s="253" t="s">
        <v>963</v>
      </c>
      <c r="B172" s="198">
        <f t="shared" si="43"/>
        <v>637558.599999994</v>
      </c>
      <c r="C172" s="198">
        <f t="shared" si="43"/>
        <v>3514457.149999991</v>
      </c>
      <c r="D172" s="198">
        <f t="shared" si="43"/>
        <v>472270.2599999979</v>
      </c>
      <c r="E172" s="198">
        <f t="shared" si="43"/>
        <v>4624286.01000002</v>
      </c>
      <c r="F172" s="342">
        <f t="shared" si="43"/>
        <v>8102268</v>
      </c>
      <c r="G172" s="343">
        <f t="shared" si="43"/>
        <v>12726554.00999999</v>
      </c>
    </row>
    <row r="173" spans="1:7" ht="12.75">
      <c r="A173" s="257" t="s">
        <v>379</v>
      </c>
      <c r="B173" s="198">
        <f t="shared" si="43"/>
        <v>107741.95</v>
      </c>
      <c r="C173" s="198">
        <f t="shared" si="43"/>
        <v>100805.1</v>
      </c>
      <c r="D173" s="198">
        <f t="shared" si="43"/>
        <v>473976.48</v>
      </c>
      <c r="E173" s="198">
        <f t="shared" si="43"/>
        <v>682523.53</v>
      </c>
      <c r="F173" s="342">
        <f t="shared" si="43"/>
        <v>1385150</v>
      </c>
      <c r="G173" s="343">
        <f t="shared" si="43"/>
        <v>2067673.53</v>
      </c>
    </row>
    <row r="174" spans="1:7" ht="13.5" thickBot="1">
      <c r="A174" s="254" t="s">
        <v>1001</v>
      </c>
      <c r="B174" s="200">
        <f t="shared" si="43"/>
        <v>0</v>
      </c>
      <c r="C174" s="200">
        <f t="shared" si="43"/>
        <v>-19275.95</v>
      </c>
      <c r="D174" s="200">
        <f t="shared" si="43"/>
        <v>-1361400.2</v>
      </c>
      <c r="E174" s="200">
        <f t="shared" si="43"/>
        <v>-1380676.15</v>
      </c>
      <c r="F174" s="344">
        <f t="shared" si="43"/>
        <v>-12544059</v>
      </c>
      <c r="G174" s="345">
        <f t="shared" si="43"/>
        <v>-13924735.15</v>
      </c>
    </row>
    <row r="175" spans="1:7" ht="12.75">
      <c r="A175" s="323" t="s">
        <v>253</v>
      </c>
      <c r="B175" s="245">
        <f t="shared" si="43"/>
        <v>4451923.549999994</v>
      </c>
      <c r="C175" s="245">
        <f t="shared" si="43"/>
        <v>7119470.129999991</v>
      </c>
      <c r="D175" s="245">
        <f t="shared" si="43"/>
        <v>7554149.659999999</v>
      </c>
      <c r="E175" s="245">
        <f t="shared" si="43"/>
        <v>19125543.340000026</v>
      </c>
      <c r="F175" s="362">
        <f t="shared" si="43"/>
        <v>23337636</v>
      </c>
      <c r="G175" s="363">
        <f t="shared" si="43"/>
        <v>42463179.339999996</v>
      </c>
    </row>
    <row r="176" spans="1:7" ht="12.75">
      <c r="A176" s="250" t="s">
        <v>982</v>
      </c>
      <c r="B176" s="198"/>
      <c r="C176" s="198"/>
      <c r="D176" s="198"/>
      <c r="E176" s="198"/>
      <c r="F176" s="342"/>
      <c r="G176" s="343"/>
    </row>
    <row r="177" spans="1:7" ht="13.5" thickBot="1">
      <c r="A177" s="259"/>
      <c r="B177" s="200"/>
      <c r="C177" s="200"/>
      <c r="D177" s="200"/>
      <c r="E177" s="200"/>
      <c r="F177" s="344"/>
      <c r="G177" s="345"/>
    </row>
    <row r="178" spans="1:7" ht="12.75">
      <c r="A178" s="324"/>
      <c r="B178" s="313"/>
      <c r="C178" s="313"/>
      <c r="D178" s="313"/>
      <c r="E178" s="313"/>
      <c r="F178" s="380"/>
      <c r="G178" s="381"/>
    </row>
    <row r="179" spans="1:7" ht="13.5" thickBot="1">
      <c r="A179" s="325"/>
      <c r="B179" s="234"/>
      <c r="C179" s="234"/>
      <c r="D179" s="234"/>
      <c r="E179" s="234"/>
      <c r="F179" s="382"/>
      <c r="G179" s="383"/>
    </row>
    <row r="180" spans="1:7" ht="12.75">
      <c r="A180" s="248"/>
      <c r="B180" s="233"/>
      <c r="C180" s="233"/>
      <c r="D180" s="233"/>
      <c r="E180" s="233"/>
      <c r="F180" s="376"/>
      <c r="G180" s="377"/>
    </row>
    <row r="181" spans="1:7" ht="12.75">
      <c r="A181" s="250" t="s">
        <v>887</v>
      </c>
      <c r="B181" s="319">
        <f aca="true" t="shared" si="44" ref="B181:G181">SUMIF($A$1003:$Z$1003,$P$1,B1992:B1992)</f>
        <v>0.9920550667759566</v>
      </c>
      <c r="C181" s="319">
        <f t="shared" si="44"/>
        <v>3.162022653936564</v>
      </c>
      <c r="D181" s="319">
        <f t="shared" si="44"/>
        <v>2.3945338598067445</v>
      </c>
      <c r="E181" s="319">
        <f t="shared" si="44"/>
        <v>1.9330680072321849</v>
      </c>
      <c r="F181" s="389">
        <f t="shared" si="44"/>
        <v>1.3195742941018385</v>
      </c>
      <c r="G181" s="390">
        <f t="shared" si="44"/>
        <v>1.5396583724795316</v>
      </c>
    </row>
    <row r="182" spans="1:7" ht="13.5" thickBot="1">
      <c r="A182" s="251"/>
      <c r="B182" s="199"/>
      <c r="C182" s="199"/>
      <c r="D182" s="199"/>
      <c r="E182" s="199"/>
      <c r="F182" s="391"/>
      <c r="G182" s="353"/>
    </row>
    <row r="183" spans="1:7" ht="13.5" thickBot="1">
      <c r="A183" s="192"/>
      <c r="B183" s="192"/>
      <c r="C183" s="192"/>
      <c r="D183" s="192"/>
      <c r="E183" s="192"/>
      <c r="F183" s="192"/>
      <c r="G183" s="194"/>
    </row>
    <row r="184" spans="1:7" ht="18">
      <c r="A184" s="285" t="s">
        <v>884</v>
      </c>
      <c r="B184" s="282"/>
      <c r="C184" s="282"/>
      <c r="D184" s="282"/>
      <c r="E184" s="282"/>
      <c r="F184" s="282"/>
      <c r="G184" s="284"/>
    </row>
    <row r="185" spans="1:7" ht="12.75">
      <c r="A185" s="230"/>
      <c r="B185" s="203"/>
      <c r="C185" s="203"/>
      <c r="D185" s="203"/>
      <c r="E185" s="203"/>
      <c r="F185" s="370"/>
      <c r="G185" s="357"/>
    </row>
    <row r="186" spans="1:7" ht="12.75">
      <c r="A186" s="243" t="s">
        <v>885</v>
      </c>
      <c r="B186" s="197"/>
      <c r="C186" s="197"/>
      <c r="D186" s="197"/>
      <c r="E186" s="197"/>
      <c r="F186" s="371"/>
      <c r="G186" s="349"/>
    </row>
    <row r="187" spans="1:7" ht="12.75">
      <c r="A187" s="221" t="s">
        <v>887</v>
      </c>
      <c r="B187" s="316">
        <f aca="true" t="shared" si="45" ref="B187:G187">SUMIF($A$1003:$Z$1003,$P$1,B1992:B1992)</f>
        <v>0.9920550667759566</v>
      </c>
      <c r="C187" s="316">
        <f t="shared" si="45"/>
        <v>3.162022653936564</v>
      </c>
      <c r="D187" s="316">
        <f t="shared" si="45"/>
        <v>2.3945338598067445</v>
      </c>
      <c r="E187" s="316">
        <f t="shared" si="45"/>
        <v>1.9330680072321849</v>
      </c>
      <c r="F187" s="392">
        <f t="shared" si="45"/>
        <v>1.3195742941018385</v>
      </c>
      <c r="G187" s="393">
        <f t="shared" si="45"/>
        <v>1.5396583724795316</v>
      </c>
    </row>
    <row r="188" spans="1:7" ht="12.75">
      <c r="A188" s="221" t="s">
        <v>888</v>
      </c>
      <c r="B188" s="316">
        <f aca="true" t="shared" si="46" ref="B188:G188">SUMIF($A$1003:$Z$1003,$P$1,B2025:B2025)</f>
        <v>0.016568324310262478</v>
      </c>
      <c r="C188" s="316">
        <f t="shared" si="46"/>
        <v>0.012600073696128299</v>
      </c>
      <c r="D188" s="316">
        <f t="shared" si="46"/>
        <v>0.010107452971269745</v>
      </c>
      <c r="E188" s="316">
        <f t="shared" si="46"/>
        <v>0.012732504461556384</v>
      </c>
      <c r="F188" s="392">
        <f t="shared" si="46"/>
        <v>-0.012743110083036231</v>
      </c>
      <c r="G188" s="393">
        <f t="shared" si="46"/>
        <v>-0.005434864342042571</v>
      </c>
    </row>
    <row r="189" spans="1:7" ht="12.75">
      <c r="A189" s="221" t="s">
        <v>886</v>
      </c>
      <c r="B189" s="316">
        <f aca="true" t="shared" si="47" ref="B189:G189">SUMIF($A$1003:$Z$1003,$P$1,B1947:B1947)</f>
        <v>-1.0926608928869357</v>
      </c>
      <c r="C189" s="316">
        <f t="shared" si="47"/>
        <v>-0.649261004402707</v>
      </c>
      <c r="D189" s="316">
        <f t="shared" si="47"/>
        <v>-0.8733049566451796</v>
      </c>
      <c r="E189" s="316">
        <f t="shared" si="47"/>
        <v>-0.8535138071093126</v>
      </c>
      <c r="F189" s="392">
        <f t="shared" si="47"/>
        <v>-1.628355849836264</v>
      </c>
      <c r="G189" s="393">
        <f t="shared" si="47"/>
        <v>-1.2899799675581807</v>
      </c>
    </row>
    <row r="190" spans="1:7" ht="12.75">
      <c r="A190" s="221"/>
      <c r="B190" s="198"/>
      <c r="C190" s="198"/>
      <c r="D190" s="198"/>
      <c r="E190" s="198"/>
      <c r="F190" s="342"/>
      <c r="G190" s="343"/>
    </row>
    <row r="191" spans="1:7" ht="12.75">
      <c r="A191" s="221"/>
      <c r="B191" s="198"/>
      <c r="C191" s="198"/>
      <c r="D191" s="198"/>
      <c r="E191" s="198"/>
      <c r="F191" s="342"/>
      <c r="G191" s="343"/>
    </row>
    <row r="192" spans="1:7" ht="12.75">
      <c r="A192" s="243" t="s">
        <v>889</v>
      </c>
      <c r="B192" s="198"/>
      <c r="C192" s="198"/>
      <c r="D192" s="198"/>
      <c r="E192" s="198"/>
      <c r="F192" s="342"/>
      <c r="G192" s="343"/>
    </row>
    <row r="193" spans="1:7" ht="12.75">
      <c r="A193" s="423" t="s">
        <v>1026</v>
      </c>
      <c r="B193" s="198">
        <f aca="true" t="shared" si="48" ref="B193:G193">SUMIF($A$1003:$Z$1003,$P$1,B1939:B1939)</f>
        <v>2320.3510053443574</v>
      </c>
      <c r="C193" s="198">
        <f t="shared" si="48"/>
        <v>1513.3622177152322</v>
      </c>
      <c r="D193" s="198">
        <f t="shared" si="48"/>
        <v>1917.4919488177009</v>
      </c>
      <c r="E193" s="198">
        <f t="shared" si="48"/>
        <v>1894.4287494798173</v>
      </c>
      <c r="F193" s="342">
        <f t="shared" si="48"/>
        <v>4661.956539741989</v>
      </c>
      <c r="G193" s="343">
        <f t="shared" si="48"/>
        <v>6556.3852892218065</v>
      </c>
    </row>
    <row r="194" spans="1:7" ht="12.75">
      <c r="A194" s="221" t="s">
        <v>890</v>
      </c>
      <c r="B194" s="316">
        <f aca="true" t="shared" si="49" ref="B194:G194">SUMIF($A$1003:$Z$1003,$P$1,B1986:B1986)</f>
        <v>0.12540927220897438</v>
      </c>
      <c r="C194" s="316">
        <f t="shared" si="49"/>
        <v>0.19520337225762116</v>
      </c>
      <c r="D194" s="316">
        <f t="shared" si="49"/>
        <v>0.15098432183540358</v>
      </c>
      <c r="E194" s="316">
        <f t="shared" si="49"/>
        <v>0.1567617385705106</v>
      </c>
      <c r="F194" s="392">
        <f t="shared" si="49"/>
        <v>0.0769492268895641</v>
      </c>
      <c r="G194" s="393">
        <f t="shared" si="49"/>
        <v>0.09984521817367197</v>
      </c>
    </row>
    <row r="195" spans="1:7" ht="12.75">
      <c r="A195" s="221" t="s">
        <v>891</v>
      </c>
      <c r="B195" s="316">
        <f aca="true" t="shared" si="50" ref="B195:G195">SUMIF($A$1003:$Z$1003,$P$1,B2004:B2004)</f>
        <v>0.1209827167773221</v>
      </c>
      <c r="C195" s="316">
        <f t="shared" si="50"/>
        <v>0.10920781460271159</v>
      </c>
      <c r="D195" s="316">
        <f t="shared" si="50"/>
        <v>0.16193884442922532</v>
      </c>
      <c r="E195" s="316">
        <f t="shared" si="50"/>
        <v>0.13425843728606085</v>
      </c>
      <c r="F195" s="392">
        <f t="shared" si="50"/>
        <v>0.03341957905195056</v>
      </c>
      <c r="G195" s="393">
        <f t="shared" si="50"/>
        <v>0.06234744475372316</v>
      </c>
    </row>
    <row r="196" spans="1:7" ht="12.75">
      <c r="A196" s="221" t="s">
        <v>892</v>
      </c>
      <c r="B196" s="316">
        <f aca="true" t="shared" si="51" ref="B196:G196">SUMIF($A$1003:$Z$1003,$P$1,B1916:B1916)</f>
        <v>0.8575016164784879</v>
      </c>
      <c r="C196" s="316">
        <f t="shared" si="51"/>
        <v>0.8893441494926039</v>
      </c>
      <c r="D196" s="316">
        <f t="shared" si="51"/>
        <v>0.9763275368423264</v>
      </c>
      <c r="E196" s="316">
        <f t="shared" si="51"/>
        <v>0.9157500968141393</v>
      </c>
      <c r="F196" s="392">
        <f t="shared" si="51"/>
        <v>0.5346939762494805</v>
      </c>
      <c r="G196" s="393">
        <f t="shared" si="51"/>
        <v>0.6440083861264874</v>
      </c>
    </row>
    <row r="197" spans="1:7" ht="12.75">
      <c r="A197" s="221" t="s">
        <v>893</v>
      </c>
      <c r="B197" s="316">
        <f aca="true" t="shared" si="52" ref="B197:G197">SUMIF($A$1003:$Z$1003,$P$1,B2045:B2045)</f>
        <v>0.17097478621806542</v>
      </c>
      <c r="C197" s="316">
        <f t="shared" si="52"/>
        <v>0.08174606013134729</v>
      </c>
      <c r="D197" s="316">
        <f t="shared" si="52"/>
        <v>0.09676058061954106</v>
      </c>
      <c r="E197" s="316">
        <f t="shared" si="52"/>
        <v>0.11535964326481347</v>
      </c>
      <c r="F197" s="392">
        <f t="shared" si="52"/>
        <v>0.08169469346410375</v>
      </c>
      <c r="G197" s="393">
        <f t="shared" si="52"/>
        <v>0.09208138795744907</v>
      </c>
    </row>
    <row r="198" spans="1:7" ht="12.75">
      <c r="A198" s="221"/>
      <c r="B198" s="316"/>
      <c r="C198" s="316"/>
      <c r="D198" s="316"/>
      <c r="E198" s="316"/>
      <c r="F198" s="392"/>
      <c r="G198" s="393"/>
    </row>
    <row r="199" spans="1:7" ht="12.75">
      <c r="A199" s="221"/>
      <c r="B199" s="316"/>
      <c r="C199" s="316"/>
      <c r="D199" s="316"/>
      <c r="E199" s="316"/>
      <c r="F199" s="392"/>
      <c r="G199" s="393"/>
    </row>
    <row r="200" spans="1:7" ht="12.75">
      <c r="A200" s="243" t="s">
        <v>894</v>
      </c>
      <c r="B200" s="316"/>
      <c r="C200" s="316"/>
      <c r="D200" s="316"/>
      <c r="E200" s="316"/>
      <c r="F200" s="392"/>
      <c r="G200" s="393"/>
    </row>
    <row r="201" spans="1:7" ht="12.75">
      <c r="A201" s="221" t="s">
        <v>895</v>
      </c>
      <c r="B201" s="316">
        <f aca="true" t="shared" si="53" ref="B201:G201">SUMIF($A$1003:$Z$1003,$P$1,B1962:B1962)</f>
        <v>0.5623536574801917</v>
      </c>
      <c r="C201" s="316">
        <f t="shared" si="53"/>
        <v>0.7838546589095302</v>
      </c>
      <c r="D201" s="316">
        <f t="shared" si="53"/>
        <v>0.8167017576234129</v>
      </c>
      <c r="E201" s="316">
        <f t="shared" si="53"/>
        <v>0.733851870512464</v>
      </c>
      <c r="F201" s="392">
        <f t="shared" si="53"/>
        <v>0.299842197290491</v>
      </c>
      <c r="G201" s="393">
        <f t="shared" si="53"/>
        <v>0.436044203510217</v>
      </c>
    </row>
    <row r="202" spans="1:7" ht="12.75">
      <c r="A202" s="221" t="s">
        <v>896</v>
      </c>
      <c r="B202" s="316">
        <f aca="true" t="shared" si="54" ref="B202:G202">SUMIF($A$1003:$Z$1003,$P$1,B2021:B2021)</f>
        <v>0.014172308474491779</v>
      </c>
      <c r="C202" s="316">
        <f t="shared" si="54"/>
        <v>0.02990861585012556</v>
      </c>
      <c r="D202" s="316">
        <f t="shared" si="54"/>
        <v>0.03330765601738659</v>
      </c>
      <c r="E202" s="316">
        <f t="shared" si="54"/>
        <v>0.026616145568531077</v>
      </c>
      <c r="F202" s="392">
        <f t="shared" si="54"/>
        <v>0.02837421516875096</v>
      </c>
      <c r="G202" s="393">
        <f t="shared" si="54"/>
        <v>0.02776779330745313</v>
      </c>
    </row>
    <row r="203" spans="1:7" ht="12.75">
      <c r="A203" s="221"/>
      <c r="B203" s="198"/>
      <c r="C203" s="198"/>
      <c r="D203" s="198"/>
      <c r="E203" s="198"/>
      <c r="F203" s="342"/>
      <c r="G203" s="343"/>
    </row>
    <row r="204" spans="1:7" ht="12.75">
      <c r="A204" s="221"/>
      <c r="B204" s="198"/>
      <c r="C204" s="198"/>
      <c r="D204" s="198"/>
      <c r="E204" s="198"/>
      <c r="F204" s="342"/>
      <c r="G204" s="343"/>
    </row>
    <row r="205" spans="1:7" ht="12.75">
      <c r="A205" s="243" t="s">
        <v>897</v>
      </c>
      <c r="B205" s="198"/>
      <c r="C205" s="198"/>
      <c r="D205" s="198"/>
      <c r="E205" s="198"/>
      <c r="F205" s="342"/>
      <c r="G205" s="343"/>
    </row>
    <row r="206" spans="1:7" ht="12.75">
      <c r="A206" s="265" t="s">
        <v>955</v>
      </c>
      <c r="B206" s="198">
        <f aca="true" t="shared" si="55" ref="B206:G206">SUMIF($A$1003:$Z$1003,$P$1,B1943:B1943)</f>
        <v>3152.0923081577093</v>
      </c>
      <c r="C206" s="198">
        <f t="shared" si="55"/>
        <v>2615.53589321192</v>
      </c>
      <c r="D206" s="198">
        <f t="shared" si="55"/>
        <v>2429.038104066622</v>
      </c>
      <c r="E206" s="198">
        <f t="shared" si="55"/>
        <v>2674.1333452975455</v>
      </c>
      <c r="F206" s="342">
        <f t="shared" si="55"/>
        <v>7475.6624256138175</v>
      </c>
      <c r="G206" s="343">
        <f t="shared" si="55"/>
        <v>10149.79577091136</v>
      </c>
    </row>
    <row r="207" spans="1:7" ht="12.75">
      <c r="A207" s="421" t="s">
        <v>268</v>
      </c>
      <c r="B207" s="198">
        <f aca="true" t="shared" si="56" ref="B207:G207">-SUMIF($A$1003:$Z$1003,$P$1,B2010:B2010)</f>
        <v>1290137.04</v>
      </c>
      <c r="C207" s="198">
        <f t="shared" si="56"/>
        <v>1838752.8000000005</v>
      </c>
      <c r="D207" s="198">
        <f t="shared" si="56"/>
        <v>2119817.9699999997</v>
      </c>
      <c r="E207" s="198">
        <f t="shared" si="56"/>
        <v>5248707.8100000005</v>
      </c>
      <c r="F207" s="342">
        <f t="shared" si="56"/>
        <v>7682524</v>
      </c>
      <c r="G207" s="343">
        <f t="shared" si="56"/>
        <v>12931231.81</v>
      </c>
    </row>
    <row r="208" spans="1:7" ht="13.5" thickBot="1">
      <c r="A208" s="326"/>
      <c r="B208" s="219"/>
      <c r="C208" s="219"/>
      <c r="D208" s="219"/>
      <c r="E208" s="219"/>
      <c r="F208" s="358"/>
      <c r="G208" s="359"/>
    </row>
    <row r="209" spans="1:7" ht="12.75">
      <c r="A209" s="312"/>
      <c r="B209" s="313"/>
      <c r="C209" s="313"/>
      <c r="D209" s="313"/>
      <c r="E209" s="313"/>
      <c r="F209" s="380"/>
      <c r="G209" s="381"/>
    </row>
    <row r="210" spans="1:7" ht="12.75">
      <c r="A210" s="231"/>
      <c r="B210" s="217"/>
      <c r="C210" s="217"/>
      <c r="D210" s="217"/>
      <c r="E210" s="217"/>
      <c r="F210" s="360"/>
      <c r="G210" s="388"/>
    </row>
    <row r="211" spans="1:7" ht="12.75">
      <c r="A211" s="231"/>
      <c r="B211" s="217"/>
      <c r="C211" s="217"/>
      <c r="D211" s="217"/>
      <c r="E211" s="217"/>
      <c r="F211" s="360"/>
      <c r="G211" s="388"/>
    </row>
    <row r="212" spans="1:7" ht="13.5" thickBot="1">
      <c r="A212" s="239"/>
      <c r="B212" s="234"/>
      <c r="C212" s="234"/>
      <c r="D212" s="234"/>
      <c r="E212" s="234"/>
      <c r="F212" s="382"/>
      <c r="G212" s="383"/>
    </row>
    <row r="213" spans="1:7" ht="12.75">
      <c r="A213" s="220" t="s">
        <v>983</v>
      </c>
      <c r="B213" s="233"/>
      <c r="C213" s="233"/>
      <c r="D213" s="233"/>
      <c r="E213" s="233"/>
      <c r="F213" s="376"/>
      <c r="G213" s="377"/>
    </row>
    <row r="214" spans="1:7" ht="12.75">
      <c r="A214" s="230" t="s">
        <v>24</v>
      </c>
      <c r="B214" s="316">
        <f aca="true" t="shared" si="57" ref="B214:G214">SUMIF($A$1003:$Z$1003,$P$1,B1352:B1352)</f>
        <v>0.6</v>
      </c>
      <c r="C214" s="316">
        <f t="shared" si="57"/>
        <v>0.6</v>
      </c>
      <c r="D214" s="316">
        <f t="shared" si="57"/>
        <v>0.6</v>
      </c>
      <c r="E214" s="316">
        <f t="shared" si="57"/>
        <v>0.6</v>
      </c>
      <c r="F214" s="392">
        <f t="shared" si="57"/>
        <v>0.54</v>
      </c>
      <c r="G214" s="393">
        <f t="shared" si="57"/>
        <v>1.1400000000000001</v>
      </c>
    </row>
    <row r="215" spans="1:7" ht="13.5" thickBot="1">
      <c r="A215" s="223" t="s">
        <v>898</v>
      </c>
      <c r="B215" s="200">
        <f aca="true" t="shared" si="58" ref="B215:G215">SUMIF($A$1003:$Z$1003,$P$1,B1351:B1351)</f>
        <v>9917</v>
      </c>
      <c r="C215" s="200">
        <f t="shared" si="58"/>
        <v>12080</v>
      </c>
      <c r="D215" s="200">
        <f t="shared" si="58"/>
        <v>16451</v>
      </c>
      <c r="E215" s="200">
        <f t="shared" si="58"/>
        <v>38448</v>
      </c>
      <c r="F215" s="344">
        <f t="shared" si="58"/>
        <v>38448</v>
      </c>
      <c r="G215" s="345">
        <f t="shared" si="58"/>
        <v>38448</v>
      </c>
    </row>
    <row r="216" spans="1:7" s="67" customFormat="1" ht="13.5" thickBot="1">
      <c r="A216" s="192"/>
      <c r="B216" s="192"/>
      <c r="C216" s="192"/>
      <c r="D216" s="192"/>
      <c r="E216" s="192"/>
      <c r="F216" s="192"/>
      <c r="G216" s="194"/>
    </row>
    <row r="217" spans="1:7" ht="18">
      <c r="A217" s="289" t="s">
        <v>970</v>
      </c>
      <c r="B217" s="282"/>
      <c r="C217" s="282"/>
      <c r="D217" s="282"/>
      <c r="E217" s="282"/>
      <c r="F217" s="282"/>
      <c r="G217" s="284"/>
    </row>
    <row r="218" spans="1:7" ht="15.75" thickBot="1">
      <c r="A218" s="327" t="s">
        <v>43</v>
      </c>
      <c r="B218" s="199"/>
      <c r="C218" s="328"/>
      <c r="D218" s="328"/>
      <c r="E218" s="328"/>
      <c r="F218" s="394"/>
      <c r="G218" s="395"/>
    </row>
    <row r="219" spans="1:7" ht="12.75">
      <c r="A219" s="220" t="s">
        <v>978</v>
      </c>
      <c r="B219" s="245">
        <f aca="true" t="shared" si="59" ref="B219:G220">SUMIF($A$1003:$Z$1003,$P$1,B1356:B1356)</f>
        <v>4749980.609999999</v>
      </c>
      <c r="C219" s="245">
        <f t="shared" si="59"/>
        <v>4240807.65</v>
      </c>
      <c r="D219" s="245">
        <f t="shared" si="59"/>
        <v>5544910.29</v>
      </c>
      <c r="E219" s="245">
        <f t="shared" si="59"/>
        <v>14535698.55</v>
      </c>
      <c r="F219" s="362">
        <f t="shared" si="59"/>
        <v>23233198.03</v>
      </c>
      <c r="G219" s="363">
        <f t="shared" si="59"/>
        <v>37768896.58</v>
      </c>
    </row>
    <row r="220" spans="1:7" ht="12.75">
      <c r="A220" s="221" t="s">
        <v>391</v>
      </c>
      <c r="B220" s="198">
        <f t="shared" si="59"/>
        <v>899139.85</v>
      </c>
      <c r="C220" s="198">
        <f t="shared" si="59"/>
        <v>789757.6000000001</v>
      </c>
      <c r="D220" s="198">
        <f t="shared" si="59"/>
        <v>1075488.8</v>
      </c>
      <c r="E220" s="198">
        <f t="shared" si="59"/>
        <v>2764386.25</v>
      </c>
      <c r="F220" s="342">
        <f t="shared" si="59"/>
        <v>2177075.05</v>
      </c>
      <c r="G220" s="343">
        <f t="shared" si="59"/>
        <v>4941461.3</v>
      </c>
    </row>
    <row r="221" spans="1:7" ht="12.75">
      <c r="A221" s="221" t="s">
        <v>393</v>
      </c>
      <c r="B221" s="198">
        <f aca="true" t="shared" si="60" ref="B221:G221">SUMIF($A$1003:$Z$1003,$P$1,B1360:B1360)</f>
        <v>3850840.76</v>
      </c>
      <c r="C221" s="198">
        <f t="shared" si="60"/>
        <v>3451050.05</v>
      </c>
      <c r="D221" s="198">
        <f t="shared" si="60"/>
        <v>4469421.49</v>
      </c>
      <c r="E221" s="198">
        <f t="shared" si="60"/>
        <v>11771312.3</v>
      </c>
      <c r="F221" s="342">
        <f t="shared" si="60"/>
        <v>21056122.98</v>
      </c>
      <c r="G221" s="343">
        <f t="shared" si="60"/>
        <v>32827435.28</v>
      </c>
    </row>
    <row r="222" spans="1:7" ht="12.75">
      <c r="A222" s="221" t="s">
        <v>416</v>
      </c>
      <c r="B222" s="198">
        <f aca="true" t="shared" si="61" ref="B222:G222">SUMIF($A$1003:$Z$1003,$P$1,B1365:B1365)</f>
        <v>0</v>
      </c>
      <c r="C222" s="198">
        <f t="shared" si="61"/>
        <v>0</v>
      </c>
      <c r="D222" s="198">
        <f t="shared" si="61"/>
        <v>0</v>
      </c>
      <c r="E222" s="198">
        <f t="shared" si="61"/>
        <v>0</v>
      </c>
      <c r="F222" s="342">
        <f t="shared" si="61"/>
        <v>0</v>
      </c>
      <c r="G222" s="343">
        <f t="shared" si="61"/>
        <v>0</v>
      </c>
    </row>
    <row r="223" spans="1:7" ht="13.5" thickBot="1">
      <c r="A223" s="223" t="s">
        <v>396</v>
      </c>
      <c r="B223" s="200">
        <f aca="true" t="shared" si="62" ref="B223:G223">SUMIF($A$1003:$Z$1003,$P$1,B1371:B1371)</f>
        <v>0</v>
      </c>
      <c r="C223" s="200">
        <f t="shared" si="62"/>
        <v>0</v>
      </c>
      <c r="D223" s="200">
        <f t="shared" si="62"/>
        <v>0</v>
      </c>
      <c r="E223" s="200">
        <f t="shared" si="62"/>
        <v>0</v>
      </c>
      <c r="F223" s="344">
        <f t="shared" si="62"/>
        <v>0</v>
      </c>
      <c r="G223" s="345">
        <f t="shared" si="62"/>
        <v>0</v>
      </c>
    </row>
    <row r="224" spans="1:7" ht="12.75">
      <c r="A224" s="220" t="s">
        <v>1009</v>
      </c>
      <c r="B224" s="245">
        <f aca="true" t="shared" si="63" ref="B224:G225">SUMIF($A$1003:$Z$1003,$P$1,B1373:B1373)</f>
        <v>904465.3999999999</v>
      </c>
      <c r="C224" s="245">
        <f t="shared" si="63"/>
        <v>850290.94</v>
      </c>
      <c r="D224" s="245">
        <f t="shared" si="63"/>
        <v>904046.9199999999</v>
      </c>
      <c r="E224" s="245">
        <f t="shared" si="63"/>
        <v>2658803.26</v>
      </c>
      <c r="F224" s="362">
        <f t="shared" si="63"/>
        <v>4554963.280000001</v>
      </c>
      <c r="G224" s="363">
        <f t="shared" si="63"/>
        <v>7213766.540000001</v>
      </c>
    </row>
    <row r="225" spans="1:7" ht="12.75">
      <c r="A225" s="221" t="s">
        <v>398</v>
      </c>
      <c r="B225" s="198">
        <f t="shared" si="63"/>
        <v>0</v>
      </c>
      <c r="C225" s="198">
        <f t="shared" si="63"/>
        <v>36850.45</v>
      </c>
      <c r="D225" s="198">
        <f t="shared" si="63"/>
        <v>0</v>
      </c>
      <c r="E225" s="198">
        <f t="shared" si="63"/>
        <v>36850.45</v>
      </c>
      <c r="F225" s="342">
        <f t="shared" si="63"/>
        <v>-1761885.7400000002</v>
      </c>
      <c r="G225" s="343">
        <f t="shared" si="63"/>
        <v>-1725035.2900000003</v>
      </c>
    </row>
    <row r="226" spans="1:7" ht="12.75">
      <c r="A226" s="221" t="s">
        <v>400</v>
      </c>
      <c r="B226" s="198">
        <f aca="true" t="shared" si="64" ref="B226:G226">SUMIF($A$1003:$Z$1003,$P$1,B1378:B1378)</f>
        <v>12930.3</v>
      </c>
      <c r="C226" s="198">
        <f t="shared" si="64"/>
        <v>18798.3</v>
      </c>
      <c r="D226" s="198">
        <f t="shared" si="64"/>
        <v>13563.2</v>
      </c>
      <c r="E226" s="198">
        <f t="shared" si="64"/>
        <v>45291.8</v>
      </c>
      <c r="F226" s="342">
        <f t="shared" si="64"/>
        <v>4376442.65</v>
      </c>
      <c r="G226" s="343">
        <f t="shared" si="64"/>
        <v>4421734.45</v>
      </c>
    </row>
    <row r="227" spans="1:7" ht="12.75">
      <c r="A227" s="221" t="s">
        <v>402</v>
      </c>
      <c r="B227" s="198">
        <f aca="true" t="shared" si="65" ref="B227:G227">SUMIF($A$1003:$Z$1003,$P$1,B1380:B1380)</f>
        <v>0</v>
      </c>
      <c r="C227" s="198">
        <f t="shared" si="65"/>
        <v>0</v>
      </c>
      <c r="D227" s="198">
        <f t="shared" si="65"/>
        <v>0</v>
      </c>
      <c r="E227" s="198">
        <f t="shared" si="65"/>
        <v>0</v>
      </c>
      <c r="F227" s="342">
        <f t="shared" si="65"/>
        <v>0</v>
      </c>
      <c r="G227" s="343">
        <f t="shared" si="65"/>
        <v>0</v>
      </c>
    </row>
    <row r="228" spans="1:7" ht="12.75">
      <c r="A228" s="221" t="s">
        <v>440</v>
      </c>
      <c r="B228" s="198">
        <f aca="true" t="shared" si="66" ref="B228:G228">SUMIF($A$1003:$Z$1003,$P$1,B1382:B1382)</f>
        <v>417302.75999999995</v>
      </c>
      <c r="C228" s="198">
        <f t="shared" si="66"/>
        <v>282193.54</v>
      </c>
      <c r="D228" s="198">
        <f t="shared" si="66"/>
        <v>344213.04</v>
      </c>
      <c r="E228" s="198">
        <f t="shared" si="66"/>
        <v>1043709.3399999999</v>
      </c>
      <c r="F228" s="342">
        <f t="shared" si="66"/>
        <v>1354916.370000001</v>
      </c>
      <c r="G228" s="343">
        <f t="shared" si="66"/>
        <v>2398625.710000001</v>
      </c>
    </row>
    <row r="229" spans="1:7" ht="12.75">
      <c r="A229" s="221" t="s">
        <v>445</v>
      </c>
      <c r="B229" s="198">
        <f aca="true" t="shared" si="67" ref="B229:G229">SUMIF($A$1003:$Z$1003,$P$1,B1386:B1386)</f>
        <v>218861.04000000007</v>
      </c>
      <c r="C229" s="198">
        <f t="shared" si="67"/>
        <v>239430.30000000005</v>
      </c>
      <c r="D229" s="198">
        <f t="shared" si="67"/>
        <v>71210.28000000003</v>
      </c>
      <c r="E229" s="198">
        <f t="shared" si="67"/>
        <v>529501.6200000001</v>
      </c>
      <c r="F229" s="342">
        <f t="shared" si="67"/>
        <v>0</v>
      </c>
      <c r="G229" s="343">
        <f t="shared" si="67"/>
        <v>529501.6200000001</v>
      </c>
    </row>
    <row r="230" spans="1:7" ht="12.75">
      <c r="A230" s="221" t="s">
        <v>452</v>
      </c>
      <c r="B230" s="198">
        <f aca="true" t="shared" si="68" ref="B230:G230">SUMIF($A$1003:$Z$1003,$P$1,B1390:B1390)</f>
        <v>255371.3</v>
      </c>
      <c r="C230" s="198">
        <f t="shared" si="68"/>
        <v>273018.3499999999</v>
      </c>
      <c r="D230" s="198">
        <f t="shared" si="68"/>
        <v>475060.39999999997</v>
      </c>
      <c r="E230" s="198">
        <f t="shared" si="68"/>
        <v>1003450.0499999998</v>
      </c>
      <c r="F230" s="342">
        <f t="shared" si="68"/>
        <v>585489.9999999999</v>
      </c>
      <c r="G230" s="343">
        <f t="shared" si="68"/>
        <v>1588940.0499999998</v>
      </c>
    </row>
    <row r="231" spans="1:7" ht="13.5" thickBot="1">
      <c r="A231" s="223" t="s">
        <v>1010</v>
      </c>
      <c r="B231" s="200">
        <f aca="true" t="shared" si="69" ref="B231:G231">SUMIF($A$1003:$Z$1003,$P$1,B1396:B1396)</f>
        <v>0</v>
      </c>
      <c r="C231" s="200">
        <f t="shared" si="69"/>
        <v>0</v>
      </c>
      <c r="D231" s="200">
        <f t="shared" si="69"/>
        <v>0</v>
      </c>
      <c r="E231" s="200">
        <f t="shared" si="69"/>
        <v>0</v>
      </c>
      <c r="F231" s="344">
        <f t="shared" si="69"/>
        <v>0</v>
      </c>
      <c r="G231" s="345">
        <f t="shared" si="69"/>
        <v>0</v>
      </c>
    </row>
    <row r="232" spans="1:7" ht="12.75">
      <c r="A232" s="220" t="s">
        <v>972</v>
      </c>
      <c r="B232" s="245">
        <f aca="true" t="shared" si="70" ref="B232:G233">SUMIF($A$1003:$Z$1003,$P$1,B1399:B1399)</f>
        <v>15409687</v>
      </c>
      <c r="C232" s="245">
        <f t="shared" si="70"/>
        <v>18364003.1</v>
      </c>
      <c r="D232" s="245">
        <f t="shared" si="70"/>
        <v>25531992.819999993</v>
      </c>
      <c r="E232" s="245">
        <f t="shared" si="70"/>
        <v>59305682.919999994</v>
      </c>
      <c r="F232" s="362">
        <f t="shared" si="70"/>
        <v>49951665.35</v>
      </c>
      <c r="G232" s="363">
        <f t="shared" si="70"/>
        <v>109257348.27</v>
      </c>
    </row>
    <row r="233" spans="1:7" ht="12.75">
      <c r="A233" s="221" t="s">
        <v>471</v>
      </c>
      <c r="B233" s="198">
        <f t="shared" si="70"/>
        <v>15376822</v>
      </c>
      <c r="C233" s="198">
        <f t="shared" si="70"/>
        <v>18359003.1</v>
      </c>
      <c r="D233" s="198">
        <f t="shared" si="70"/>
        <v>25353086.019999992</v>
      </c>
      <c r="E233" s="198">
        <f t="shared" si="70"/>
        <v>59088911.11999999</v>
      </c>
      <c r="F233" s="342">
        <f t="shared" si="70"/>
        <v>5229397.640000001</v>
      </c>
      <c r="G233" s="343">
        <f t="shared" si="70"/>
        <v>64318308.75999999</v>
      </c>
    </row>
    <row r="234" spans="1:7" ht="12.75">
      <c r="A234" s="221" t="s">
        <v>490</v>
      </c>
      <c r="B234" s="198">
        <f aca="true" t="shared" si="71" ref="B234:G234">SUMIF($A$1003:$Z$1003,$P$1,B1410:B1410)</f>
        <v>0</v>
      </c>
      <c r="C234" s="198">
        <f t="shared" si="71"/>
        <v>0</v>
      </c>
      <c r="D234" s="198">
        <f t="shared" si="71"/>
        <v>66173.3</v>
      </c>
      <c r="E234" s="198">
        <f t="shared" si="71"/>
        <v>66173.3</v>
      </c>
      <c r="F234" s="342">
        <f t="shared" si="71"/>
        <v>11206645.85</v>
      </c>
      <c r="G234" s="343">
        <f t="shared" si="71"/>
        <v>11272819.15</v>
      </c>
    </row>
    <row r="235" spans="1:7" ht="12.75">
      <c r="A235" s="221" t="s">
        <v>492</v>
      </c>
      <c r="B235" s="198">
        <f aca="true" t="shared" si="72" ref="B235:G235">SUMIF($A$1003:$Z$1003,$P$1,B1412:B1412)</f>
        <v>0</v>
      </c>
      <c r="C235" s="198">
        <f t="shared" si="72"/>
        <v>0</v>
      </c>
      <c r="D235" s="198">
        <f t="shared" si="72"/>
        <v>0</v>
      </c>
      <c r="E235" s="198">
        <f t="shared" si="72"/>
        <v>0</v>
      </c>
      <c r="F235" s="342">
        <f t="shared" si="72"/>
        <v>11954139.620000001</v>
      </c>
      <c r="G235" s="343">
        <f t="shared" si="72"/>
        <v>11954139.620000001</v>
      </c>
    </row>
    <row r="236" spans="1:7" ht="12.75">
      <c r="A236" s="221" t="s">
        <v>495</v>
      </c>
      <c r="B236" s="198">
        <f aca="true" t="shared" si="73" ref="B236:G236">SUMIF($A$1003:$Z$1003,$P$1,B1414:B1414)</f>
        <v>32865</v>
      </c>
      <c r="C236" s="198">
        <f t="shared" si="73"/>
        <v>0</v>
      </c>
      <c r="D236" s="198">
        <f t="shared" si="73"/>
        <v>0</v>
      </c>
      <c r="E236" s="198">
        <f t="shared" si="73"/>
        <v>32865</v>
      </c>
      <c r="F236" s="342">
        <f t="shared" si="73"/>
        <v>10245285.139999999</v>
      </c>
      <c r="G236" s="343">
        <f t="shared" si="73"/>
        <v>10278150.139999999</v>
      </c>
    </row>
    <row r="237" spans="1:7" ht="12.75">
      <c r="A237" s="221" t="s">
        <v>501</v>
      </c>
      <c r="B237" s="198">
        <f aca="true" t="shared" si="74" ref="B237:G237">SUMIF($A$1003:$Z$1003,$P$1,B1417:B1417)</f>
        <v>0</v>
      </c>
      <c r="C237" s="198">
        <f t="shared" si="74"/>
        <v>0</v>
      </c>
      <c r="D237" s="198">
        <f t="shared" si="74"/>
        <v>0</v>
      </c>
      <c r="E237" s="198">
        <f t="shared" si="74"/>
        <v>0</v>
      </c>
      <c r="F237" s="342">
        <f t="shared" si="74"/>
        <v>1230265.1</v>
      </c>
      <c r="G237" s="343">
        <f t="shared" si="74"/>
        <v>1230265.1</v>
      </c>
    </row>
    <row r="238" spans="1:7" ht="12.75">
      <c r="A238" s="221" t="s">
        <v>504</v>
      </c>
      <c r="B238" s="198">
        <f aca="true" t="shared" si="75" ref="B238:G238">SUMIF($A$1003:$Z$1003,$P$1,B1419:B1419)</f>
        <v>0</v>
      </c>
      <c r="C238" s="198">
        <f t="shared" si="75"/>
        <v>0</v>
      </c>
      <c r="D238" s="198">
        <f t="shared" si="75"/>
        <v>0</v>
      </c>
      <c r="E238" s="198">
        <f t="shared" si="75"/>
        <v>0</v>
      </c>
      <c r="F238" s="342">
        <f t="shared" si="75"/>
        <v>9314822.65</v>
      </c>
      <c r="G238" s="343">
        <f t="shared" si="75"/>
        <v>9314822.65</v>
      </c>
    </row>
    <row r="239" spans="1:7" ht="12.75">
      <c r="A239" s="221" t="s">
        <v>513</v>
      </c>
      <c r="B239" s="198">
        <f aca="true" t="shared" si="76" ref="B239:G239">SUMIF($A$1003:$Z$1003,$P$1,B1423:B1423)</f>
        <v>0</v>
      </c>
      <c r="C239" s="198">
        <f t="shared" si="76"/>
        <v>0</v>
      </c>
      <c r="D239" s="198">
        <f t="shared" si="76"/>
        <v>0</v>
      </c>
      <c r="E239" s="198">
        <f t="shared" si="76"/>
        <v>0</v>
      </c>
      <c r="F239" s="342">
        <f t="shared" si="76"/>
        <v>0</v>
      </c>
      <c r="G239" s="343">
        <f t="shared" si="76"/>
        <v>0</v>
      </c>
    </row>
    <row r="240" spans="1:7" ht="13.5" thickBot="1">
      <c r="A240" s="223" t="s">
        <v>518</v>
      </c>
      <c r="B240" s="200">
        <f aca="true" t="shared" si="77" ref="B240:G240">SUMIF($A$1003:$Z$1003,$P$1,B1426:B1426)</f>
        <v>0</v>
      </c>
      <c r="C240" s="200">
        <f t="shared" si="77"/>
        <v>5000</v>
      </c>
      <c r="D240" s="200">
        <f t="shared" si="77"/>
        <v>112733.5</v>
      </c>
      <c r="E240" s="200">
        <f t="shared" si="77"/>
        <v>117733.5</v>
      </c>
      <c r="F240" s="344">
        <f t="shared" si="77"/>
        <v>771109.35</v>
      </c>
      <c r="G240" s="345">
        <f t="shared" si="77"/>
        <v>888842.85</v>
      </c>
    </row>
    <row r="241" spans="1:7" ht="12.75">
      <c r="A241" s="220" t="s">
        <v>973</v>
      </c>
      <c r="B241" s="245">
        <f aca="true" t="shared" si="78" ref="B241:G242">SUMIF($A$1003:$Z$1003,$P$1,B1429:B1429)</f>
        <v>714301.3500000001</v>
      </c>
      <c r="C241" s="245">
        <f t="shared" si="78"/>
        <v>1716249.71</v>
      </c>
      <c r="D241" s="245">
        <f t="shared" si="78"/>
        <v>2034348.27</v>
      </c>
      <c r="E241" s="245">
        <f t="shared" si="78"/>
        <v>4464899.33</v>
      </c>
      <c r="F241" s="362">
        <f t="shared" si="78"/>
        <v>3100335.1899999995</v>
      </c>
      <c r="G241" s="363">
        <f t="shared" si="78"/>
        <v>7565234.52</v>
      </c>
    </row>
    <row r="242" spans="1:7" ht="12.75">
      <c r="A242" s="230" t="s">
        <v>524</v>
      </c>
      <c r="B242" s="202">
        <f t="shared" si="78"/>
        <v>69505.95</v>
      </c>
      <c r="C242" s="202">
        <f t="shared" si="78"/>
        <v>81690</v>
      </c>
      <c r="D242" s="202">
        <f t="shared" si="78"/>
        <v>89117.15</v>
      </c>
      <c r="E242" s="202">
        <f t="shared" si="78"/>
        <v>240313.1</v>
      </c>
      <c r="F242" s="356">
        <f t="shared" si="78"/>
        <v>1051727.0499999998</v>
      </c>
      <c r="G242" s="384">
        <f t="shared" si="78"/>
        <v>1292040.15</v>
      </c>
    </row>
    <row r="243" spans="1:7" ht="12.75">
      <c r="A243" s="221" t="s">
        <v>530</v>
      </c>
      <c r="B243" s="198">
        <f aca="true" t="shared" si="79" ref="B243:G243">SUMIF($A$1003:$Z$1003,$P$1,B1433:B1433)</f>
        <v>173952.45</v>
      </c>
      <c r="C243" s="198">
        <f t="shared" si="79"/>
        <v>351347.4</v>
      </c>
      <c r="D243" s="198">
        <f t="shared" si="79"/>
        <v>722249.5700000001</v>
      </c>
      <c r="E243" s="198">
        <f t="shared" si="79"/>
        <v>1247549.4200000002</v>
      </c>
      <c r="F243" s="342">
        <f t="shared" si="79"/>
        <v>872877.6499999999</v>
      </c>
      <c r="G243" s="343">
        <f t="shared" si="79"/>
        <v>2120427.0700000003</v>
      </c>
    </row>
    <row r="244" spans="1:7" ht="12.75">
      <c r="A244" s="221" t="s">
        <v>537</v>
      </c>
      <c r="B244" s="198">
        <f aca="true" t="shared" si="80" ref="B244:G244">SUMIF($A$1003:$Z$1003,$P$1,B1437:B1437)</f>
        <v>0</v>
      </c>
      <c r="C244" s="198">
        <f t="shared" si="80"/>
        <v>0</v>
      </c>
      <c r="D244" s="198">
        <f t="shared" si="80"/>
        <v>0</v>
      </c>
      <c r="E244" s="198">
        <f t="shared" si="80"/>
        <v>0</v>
      </c>
      <c r="F244" s="342">
        <f t="shared" si="80"/>
        <v>0</v>
      </c>
      <c r="G244" s="343">
        <f t="shared" si="80"/>
        <v>0</v>
      </c>
    </row>
    <row r="245" spans="1:7" ht="12.75">
      <c r="A245" s="221" t="s">
        <v>544</v>
      </c>
      <c r="B245" s="198">
        <f aca="true" t="shared" si="81" ref="B245:G245">SUMIF($A$1003:$Z$1003,$P$1,B1441:B1441)</f>
        <v>470842.95</v>
      </c>
      <c r="C245" s="198">
        <f t="shared" si="81"/>
        <v>1035556.21</v>
      </c>
      <c r="D245" s="198">
        <f t="shared" si="81"/>
        <v>1222981.55</v>
      </c>
      <c r="E245" s="198">
        <f t="shared" si="81"/>
        <v>2729380.71</v>
      </c>
      <c r="F245" s="342">
        <f t="shared" si="81"/>
        <v>1175730.49</v>
      </c>
      <c r="G245" s="343">
        <f t="shared" si="81"/>
        <v>3905111.2</v>
      </c>
    </row>
    <row r="246" spans="1:7" ht="12.75">
      <c r="A246" s="221" t="s">
        <v>1011</v>
      </c>
      <c r="B246" s="198">
        <f aca="true" t="shared" si="82" ref="B246:G246">SUMIF($A$1003:$Z$1003,$P$1,B1444:B1444)</f>
        <v>0</v>
      </c>
      <c r="C246" s="198">
        <f t="shared" si="82"/>
        <v>247656.1</v>
      </c>
      <c r="D246" s="198">
        <f t="shared" si="82"/>
        <v>0</v>
      </c>
      <c r="E246" s="198">
        <f t="shared" si="82"/>
        <v>247656.1</v>
      </c>
      <c r="F246" s="342">
        <f t="shared" si="82"/>
        <v>0</v>
      </c>
      <c r="G246" s="343">
        <f t="shared" si="82"/>
        <v>247656.1</v>
      </c>
    </row>
    <row r="247" spans="1:7" ht="13.5" thickBot="1">
      <c r="A247" s="223" t="s">
        <v>1012</v>
      </c>
      <c r="B247" s="200">
        <f aca="true" t="shared" si="83" ref="B247:G247">SUMIF($A$1003:$Z$1003,$P$1,B1446:B1446)</f>
        <v>0</v>
      </c>
      <c r="C247" s="200">
        <f t="shared" si="83"/>
        <v>0</v>
      </c>
      <c r="D247" s="200">
        <f t="shared" si="83"/>
        <v>0</v>
      </c>
      <c r="E247" s="200">
        <f t="shared" si="83"/>
        <v>0</v>
      </c>
      <c r="F247" s="344">
        <f t="shared" si="83"/>
        <v>0</v>
      </c>
      <c r="G247" s="345">
        <f t="shared" si="83"/>
        <v>0</v>
      </c>
    </row>
    <row r="248" spans="1:7" ht="12.75">
      <c r="A248" s="220" t="s">
        <v>974</v>
      </c>
      <c r="B248" s="245">
        <f aca="true" t="shared" si="84" ref="B248:G249">SUMIF($A$1003:$Z$1003,$P$1,B1449:B1449)</f>
        <v>2051279.7500000002</v>
      </c>
      <c r="C248" s="245">
        <f t="shared" si="84"/>
        <v>2379957.85</v>
      </c>
      <c r="D248" s="245">
        <f t="shared" si="84"/>
        <v>3716231.6500000004</v>
      </c>
      <c r="E248" s="245">
        <f t="shared" si="84"/>
        <v>8147469.250000001</v>
      </c>
      <c r="F248" s="362">
        <f t="shared" si="84"/>
        <v>49164886.87</v>
      </c>
      <c r="G248" s="363">
        <f t="shared" si="84"/>
        <v>57312356.12</v>
      </c>
    </row>
    <row r="249" spans="1:7" ht="12.75">
      <c r="A249" s="221" t="s">
        <v>557</v>
      </c>
      <c r="B249" s="198">
        <f t="shared" si="84"/>
        <v>1853669.3</v>
      </c>
      <c r="C249" s="198">
        <f t="shared" si="84"/>
        <v>2246020.9</v>
      </c>
      <c r="D249" s="198">
        <f t="shared" si="84"/>
        <v>2955522.95</v>
      </c>
      <c r="E249" s="198">
        <f t="shared" si="84"/>
        <v>7055213.15</v>
      </c>
      <c r="F249" s="342">
        <f t="shared" si="84"/>
        <v>47193319.57</v>
      </c>
      <c r="G249" s="343">
        <f t="shared" si="84"/>
        <v>54248532.72</v>
      </c>
    </row>
    <row r="250" spans="1:7" ht="12.75">
      <c r="A250" s="221" t="s">
        <v>564</v>
      </c>
      <c r="B250" s="198">
        <f aca="true" t="shared" si="85" ref="B250:G250">SUMIF($A$1003:$Z$1003,$P$1,B1454:B1454)</f>
        <v>186138.6</v>
      </c>
      <c r="C250" s="198">
        <f t="shared" si="85"/>
        <v>133936.95</v>
      </c>
      <c r="D250" s="198">
        <f t="shared" si="85"/>
        <v>748616.7</v>
      </c>
      <c r="E250" s="198">
        <f t="shared" si="85"/>
        <v>1068692.25</v>
      </c>
      <c r="F250" s="342">
        <f t="shared" si="85"/>
        <v>717087.3</v>
      </c>
      <c r="G250" s="343">
        <f t="shared" si="85"/>
        <v>1785779.55</v>
      </c>
    </row>
    <row r="251" spans="1:7" ht="12.75">
      <c r="A251" s="221" t="s">
        <v>568</v>
      </c>
      <c r="B251" s="198">
        <f aca="true" t="shared" si="86" ref="B251:G251">SUMIF($A$1003:$Z$1003,$P$1,B1457:B1457)</f>
        <v>11471.85</v>
      </c>
      <c r="C251" s="198">
        <f t="shared" si="86"/>
        <v>0</v>
      </c>
      <c r="D251" s="198">
        <f t="shared" si="86"/>
        <v>0</v>
      </c>
      <c r="E251" s="198">
        <f t="shared" si="86"/>
        <v>11471.85</v>
      </c>
      <c r="F251" s="342">
        <f t="shared" si="86"/>
        <v>903563.8500000001</v>
      </c>
      <c r="G251" s="343">
        <f t="shared" si="86"/>
        <v>915035.7000000001</v>
      </c>
    </row>
    <row r="252" spans="1:7" ht="12.75">
      <c r="A252" s="221" t="s">
        <v>577</v>
      </c>
      <c r="B252" s="198">
        <f aca="true" t="shared" si="87" ref="B252:G252">SUMIF($A$1003:$Z$1003,$P$1,B1462:B1462)</f>
        <v>0</v>
      </c>
      <c r="C252" s="198">
        <f t="shared" si="87"/>
        <v>0</v>
      </c>
      <c r="D252" s="198">
        <f t="shared" si="87"/>
        <v>0</v>
      </c>
      <c r="E252" s="198">
        <f t="shared" si="87"/>
        <v>0</v>
      </c>
      <c r="F252" s="342">
        <f t="shared" si="87"/>
        <v>0</v>
      </c>
      <c r="G252" s="343">
        <f t="shared" si="87"/>
        <v>0</v>
      </c>
    </row>
    <row r="253" spans="1:7" ht="13.5" thickBot="1">
      <c r="A253" s="223" t="s">
        <v>578</v>
      </c>
      <c r="B253" s="200">
        <f aca="true" t="shared" si="88" ref="B253:G253">SUMIF($A$1003:$Z$1003,$P$1,B1464:B1464)</f>
        <v>0</v>
      </c>
      <c r="C253" s="200">
        <f t="shared" si="88"/>
        <v>0</v>
      </c>
      <c r="D253" s="200">
        <f t="shared" si="88"/>
        <v>12092</v>
      </c>
      <c r="E253" s="200">
        <f t="shared" si="88"/>
        <v>12092</v>
      </c>
      <c r="F253" s="344">
        <f t="shared" si="88"/>
        <v>350916.15</v>
      </c>
      <c r="G253" s="345">
        <f t="shared" si="88"/>
        <v>363008.15</v>
      </c>
    </row>
    <row r="254" spans="1:7" ht="12.75">
      <c r="A254" s="220" t="s">
        <v>979</v>
      </c>
      <c r="B254" s="245">
        <f aca="true" t="shared" si="89" ref="B254:G255">SUMIF($A$1003:$Z$1003,$P$1,B1466:B1466)</f>
        <v>254054.35</v>
      </c>
      <c r="C254" s="245">
        <f t="shared" si="89"/>
        <v>491588.94999999995</v>
      </c>
      <c r="D254" s="245">
        <f t="shared" si="89"/>
        <v>575969.92</v>
      </c>
      <c r="E254" s="245">
        <f t="shared" si="89"/>
        <v>1321613.22</v>
      </c>
      <c r="F254" s="362">
        <f t="shared" si="89"/>
        <v>35218680.36999999</v>
      </c>
      <c r="G254" s="363">
        <f t="shared" si="89"/>
        <v>36540293.58999999</v>
      </c>
    </row>
    <row r="255" spans="1:7" ht="12.75">
      <c r="A255" s="221" t="s">
        <v>584</v>
      </c>
      <c r="B255" s="198">
        <f t="shared" si="89"/>
        <v>0</v>
      </c>
      <c r="C255" s="198">
        <f t="shared" si="89"/>
        <v>0</v>
      </c>
      <c r="D255" s="198">
        <f t="shared" si="89"/>
        <v>0</v>
      </c>
      <c r="E255" s="198">
        <f t="shared" si="89"/>
        <v>0</v>
      </c>
      <c r="F255" s="342">
        <f t="shared" si="89"/>
        <v>6705882.1499999985</v>
      </c>
      <c r="G255" s="343">
        <f t="shared" si="89"/>
        <v>6705882.1499999985</v>
      </c>
    </row>
    <row r="256" spans="1:7" ht="12.75">
      <c r="A256" s="221" t="s">
        <v>591</v>
      </c>
      <c r="B256" s="198">
        <f aca="true" t="shared" si="90" ref="B256:G256">SUMIF($A$1003:$Z$1003,$P$1,B1472:B1472)</f>
        <v>0</v>
      </c>
      <c r="C256" s="198">
        <f t="shared" si="90"/>
        <v>0</v>
      </c>
      <c r="D256" s="198">
        <f t="shared" si="90"/>
        <v>0</v>
      </c>
      <c r="E256" s="198">
        <f t="shared" si="90"/>
        <v>0</v>
      </c>
      <c r="F256" s="342">
        <f t="shared" si="90"/>
        <v>8353729</v>
      </c>
      <c r="G256" s="343">
        <f t="shared" si="90"/>
        <v>8353729</v>
      </c>
    </row>
    <row r="257" spans="1:7" ht="12.75">
      <c r="A257" s="221" t="s">
        <v>601</v>
      </c>
      <c r="B257" s="198">
        <f aca="true" t="shared" si="91" ref="B257:G257">SUMIF($A$1003:$Z$1003,$P$1,B1477:B1477)</f>
        <v>115564.25</v>
      </c>
      <c r="C257" s="198">
        <f t="shared" si="91"/>
        <v>103444.1</v>
      </c>
      <c r="D257" s="198">
        <f t="shared" si="91"/>
        <v>-800</v>
      </c>
      <c r="E257" s="198">
        <f t="shared" si="91"/>
        <v>218208.35</v>
      </c>
      <c r="F257" s="342">
        <f t="shared" si="91"/>
        <v>6697608.119999999</v>
      </c>
      <c r="G257" s="343">
        <f t="shared" si="91"/>
        <v>6915816.469999999</v>
      </c>
    </row>
    <row r="258" spans="1:7" ht="12.75">
      <c r="A258" s="221" t="s">
        <v>611</v>
      </c>
      <c r="B258" s="198">
        <f aca="true" t="shared" si="92" ref="B258:G258">SUMIF($A$1003:$Z$1003,$P$1,B1483:B1483)</f>
        <v>52955.7</v>
      </c>
      <c r="C258" s="198">
        <f t="shared" si="92"/>
        <v>249691.59999999998</v>
      </c>
      <c r="D258" s="198">
        <f t="shared" si="92"/>
        <v>213079.87</v>
      </c>
      <c r="E258" s="198">
        <f t="shared" si="92"/>
        <v>515727.17</v>
      </c>
      <c r="F258" s="342">
        <f t="shared" si="92"/>
        <v>429136</v>
      </c>
      <c r="G258" s="343">
        <f t="shared" si="92"/>
        <v>944863.1699999999</v>
      </c>
    </row>
    <row r="259" spans="1:7" ht="12.75">
      <c r="A259" s="221" t="s">
        <v>626</v>
      </c>
      <c r="B259" s="198">
        <f>SUMIF($A$1003:$Z$1003,$P$1,B1491:B1491)</f>
        <v>0</v>
      </c>
      <c r="C259" s="198">
        <f>SUMIF($A$1003:$Z$1003,$P$1,C1491:C13491)</f>
        <v>0</v>
      </c>
      <c r="D259" s="198">
        <f>SUMIF($A$1003:$Z$1003,$P$1,D1491:D13491)</f>
        <v>0</v>
      </c>
      <c r="E259" s="198">
        <f>SUMIF($A$1003:$Z$1003,$P$1,E1491:E13491)</f>
        <v>0</v>
      </c>
      <c r="F259" s="342">
        <f>SUMIF($A$1003:$Z$1003,$P$1,F1491:F13491)</f>
        <v>718867.5899999999</v>
      </c>
      <c r="G259" s="343">
        <f>SUMIF($A$1003:$Z$1003,$P$1,G1491:G13491)</f>
        <v>718867.5899999999</v>
      </c>
    </row>
    <row r="260" spans="1:7" ht="12.75">
      <c r="A260" s="221" t="s">
        <v>633</v>
      </c>
      <c r="B260" s="198">
        <f aca="true" t="shared" si="93" ref="B260:G260">SUMIF($A$1003:$Z$1003,$P$1,B1495:B1495)</f>
        <v>0</v>
      </c>
      <c r="C260" s="198">
        <f t="shared" si="93"/>
        <v>0</v>
      </c>
      <c r="D260" s="198">
        <f t="shared" si="93"/>
        <v>0</v>
      </c>
      <c r="E260" s="198">
        <f t="shared" si="93"/>
        <v>0</v>
      </c>
      <c r="F260" s="342">
        <f t="shared" si="93"/>
        <v>0</v>
      </c>
      <c r="G260" s="343">
        <f t="shared" si="93"/>
        <v>0</v>
      </c>
    </row>
    <row r="261" spans="1:7" ht="12.75">
      <c r="A261" s="221" t="s">
        <v>636</v>
      </c>
      <c r="B261" s="198">
        <f aca="true" t="shared" si="94" ref="B261:G261">SUMIF($A$1003:$Z$1003,$P$1,B1497:B4397)</f>
        <v>85534.4</v>
      </c>
      <c r="C261" s="198">
        <f t="shared" si="94"/>
        <v>128453.25</v>
      </c>
      <c r="D261" s="198">
        <f t="shared" si="94"/>
        <v>356990.25</v>
      </c>
      <c r="E261" s="198">
        <f t="shared" si="94"/>
        <v>570977.9</v>
      </c>
      <c r="F261" s="342">
        <f t="shared" si="94"/>
        <v>12313457.509999998</v>
      </c>
      <c r="G261" s="343">
        <f t="shared" si="94"/>
        <v>12884435.409999998</v>
      </c>
    </row>
    <row r="262" spans="1:7" ht="12.75">
      <c r="A262" s="221" t="s">
        <v>648</v>
      </c>
      <c r="B262" s="198">
        <f aca="true" t="shared" si="95" ref="B262:G262">SUMIF($A$1003:$Z$1003,$P$1,B1503:B1503)</f>
        <v>0</v>
      </c>
      <c r="C262" s="198">
        <f t="shared" si="95"/>
        <v>0</v>
      </c>
      <c r="D262" s="198">
        <f t="shared" si="95"/>
        <v>0</v>
      </c>
      <c r="E262" s="198">
        <f t="shared" si="95"/>
        <v>0</v>
      </c>
      <c r="F262" s="342">
        <f t="shared" si="95"/>
        <v>0</v>
      </c>
      <c r="G262" s="343">
        <f t="shared" si="95"/>
        <v>0</v>
      </c>
    </row>
    <row r="263" spans="1:7" ht="13.5" thickBot="1">
      <c r="A263" s="223" t="s">
        <v>651</v>
      </c>
      <c r="B263" s="200">
        <f aca="true" t="shared" si="96" ref="B263:G263">SUMIF($A$1003:$Z$1003,$P$1,B1505:B1505)</f>
        <v>0</v>
      </c>
      <c r="C263" s="200">
        <f t="shared" si="96"/>
        <v>10000</v>
      </c>
      <c r="D263" s="200">
        <f t="shared" si="96"/>
        <v>6699.8</v>
      </c>
      <c r="E263" s="200">
        <f t="shared" si="96"/>
        <v>16699.8</v>
      </c>
      <c r="F263" s="344">
        <f t="shared" si="96"/>
        <v>0</v>
      </c>
      <c r="G263" s="345">
        <f t="shared" si="96"/>
        <v>16699.8</v>
      </c>
    </row>
    <row r="264" spans="1:7" ht="12.75">
      <c r="A264" s="244" t="s">
        <v>975</v>
      </c>
      <c r="B264" s="214">
        <f aca="true" t="shared" si="97" ref="B264:G265">SUMIF($A$1003:$Z$1003,$P$1,B1509:B1509)</f>
        <v>2110918.51</v>
      </c>
      <c r="C264" s="214">
        <f t="shared" si="97"/>
        <v>2776760.54</v>
      </c>
      <c r="D264" s="214">
        <f t="shared" si="97"/>
        <v>2772087.2500000005</v>
      </c>
      <c r="E264" s="214">
        <f t="shared" si="97"/>
        <v>7659766.300000001</v>
      </c>
      <c r="F264" s="364">
        <f t="shared" si="97"/>
        <v>7665291.55</v>
      </c>
      <c r="G264" s="365">
        <f t="shared" si="97"/>
        <v>15325057.850000001</v>
      </c>
    </row>
    <row r="265" spans="1:7" ht="12.75">
      <c r="A265" s="221" t="s">
        <v>660</v>
      </c>
      <c r="B265" s="198">
        <f t="shared" si="97"/>
        <v>2073323.6599999997</v>
      </c>
      <c r="C265" s="198">
        <f t="shared" si="97"/>
        <v>2770274.59</v>
      </c>
      <c r="D265" s="198">
        <f t="shared" si="97"/>
        <v>2755650.1500000004</v>
      </c>
      <c r="E265" s="198">
        <f t="shared" si="97"/>
        <v>7599248.4</v>
      </c>
      <c r="F265" s="342">
        <f t="shared" si="97"/>
        <v>0</v>
      </c>
      <c r="G265" s="343">
        <f t="shared" si="97"/>
        <v>7599248.4</v>
      </c>
    </row>
    <row r="266" spans="1:7" ht="12.75">
      <c r="A266" s="221" t="s">
        <v>674</v>
      </c>
      <c r="B266" s="198">
        <f aca="true" t="shared" si="98" ref="B266:G266">SUMIF($A$1003:$Z$1003,$P$1,B1517:B1517)</f>
        <v>37594.85</v>
      </c>
      <c r="C266" s="198">
        <f t="shared" si="98"/>
        <v>6485.95</v>
      </c>
      <c r="D266" s="198">
        <f t="shared" si="98"/>
        <v>-34702</v>
      </c>
      <c r="E266" s="198">
        <f t="shared" si="98"/>
        <v>9378.799999999996</v>
      </c>
      <c r="F266" s="342">
        <f t="shared" si="98"/>
        <v>7665291.55</v>
      </c>
      <c r="G266" s="343">
        <f t="shared" si="98"/>
        <v>7674670.35</v>
      </c>
    </row>
    <row r="267" spans="1:7" ht="12.75">
      <c r="A267" s="221" t="s">
        <v>684</v>
      </c>
      <c r="B267" s="198">
        <f aca="true" t="shared" si="99" ref="B267:G267">SUMIF($A$1003:$Z$1003,$P$1,B1522:B1522)</f>
        <v>0</v>
      </c>
      <c r="C267" s="198">
        <f t="shared" si="99"/>
        <v>0</v>
      </c>
      <c r="D267" s="198">
        <f t="shared" si="99"/>
        <v>51139.1</v>
      </c>
      <c r="E267" s="198">
        <f t="shared" si="99"/>
        <v>51139.1</v>
      </c>
      <c r="F267" s="342">
        <f t="shared" si="99"/>
        <v>0</v>
      </c>
      <c r="G267" s="343">
        <f t="shared" si="99"/>
        <v>51139.1</v>
      </c>
    </row>
    <row r="268" spans="1:7" ht="12.75">
      <c r="A268" s="221" t="s">
        <v>696</v>
      </c>
      <c r="B268" s="198">
        <f aca="true" t="shared" si="100" ref="B268:G268">SUMIF($A$1003:$Z$1003,$P$1,B1527:B1527)</f>
        <v>0</v>
      </c>
      <c r="C268" s="198">
        <f t="shared" si="100"/>
        <v>0</v>
      </c>
      <c r="D268" s="198">
        <f t="shared" si="100"/>
        <v>0</v>
      </c>
      <c r="E268" s="198">
        <f t="shared" si="100"/>
        <v>0</v>
      </c>
      <c r="F268" s="342">
        <f t="shared" si="100"/>
        <v>0</v>
      </c>
      <c r="G268" s="343">
        <f t="shared" si="100"/>
        <v>0</v>
      </c>
    </row>
    <row r="269" spans="1:7" ht="13.5" thickBot="1">
      <c r="A269" s="265" t="s">
        <v>698</v>
      </c>
      <c r="B269" s="219">
        <f aca="true" t="shared" si="101" ref="B269:G269">SUMIF($A$1003:$Z$1003,$P$1,B1529:B1529)</f>
        <v>0</v>
      </c>
      <c r="C269" s="219">
        <f t="shared" si="101"/>
        <v>0</v>
      </c>
      <c r="D269" s="219">
        <f t="shared" si="101"/>
        <v>0</v>
      </c>
      <c r="E269" s="219">
        <f t="shared" si="101"/>
        <v>0</v>
      </c>
      <c r="F269" s="358">
        <f t="shared" si="101"/>
        <v>0</v>
      </c>
      <c r="G269" s="359">
        <f t="shared" si="101"/>
        <v>0</v>
      </c>
    </row>
    <row r="270" spans="1:7" ht="12.75">
      <c r="A270" s="220" t="s">
        <v>980</v>
      </c>
      <c r="B270" s="245">
        <f aca="true" t="shared" si="102" ref="B270:G271">SUMIF($A$1003:$Z$1003,$P$1,B1532:B1532)</f>
        <v>412874.11999999994</v>
      </c>
      <c r="C270" s="245">
        <f t="shared" si="102"/>
        <v>238842.15000000002</v>
      </c>
      <c r="D270" s="245">
        <f t="shared" si="102"/>
        <v>892617.74</v>
      </c>
      <c r="E270" s="245">
        <f t="shared" si="102"/>
        <v>1544334.01</v>
      </c>
      <c r="F270" s="362">
        <f t="shared" si="102"/>
        <v>5013374.16</v>
      </c>
      <c r="G270" s="363">
        <f t="shared" si="102"/>
        <v>6557708.17</v>
      </c>
    </row>
    <row r="271" spans="1:7" ht="12.75">
      <c r="A271" s="221" t="s">
        <v>706</v>
      </c>
      <c r="B271" s="198">
        <f t="shared" si="102"/>
        <v>765.3</v>
      </c>
      <c r="C271" s="198">
        <f t="shared" si="102"/>
        <v>52483.55</v>
      </c>
      <c r="D271" s="198">
        <f t="shared" si="102"/>
        <v>0</v>
      </c>
      <c r="E271" s="198">
        <f t="shared" si="102"/>
        <v>53248.850000000006</v>
      </c>
      <c r="F271" s="342">
        <f t="shared" si="102"/>
        <v>0</v>
      </c>
      <c r="G271" s="343">
        <f t="shared" si="102"/>
        <v>53248.850000000006</v>
      </c>
    </row>
    <row r="272" spans="1:7" ht="12.75">
      <c r="A272" s="221" t="s">
        <v>712</v>
      </c>
      <c r="B272" s="198">
        <f aca="true" t="shared" si="103" ref="B272:G272">SUMIF($A$1003:$Z$1003,$P$1,B1536:B1536)</f>
        <v>0</v>
      </c>
      <c r="C272" s="198">
        <f t="shared" si="103"/>
        <v>67581.9</v>
      </c>
      <c r="D272" s="198">
        <f t="shared" si="103"/>
        <v>93377.17</v>
      </c>
      <c r="E272" s="198">
        <f t="shared" si="103"/>
        <v>160959.07</v>
      </c>
      <c r="F272" s="342">
        <f t="shared" si="103"/>
        <v>1404931.06</v>
      </c>
      <c r="G272" s="343">
        <f t="shared" si="103"/>
        <v>1565890.1300000001</v>
      </c>
    </row>
    <row r="273" spans="1:7" ht="12.75">
      <c r="A273" s="221" t="s">
        <v>719</v>
      </c>
      <c r="B273" s="198">
        <f aca="true" t="shared" si="104" ref="B273:G273">SUMIF($A$1003:$Z$1003,$P$1,B1540:B1540)</f>
        <v>-88409.12000000002</v>
      </c>
      <c r="C273" s="198">
        <f t="shared" si="104"/>
        <v>-346289.7</v>
      </c>
      <c r="D273" s="198">
        <f t="shared" si="104"/>
        <v>-150572.02000000002</v>
      </c>
      <c r="E273" s="198">
        <f t="shared" si="104"/>
        <v>-585270.8400000001</v>
      </c>
      <c r="F273" s="342">
        <f t="shared" si="104"/>
        <v>-8301.800000000003</v>
      </c>
      <c r="G273" s="343">
        <f t="shared" si="104"/>
        <v>-593572.6400000001</v>
      </c>
    </row>
    <row r="274" spans="1:7" ht="12.75">
      <c r="A274" s="221" t="s">
        <v>727</v>
      </c>
      <c r="B274" s="198">
        <f aca="true" t="shared" si="105" ref="B274:G274">SUMIF($A$1003:$Z$1003,$P$1,B1545:B1545)</f>
        <v>250080.19999999998</v>
      </c>
      <c r="C274" s="198">
        <f t="shared" si="105"/>
        <v>231826.95</v>
      </c>
      <c r="D274" s="198">
        <f t="shared" si="105"/>
        <v>560888.98</v>
      </c>
      <c r="E274" s="198">
        <f t="shared" si="105"/>
        <v>1042796.13</v>
      </c>
      <c r="F274" s="342">
        <f t="shared" si="105"/>
        <v>1925301.87</v>
      </c>
      <c r="G274" s="343">
        <f t="shared" si="105"/>
        <v>2968098</v>
      </c>
    </row>
    <row r="275" spans="1:7" ht="12.75">
      <c r="A275" s="221" t="s">
        <v>732</v>
      </c>
      <c r="B275" s="198">
        <f aca="true" t="shared" si="106" ref="B275:G275">SUMIF($A$1003:$Z$1003,$P$1,B1548:B1548)</f>
        <v>16624.15</v>
      </c>
      <c r="C275" s="198">
        <f t="shared" si="106"/>
        <v>3419</v>
      </c>
      <c r="D275" s="198">
        <f t="shared" si="106"/>
        <v>5151.5</v>
      </c>
      <c r="E275" s="198">
        <f t="shared" si="106"/>
        <v>25194.65</v>
      </c>
      <c r="F275" s="342">
        <f t="shared" si="106"/>
        <v>463905.94999999995</v>
      </c>
      <c r="G275" s="343">
        <f t="shared" si="106"/>
        <v>489100.6</v>
      </c>
    </row>
    <row r="276" spans="1:7" ht="12.75">
      <c r="A276" s="221" t="s">
        <v>1013</v>
      </c>
      <c r="B276" s="198">
        <f aca="true" t="shared" si="107" ref="B276:G276">SUMIF($A$1003:$Z$1003,$P$1,B1550:B1550)</f>
        <v>0</v>
      </c>
      <c r="C276" s="198">
        <f t="shared" si="107"/>
        <v>0</v>
      </c>
      <c r="D276" s="198">
        <f t="shared" si="107"/>
        <v>0</v>
      </c>
      <c r="E276" s="198">
        <f t="shared" si="107"/>
        <v>0</v>
      </c>
      <c r="F276" s="342">
        <f t="shared" si="107"/>
        <v>1217858.83</v>
      </c>
      <c r="G276" s="343">
        <f t="shared" si="107"/>
        <v>1217858.83</v>
      </c>
    </row>
    <row r="277" spans="1:7" ht="12.75">
      <c r="A277" s="221" t="s">
        <v>740</v>
      </c>
      <c r="B277" s="198">
        <f aca="true" t="shared" si="108" ref="B277:G277">SUMIF($A$1003:$Z$1003,$P$1,B1553:B1553)</f>
        <v>175760.03999999998</v>
      </c>
      <c r="C277" s="198">
        <f t="shared" si="108"/>
        <v>142021.2</v>
      </c>
      <c r="D277" s="198">
        <f t="shared" si="108"/>
        <v>101633.21000000002</v>
      </c>
      <c r="E277" s="198">
        <f t="shared" si="108"/>
        <v>419414.45</v>
      </c>
      <c r="F277" s="342">
        <f t="shared" si="108"/>
        <v>0</v>
      </c>
      <c r="G277" s="343">
        <f t="shared" si="108"/>
        <v>419414.45</v>
      </c>
    </row>
    <row r="278" spans="1:7" ht="12.75">
      <c r="A278" s="221" t="s">
        <v>748</v>
      </c>
      <c r="B278" s="198">
        <f aca="true" t="shared" si="109" ref="B278:G278">SUMIF($A$1003:$Z$1003,$P$1,B1557:B1557)</f>
        <v>0</v>
      </c>
      <c r="C278" s="198">
        <f t="shared" si="109"/>
        <v>0</v>
      </c>
      <c r="D278" s="198">
        <f t="shared" si="109"/>
        <v>0</v>
      </c>
      <c r="E278" s="198">
        <f t="shared" si="109"/>
        <v>0</v>
      </c>
      <c r="F278" s="342">
        <f t="shared" si="109"/>
        <v>0</v>
      </c>
      <c r="G278" s="343">
        <f t="shared" si="109"/>
        <v>0</v>
      </c>
    </row>
    <row r="279" spans="1:7" ht="13.5" thickBot="1">
      <c r="A279" s="223" t="s">
        <v>754</v>
      </c>
      <c r="B279" s="200">
        <f aca="true" t="shared" si="110" ref="B279:G279">SUMIF($A$1003:$Z$1003,$P$1,B1560:B1560)</f>
        <v>58053.549999999996</v>
      </c>
      <c r="C279" s="200">
        <f t="shared" si="110"/>
        <v>87799.25</v>
      </c>
      <c r="D279" s="200">
        <f t="shared" si="110"/>
        <v>282138.9</v>
      </c>
      <c r="E279" s="200">
        <f t="shared" si="110"/>
        <v>427991.7</v>
      </c>
      <c r="F279" s="344">
        <f t="shared" si="110"/>
        <v>9678.25</v>
      </c>
      <c r="G279" s="345">
        <f t="shared" si="110"/>
        <v>437669.95</v>
      </c>
    </row>
    <row r="280" spans="1:7" ht="12.75">
      <c r="A280" s="220" t="s">
        <v>976</v>
      </c>
      <c r="B280" s="245">
        <f aca="true" t="shared" si="111" ref="B280:G281">SUMIF($A$1003:$Z$1003,$P$1,B1563:B1563)</f>
        <v>963430.4700000002</v>
      </c>
      <c r="C280" s="245">
        <f t="shared" si="111"/>
        <v>-581891.2399999999</v>
      </c>
      <c r="D280" s="245">
        <f t="shared" si="111"/>
        <v>1055704.4000000004</v>
      </c>
      <c r="E280" s="245">
        <f t="shared" si="111"/>
        <v>1437243.6300000008</v>
      </c>
      <c r="F280" s="362">
        <f t="shared" si="111"/>
        <v>3630402.4500000007</v>
      </c>
      <c r="G280" s="363">
        <f t="shared" si="111"/>
        <v>5067646.080000002</v>
      </c>
    </row>
    <row r="281" spans="1:7" ht="12.75">
      <c r="A281" s="221" t="s">
        <v>762</v>
      </c>
      <c r="B281" s="198">
        <f t="shared" si="111"/>
        <v>574992.35</v>
      </c>
      <c r="C281" s="198">
        <f t="shared" si="111"/>
        <v>52293.399999999994</v>
      </c>
      <c r="D281" s="198">
        <f t="shared" si="111"/>
        <v>358270.8</v>
      </c>
      <c r="E281" s="198">
        <f t="shared" si="111"/>
        <v>985556.55</v>
      </c>
      <c r="F281" s="342">
        <f t="shared" si="111"/>
        <v>2306388.5500000007</v>
      </c>
      <c r="G281" s="343">
        <f t="shared" si="111"/>
        <v>3291945.1000000006</v>
      </c>
    </row>
    <row r="282" spans="1:7" ht="12.75">
      <c r="A282" s="221" t="s">
        <v>782</v>
      </c>
      <c r="B282" s="198">
        <f aca="true" t="shared" si="112" ref="B282:G282">SUMIF($A$1003:$Z$1003,$P$1,B1574:B1574)</f>
        <v>1180131.87</v>
      </c>
      <c r="C282" s="198">
        <f t="shared" si="112"/>
        <v>200651.66000000015</v>
      </c>
      <c r="D282" s="198">
        <f t="shared" si="112"/>
        <v>778289.2200000002</v>
      </c>
      <c r="E282" s="198">
        <f t="shared" si="112"/>
        <v>2159072.7500000005</v>
      </c>
      <c r="F282" s="342">
        <f t="shared" si="112"/>
        <v>1897458.9100000001</v>
      </c>
      <c r="G282" s="343">
        <f t="shared" si="112"/>
        <v>4056531.6600000006</v>
      </c>
    </row>
    <row r="283" spans="1:7" ht="12.75">
      <c r="A283" s="221" t="s">
        <v>785</v>
      </c>
      <c r="B283" s="198">
        <f aca="true" t="shared" si="113" ref="B283:G283">SUMIF($A$1003:$Z$1003,$P$1,B1576:B1576)</f>
        <v>0</v>
      </c>
      <c r="C283" s="198">
        <f t="shared" si="113"/>
        <v>10993.95</v>
      </c>
      <c r="D283" s="198">
        <f t="shared" si="113"/>
        <v>11502.5</v>
      </c>
      <c r="E283" s="198">
        <f t="shared" si="113"/>
        <v>22496.45</v>
      </c>
      <c r="F283" s="342">
        <f t="shared" si="113"/>
        <v>199372.54999999993</v>
      </c>
      <c r="G283" s="343">
        <f t="shared" si="113"/>
        <v>221868.99999999994</v>
      </c>
    </row>
    <row r="284" spans="1:7" ht="12.75">
      <c r="A284" s="221" t="s">
        <v>788</v>
      </c>
      <c r="B284" s="198">
        <f aca="true" t="shared" si="114" ref="B284:G284">SUMIF($A$1003:$Z$1003,$P$1,B1578:B1578)</f>
        <v>55337.25</v>
      </c>
      <c r="C284" s="198">
        <f t="shared" si="114"/>
        <v>54169.75</v>
      </c>
      <c r="D284" s="198">
        <f t="shared" si="114"/>
        <v>-473.4199999999837</v>
      </c>
      <c r="E284" s="198">
        <f t="shared" si="114"/>
        <v>109033.58000000002</v>
      </c>
      <c r="F284" s="342">
        <f t="shared" si="114"/>
        <v>500000</v>
      </c>
      <c r="G284" s="343">
        <f t="shared" si="114"/>
        <v>609033.5800000001</v>
      </c>
    </row>
    <row r="285" spans="1:7" ht="12.75">
      <c r="A285" s="221" t="s">
        <v>790</v>
      </c>
      <c r="B285" s="198">
        <f aca="true" t="shared" si="115" ref="B285:G285">SUMIF($A$1003:$Z$1003,$P$1,B1580:B1580)</f>
        <v>0</v>
      </c>
      <c r="C285" s="198">
        <f t="shared" si="115"/>
        <v>0</v>
      </c>
      <c r="D285" s="198">
        <f t="shared" si="115"/>
        <v>108115.3</v>
      </c>
      <c r="E285" s="198">
        <f t="shared" si="115"/>
        <v>108115.3</v>
      </c>
      <c r="F285" s="342">
        <f t="shared" si="115"/>
        <v>1025190.2399999999</v>
      </c>
      <c r="G285" s="343">
        <f t="shared" si="115"/>
        <v>1133305.5399999998</v>
      </c>
    </row>
    <row r="286" spans="1:7" ht="12.75">
      <c r="A286" s="221" t="s">
        <v>794</v>
      </c>
      <c r="B286" s="198">
        <f aca="true" t="shared" si="116" ref="B286:G286">SUMIF($A$1003:$Z$1003,$P$1,B1582:B1582)</f>
        <v>0</v>
      </c>
      <c r="C286" s="198">
        <f t="shared" si="116"/>
        <v>0</v>
      </c>
      <c r="D286" s="198">
        <f t="shared" si="116"/>
        <v>0</v>
      </c>
      <c r="E286" s="198">
        <f t="shared" si="116"/>
        <v>0</v>
      </c>
      <c r="F286" s="342">
        <f t="shared" si="116"/>
        <v>-1914000</v>
      </c>
      <c r="G286" s="343">
        <f t="shared" si="116"/>
        <v>-1914000</v>
      </c>
    </row>
    <row r="287" spans="1:7" ht="12.75">
      <c r="A287" s="221" t="s">
        <v>797</v>
      </c>
      <c r="B287" s="198">
        <f aca="true" t="shared" si="117" ref="B287:G287">SUMIF($A$1003:$Z$1003,$P$1,B1584:B1584)</f>
        <v>-847031</v>
      </c>
      <c r="C287" s="198">
        <f t="shared" si="117"/>
        <v>-900000</v>
      </c>
      <c r="D287" s="198">
        <f t="shared" si="117"/>
        <v>-200000</v>
      </c>
      <c r="E287" s="198">
        <f t="shared" si="117"/>
        <v>-1947031</v>
      </c>
      <c r="F287" s="342">
        <f t="shared" si="117"/>
        <v>-124007.80000000016</v>
      </c>
      <c r="G287" s="343">
        <f t="shared" si="117"/>
        <v>-2071038.8000000003</v>
      </c>
    </row>
    <row r="288" spans="1:7" ht="12.75">
      <c r="A288" s="221" t="s">
        <v>816</v>
      </c>
      <c r="B288" s="198">
        <f aca="true" t="shared" si="118" ref="B288:G288">SUMIF($A$1003:$Z$1003,$P$1,B1593:B1593)</f>
        <v>0</v>
      </c>
      <c r="C288" s="198">
        <f t="shared" si="118"/>
        <v>0</v>
      </c>
      <c r="D288" s="198">
        <f t="shared" si="118"/>
        <v>0</v>
      </c>
      <c r="E288" s="198">
        <f t="shared" si="118"/>
        <v>0</v>
      </c>
      <c r="F288" s="342">
        <f t="shared" si="118"/>
        <v>0</v>
      </c>
      <c r="G288" s="343">
        <f t="shared" si="118"/>
        <v>0</v>
      </c>
    </row>
    <row r="289" spans="1:7" ht="13.5" thickBot="1">
      <c r="A289" s="223" t="s">
        <v>826</v>
      </c>
      <c r="B289" s="200">
        <f aca="true" t="shared" si="119" ref="B289:G289">SUMIF($A$1003:$Z$1003,$P$1,B1598:B1598)</f>
        <v>0</v>
      </c>
      <c r="C289" s="200">
        <f t="shared" si="119"/>
        <v>0</v>
      </c>
      <c r="D289" s="200">
        <f t="shared" si="119"/>
        <v>0</v>
      </c>
      <c r="E289" s="200">
        <f t="shared" si="119"/>
        <v>0</v>
      </c>
      <c r="F289" s="344">
        <f t="shared" si="119"/>
        <v>-260000</v>
      </c>
      <c r="G289" s="345">
        <f t="shared" si="119"/>
        <v>-260000</v>
      </c>
    </row>
    <row r="290" spans="1:7" ht="12.75">
      <c r="A290" s="220" t="s">
        <v>977</v>
      </c>
      <c r="B290" s="245">
        <f aca="true" t="shared" si="120" ref="B290:G291">SUMIF($A$1003:$Z$1003,$P$1,B1600:B1600)</f>
        <v>-28208550.159999993</v>
      </c>
      <c r="C290" s="245">
        <f t="shared" si="120"/>
        <v>-33991066.80000001</v>
      </c>
      <c r="D290" s="245">
        <f t="shared" si="120"/>
        <v>-43500179.52</v>
      </c>
      <c r="E290" s="245">
        <f t="shared" si="120"/>
        <v>-105699796.48000002</v>
      </c>
      <c r="F290" s="362">
        <f t="shared" si="120"/>
        <v>-189635078.34</v>
      </c>
      <c r="G290" s="363">
        <f t="shared" si="120"/>
        <v>-295334874.82000005</v>
      </c>
    </row>
    <row r="291" spans="1:7" ht="12.75">
      <c r="A291" s="221" t="s">
        <v>831</v>
      </c>
      <c r="B291" s="198">
        <f t="shared" si="120"/>
        <v>-22026155.549999997</v>
      </c>
      <c r="C291" s="198">
        <f t="shared" si="120"/>
        <v>-27355533.230000004</v>
      </c>
      <c r="D291" s="198">
        <f t="shared" si="120"/>
        <v>-36583801.57</v>
      </c>
      <c r="E291" s="198">
        <f t="shared" si="120"/>
        <v>-85965490.35</v>
      </c>
      <c r="F291" s="342">
        <f t="shared" si="120"/>
        <v>-89233690.03999999</v>
      </c>
      <c r="G291" s="343">
        <f t="shared" si="120"/>
        <v>-175199180.39</v>
      </c>
    </row>
    <row r="292" spans="1:7" ht="12.75">
      <c r="A292" s="221" t="s">
        <v>837</v>
      </c>
      <c r="B292" s="198">
        <f aca="true" t="shared" si="121" ref="B292:G292">SUMIF($A$1003:$Z$1003,$P$1,B1604:B1604)</f>
        <v>0</v>
      </c>
      <c r="C292" s="198">
        <f t="shared" si="121"/>
        <v>0</v>
      </c>
      <c r="D292" s="198">
        <f t="shared" si="121"/>
        <v>0</v>
      </c>
      <c r="E292" s="198">
        <f t="shared" si="121"/>
        <v>0</v>
      </c>
      <c r="F292" s="342">
        <f t="shared" si="121"/>
        <v>0</v>
      </c>
      <c r="G292" s="343">
        <f t="shared" si="121"/>
        <v>0</v>
      </c>
    </row>
    <row r="293" spans="1:7" ht="12.75">
      <c r="A293" s="221" t="s">
        <v>81</v>
      </c>
      <c r="B293" s="198">
        <f aca="true" t="shared" si="122" ref="B293:G293">SUMIF($A$1003:$Z$1003,$P$1,B1606:B1606)</f>
        <v>-662420.72</v>
      </c>
      <c r="C293" s="198">
        <f t="shared" si="122"/>
        <v>-149042.51</v>
      </c>
      <c r="D293" s="198">
        <f t="shared" si="122"/>
        <v>-107614.76999999999</v>
      </c>
      <c r="E293" s="198">
        <f t="shared" si="122"/>
        <v>-919078</v>
      </c>
      <c r="F293" s="342">
        <f t="shared" si="122"/>
        <v>-68578299</v>
      </c>
      <c r="G293" s="343">
        <f t="shared" si="122"/>
        <v>-69497377</v>
      </c>
    </row>
    <row r="294" spans="1:7" ht="12.75">
      <c r="A294" s="221" t="s">
        <v>842</v>
      </c>
      <c r="B294" s="198">
        <f aca="true" t="shared" si="123" ref="B294:G294">SUMIF($A$1003:$Z$1003,$P$1,B1608:B11608)</f>
        <v>0</v>
      </c>
      <c r="C294" s="198">
        <f t="shared" si="123"/>
        <v>0</v>
      </c>
      <c r="D294" s="198">
        <f t="shared" si="123"/>
        <v>0</v>
      </c>
      <c r="E294" s="198">
        <f t="shared" si="123"/>
        <v>0</v>
      </c>
      <c r="F294" s="342">
        <f t="shared" si="123"/>
        <v>-18608008.65</v>
      </c>
      <c r="G294" s="343">
        <f t="shared" si="123"/>
        <v>-18608008.65</v>
      </c>
    </row>
    <row r="295" spans="1:7" ht="12.75">
      <c r="A295" s="221" t="s">
        <v>845</v>
      </c>
      <c r="B295" s="198">
        <f aca="true" t="shared" si="124" ref="B295:G295">SUMIF($A$1003:$Z$1003,$P$1,B1610:B1610)</f>
        <v>-1122650.55</v>
      </c>
      <c r="C295" s="198">
        <f t="shared" si="124"/>
        <v>-599623.35</v>
      </c>
      <c r="D295" s="198">
        <f t="shared" si="124"/>
        <v>-268232.1</v>
      </c>
      <c r="E295" s="198">
        <f t="shared" si="124"/>
        <v>-1990506</v>
      </c>
      <c r="F295" s="342">
        <f t="shared" si="124"/>
        <v>-5240840.8</v>
      </c>
      <c r="G295" s="343">
        <f t="shared" si="124"/>
        <v>-7231346.8</v>
      </c>
    </row>
    <row r="296" spans="1:7" ht="12.75">
      <c r="A296" s="221" t="s">
        <v>1014</v>
      </c>
      <c r="B296" s="198">
        <f aca="true" t="shared" si="125" ref="B296:G296">SUMIF($A$1003:$Z$1003,$P$1,B1612:B1612)</f>
        <v>-463457.74</v>
      </c>
      <c r="C296" s="198">
        <f t="shared" si="125"/>
        <v>-446753.43999999994</v>
      </c>
      <c r="D296" s="198">
        <f t="shared" si="125"/>
        <v>-1310586.98</v>
      </c>
      <c r="E296" s="198">
        <f t="shared" si="125"/>
        <v>-2220798.16</v>
      </c>
      <c r="F296" s="342">
        <f t="shared" si="125"/>
        <v>-7379434.249999999</v>
      </c>
      <c r="G296" s="343">
        <f t="shared" si="125"/>
        <v>-9600232.41</v>
      </c>
    </row>
    <row r="297" spans="1:7" ht="12.75">
      <c r="A297" s="221" t="s">
        <v>857</v>
      </c>
      <c r="B297" s="198">
        <f aca="true" t="shared" si="126" ref="B297:G297">SUMIF($A$1003:$Z$1003,$P$1,B1617:B1617)</f>
        <v>-11413.45</v>
      </c>
      <c r="C297" s="198">
        <f t="shared" si="126"/>
        <v>-12860.2</v>
      </c>
      <c r="D297" s="198">
        <f t="shared" si="126"/>
        <v>0</v>
      </c>
      <c r="E297" s="198">
        <f t="shared" si="126"/>
        <v>-24273.65</v>
      </c>
      <c r="F297" s="342">
        <f t="shared" si="126"/>
        <v>-30244.850000000002</v>
      </c>
      <c r="G297" s="343">
        <f t="shared" si="126"/>
        <v>-54518.5</v>
      </c>
    </row>
    <row r="298" spans="1:7" ht="13.5" thickBot="1">
      <c r="A298" s="223" t="s">
        <v>860</v>
      </c>
      <c r="B298" s="200">
        <f aca="true" t="shared" si="127" ref="B298:G298">SUMIF($A$1003:$Z$1003,$P$1,B1619:B1619)</f>
        <v>-3922452.1499999994</v>
      </c>
      <c r="C298" s="200">
        <f t="shared" si="127"/>
        <v>-5427254.07</v>
      </c>
      <c r="D298" s="200">
        <f t="shared" si="127"/>
        <v>-5229944.100000001</v>
      </c>
      <c r="E298" s="200">
        <f t="shared" si="127"/>
        <v>-14579650.32</v>
      </c>
      <c r="F298" s="344">
        <f t="shared" si="127"/>
        <v>-564560.75</v>
      </c>
      <c r="G298" s="345">
        <f t="shared" si="127"/>
        <v>-15144211.07</v>
      </c>
    </row>
    <row r="299" spans="1:7" ht="12.75">
      <c r="A299" s="232"/>
      <c r="B299" s="233"/>
      <c r="C299" s="233"/>
      <c r="D299" s="233"/>
      <c r="E299" s="233"/>
      <c r="F299" s="376"/>
      <c r="G299" s="377"/>
    </row>
    <row r="300" spans="1:7" ht="12.75">
      <c r="A300" s="243" t="s">
        <v>1031</v>
      </c>
      <c r="B300" s="204">
        <f aca="true" t="shared" si="128" ref="B300:G300">SUMIF($A$1003:$Z$1003,$P$1,B1624:B1624)</f>
        <v>-637558.599999994</v>
      </c>
      <c r="C300" s="204">
        <f t="shared" si="128"/>
        <v>-3514457.1500000097</v>
      </c>
      <c r="D300" s="204">
        <f t="shared" si="128"/>
        <v>-472270.26000000536</v>
      </c>
      <c r="E300" s="204">
        <f t="shared" si="128"/>
        <v>-4624286.010000009</v>
      </c>
      <c r="F300" s="366">
        <f t="shared" si="128"/>
        <v>-8102281.090000033</v>
      </c>
      <c r="G300" s="367">
        <f t="shared" si="128"/>
        <v>-12726567.100000042</v>
      </c>
    </row>
    <row r="301" spans="1:7" ht="13.5" thickBot="1">
      <c r="A301" s="223"/>
      <c r="B301" s="200"/>
      <c r="C301" s="200"/>
      <c r="D301" s="200"/>
      <c r="E301" s="200"/>
      <c r="F301" s="344"/>
      <c r="G301" s="345"/>
    </row>
    <row r="302" spans="1:7" ht="13.5" thickBot="1">
      <c r="A302" s="192"/>
      <c r="B302" s="193"/>
      <c r="C302" s="193"/>
      <c r="D302" s="193"/>
      <c r="E302" s="193"/>
      <c r="F302" s="193"/>
      <c r="G302" s="194"/>
    </row>
    <row r="303" spans="1:7" ht="15.75" thickBot="1">
      <c r="A303" s="329" t="s">
        <v>984</v>
      </c>
      <c r="B303" s="330"/>
      <c r="C303" s="330"/>
      <c r="D303" s="330"/>
      <c r="E303" s="330"/>
      <c r="F303" s="396"/>
      <c r="G303" s="397"/>
    </row>
    <row r="304" spans="1:7" ht="12.75">
      <c r="A304" s="220" t="s">
        <v>971</v>
      </c>
      <c r="B304" s="245">
        <f aca="true" t="shared" si="129" ref="B304:G305">SUMIF($A$1003:$Z$1003,$P$1,B1628:B1628)</f>
        <v>87892.8</v>
      </c>
      <c r="C304" s="245">
        <f t="shared" si="129"/>
        <v>295703.1</v>
      </c>
      <c r="D304" s="245">
        <f t="shared" si="129"/>
        <v>0</v>
      </c>
      <c r="E304" s="245">
        <f t="shared" si="129"/>
        <v>383595.89999999997</v>
      </c>
      <c r="F304" s="362">
        <f t="shared" si="129"/>
        <v>1826336</v>
      </c>
      <c r="G304" s="363">
        <f t="shared" si="129"/>
        <v>2209931.9</v>
      </c>
    </row>
    <row r="305" spans="1:7" ht="12.75">
      <c r="A305" s="221" t="s">
        <v>391</v>
      </c>
      <c r="B305" s="198">
        <f t="shared" si="129"/>
        <v>0</v>
      </c>
      <c r="C305" s="198">
        <f t="shared" si="129"/>
        <v>0</v>
      </c>
      <c r="D305" s="198">
        <f t="shared" si="129"/>
        <v>0</v>
      </c>
      <c r="E305" s="198">
        <f t="shared" si="129"/>
        <v>0</v>
      </c>
      <c r="F305" s="342">
        <f t="shared" si="129"/>
        <v>0</v>
      </c>
      <c r="G305" s="343">
        <f t="shared" si="129"/>
        <v>0</v>
      </c>
    </row>
    <row r="306" spans="1:7" ht="12.75">
      <c r="A306" s="221" t="s">
        <v>393</v>
      </c>
      <c r="B306" s="198">
        <f aca="true" t="shared" si="130" ref="B306:G306">SUMIF($A$1003:$Z$1003,$P$1,B1632:B1632)</f>
        <v>87892.8</v>
      </c>
      <c r="C306" s="198">
        <f t="shared" si="130"/>
        <v>295703.1</v>
      </c>
      <c r="D306" s="198">
        <f t="shared" si="130"/>
        <v>0</v>
      </c>
      <c r="E306" s="198">
        <f t="shared" si="130"/>
        <v>383595.89999999997</v>
      </c>
      <c r="F306" s="342">
        <f t="shared" si="130"/>
        <v>1826336</v>
      </c>
      <c r="G306" s="343">
        <f t="shared" si="130"/>
        <v>2209931.9</v>
      </c>
    </row>
    <row r="307" spans="1:7" ht="13.5" thickBot="1">
      <c r="A307" s="223" t="s">
        <v>396</v>
      </c>
      <c r="B307" s="200">
        <f aca="true" t="shared" si="131" ref="B307:G307">SUMIF($A$1003:$Z$1003,$P$1,B1643:B1643)</f>
        <v>0</v>
      </c>
      <c r="C307" s="200">
        <f t="shared" si="131"/>
        <v>0</v>
      </c>
      <c r="D307" s="200">
        <f t="shared" si="131"/>
        <v>0</v>
      </c>
      <c r="E307" s="200">
        <f t="shared" si="131"/>
        <v>0</v>
      </c>
      <c r="F307" s="344">
        <f t="shared" si="131"/>
        <v>0</v>
      </c>
      <c r="G307" s="345">
        <f t="shared" si="131"/>
        <v>0</v>
      </c>
    </row>
    <row r="308" spans="1:7" ht="12.75">
      <c r="A308" s="220" t="s">
        <v>1009</v>
      </c>
      <c r="B308" s="245">
        <f aca="true" t="shared" si="132" ref="B308:G309">SUMIF($A$1003:$Z$1003,$P$1,B1645:B1645)</f>
        <v>25416.899999999994</v>
      </c>
      <c r="C308" s="245">
        <f t="shared" si="132"/>
        <v>0</v>
      </c>
      <c r="D308" s="245">
        <f t="shared" si="132"/>
        <v>352032.35</v>
      </c>
      <c r="E308" s="245">
        <f t="shared" si="132"/>
        <v>377449.25</v>
      </c>
      <c r="F308" s="362">
        <f t="shared" si="132"/>
        <v>752621</v>
      </c>
      <c r="G308" s="363">
        <f t="shared" si="132"/>
        <v>1130070.25</v>
      </c>
    </row>
    <row r="309" spans="1:7" ht="12.75">
      <c r="A309" s="221" t="s">
        <v>398</v>
      </c>
      <c r="B309" s="198">
        <f t="shared" si="132"/>
        <v>0</v>
      </c>
      <c r="C309" s="198">
        <f t="shared" si="132"/>
        <v>0</v>
      </c>
      <c r="D309" s="198">
        <f t="shared" si="132"/>
        <v>0</v>
      </c>
      <c r="E309" s="198">
        <f t="shared" si="132"/>
        <v>0</v>
      </c>
      <c r="F309" s="342">
        <f t="shared" si="132"/>
        <v>0</v>
      </c>
      <c r="G309" s="343">
        <f t="shared" si="132"/>
        <v>0</v>
      </c>
    </row>
    <row r="310" spans="1:7" ht="12.75">
      <c r="A310" s="221" t="s">
        <v>400</v>
      </c>
      <c r="B310" s="198">
        <f aca="true" t="shared" si="133" ref="B310:G310">SUMIF($A$1003:$Z$1003,$P$1,B1650:B1650)</f>
        <v>0</v>
      </c>
      <c r="C310" s="198">
        <f t="shared" si="133"/>
        <v>0</v>
      </c>
      <c r="D310" s="198">
        <f t="shared" si="133"/>
        <v>0</v>
      </c>
      <c r="E310" s="198">
        <f t="shared" si="133"/>
        <v>0</v>
      </c>
      <c r="F310" s="342">
        <f t="shared" si="133"/>
        <v>500416</v>
      </c>
      <c r="G310" s="343">
        <f t="shared" si="133"/>
        <v>500416</v>
      </c>
    </row>
    <row r="311" spans="1:7" ht="12.75">
      <c r="A311" s="221" t="s">
        <v>402</v>
      </c>
      <c r="B311" s="198">
        <f aca="true" t="shared" si="134" ref="B311:G311">SUMIF($A$1003:$Z$1003,$P$1,B1652:B1652)</f>
        <v>0</v>
      </c>
      <c r="C311" s="198">
        <f t="shared" si="134"/>
        <v>0</v>
      </c>
      <c r="D311" s="198">
        <f t="shared" si="134"/>
        <v>0</v>
      </c>
      <c r="E311" s="198">
        <f t="shared" si="134"/>
        <v>0</v>
      </c>
      <c r="F311" s="342">
        <f t="shared" si="134"/>
        <v>0</v>
      </c>
      <c r="G311" s="343">
        <f t="shared" si="134"/>
        <v>0</v>
      </c>
    </row>
    <row r="312" spans="1:7" ht="12.75">
      <c r="A312" s="221" t="s">
        <v>440</v>
      </c>
      <c r="B312" s="198">
        <f aca="true" t="shared" si="135" ref="B312:G312">SUMIF($A$1003:$Z$1003,$P$1,B1654:B1654)</f>
        <v>0</v>
      </c>
      <c r="C312" s="198">
        <f t="shared" si="135"/>
        <v>0</v>
      </c>
      <c r="D312" s="198">
        <f t="shared" si="135"/>
        <v>0</v>
      </c>
      <c r="E312" s="198">
        <f t="shared" si="135"/>
        <v>0</v>
      </c>
      <c r="F312" s="342">
        <f t="shared" si="135"/>
        <v>252205</v>
      </c>
      <c r="G312" s="343">
        <f t="shared" si="135"/>
        <v>252205</v>
      </c>
    </row>
    <row r="313" spans="1:7" ht="12.75">
      <c r="A313" s="221" t="s">
        <v>445</v>
      </c>
      <c r="B313" s="198">
        <f aca="true" t="shared" si="136" ref="B313:G313">SUMIF($A$1003:$Z$1003,$P$1,B1658:B1658)</f>
        <v>25416.899999999994</v>
      </c>
      <c r="C313" s="198">
        <f t="shared" si="136"/>
        <v>0</v>
      </c>
      <c r="D313" s="198">
        <f t="shared" si="136"/>
        <v>352032.35</v>
      </c>
      <c r="E313" s="198">
        <f t="shared" si="136"/>
        <v>377449.25</v>
      </c>
      <c r="F313" s="342">
        <f t="shared" si="136"/>
        <v>0</v>
      </c>
      <c r="G313" s="343">
        <f t="shared" si="136"/>
        <v>377449.25</v>
      </c>
    </row>
    <row r="314" spans="1:7" ht="12.75">
      <c r="A314" s="221" t="s">
        <v>452</v>
      </c>
      <c r="B314" s="198">
        <f aca="true" t="shared" si="137" ref="B314:G314">SUMIF($A$1003:$Z$1003,$P$1,B1662:B1662)</f>
        <v>0</v>
      </c>
      <c r="C314" s="198">
        <f t="shared" si="137"/>
        <v>0</v>
      </c>
      <c r="D314" s="198">
        <f t="shared" si="137"/>
        <v>0</v>
      </c>
      <c r="E314" s="198">
        <f t="shared" si="137"/>
        <v>0</v>
      </c>
      <c r="F314" s="342">
        <f t="shared" si="137"/>
        <v>0</v>
      </c>
      <c r="G314" s="343">
        <f t="shared" si="137"/>
        <v>0</v>
      </c>
    </row>
    <row r="315" spans="1:7" ht="13.5" thickBot="1">
      <c r="A315" s="223" t="s">
        <v>1010</v>
      </c>
      <c r="B315" s="200">
        <f aca="true" t="shared" si="138" ref="B315:G315">SUMIF($A$1003:$Z$1003,$P$1,B1668:B1668)</f>
        <v>0</v>
      </c>
      <c r="C315" s="200">
        <f t="shared" si="138"/>
        <v>0</v>
      </c>
      <c r="D315" s="200">
        <f t="shared" si="138"/>
        <v>0</v>
      </c>
      <c r="E315" s="200">
        <f t="shared" si="138"/>
        <v>0</v>
      </c>
      <c r="F315" s="344">
        <f t="shared" si="138"/>
        <v>0</v>
      </c>
      <c r="G315" s="345">
        <f t="shared" si="138"/>
        <v>0</v>
      </c>
    </row>
    <row r="316" spans="1:7" ht="12.75">
      <c r="A316" s="220" t="s">
        <v>972</v>
      </c>
      <c r="B316" s="245">
        <f aca="true" t="shared" si="139" ref="B316:G317">SUMIF($A$1003:$Z$1003,$P$1,B1671:B1671)</f>
        <v>219715.75</v>
      </c>
      <c r="C316" s="245">
        <f t="shared" si="139"/>
        <v>201618.9</v>
      </c>
      <c r="D316" s="245">
        <f t="shared" si="139"/>
        <v>0</v>
      </c>
      <c r="E316" s="245">
        <f t="shared" si="139"/>
        <v>421334.65</v>
      </c>
      <c r="F316" s="362">
        <f t="shared" si="139"/>
        <v>1709314</v>
      </c>
      <c r="G316" s="363">
        <f t="shared" si="139"/>
        <v>2130648.65</v>
      </c>
    </row>
    <row r="317" spans="1:7" ht="12.75">
      <c r="A317" s="221" t="s">
        <v>471</v>
      </c>
      <c r="B317" s="198">
        <f t="shared" si="139"/>
        <v>219715.75</v>
      </c>
      <c r="C317" s="198">
        <f t="shared" si="139"/>
        <v>201618.9</v>
      </c>
      <c r="D317" s="198">
        <f t="shared" si="139"/>
        <v>0</v>
      </c>
      <c r="E317" s="198">
        <f t="shared" si="139"/>
        <v>421334.65</v>
      </c>
      <c r="F317" s="342">
        <f t="shared" si="139"/>
        <v>0</v>
      </c>
      <c r="G317" s="343">
        <f t="shared" si="139"/>
        <v>421334.65</v>
      </c>
    </row>
    <row r="318" spans="1:7" ht="12.75">
      <c r="A318" s="221" t="s">
        <v>490</v>
      </c>
      <c r="B318" s="198">
        <f aca="true" t="shared" si="140" ref="B318:G318">SUMIF($A$1003:$Z$1003,$P$1,B1682:B1682)</f>
        <v>0</v>
      </c>
      <c r="C318" s="198">
        <f t="shared" si="140"/>
        <v>0</v>
      </c>
      <c r="D318" s="198">
        <f t="shared" si="140"/>
        <v>0</v>
      </c>
      <c r="E318" s="198">
        <f t="shared" si="140"/>
        <v>0</v>
      </c>
      <c r="F318" s="342">
        <f t="shared" si="140"/>
        <v>0</v>
      </c>
      <c r="G318" s="343">
        <f t="shared" si="140"/>
        <v>0</v>
      </c>
    </row>
    <row r="319" spans="1:7" ht="12.75">
      <c r="A319" s="221" t="s">
        <v>492</v>
      </c>
      <c r="B319" s="198">
        <f aca="true" t="shared" si="141" ref="B319:G319">SUMIF($A$1003:$Z$1003,$P$1,B1684:B1684)</f>
        <v>0</v>
      </c>
      <c r="C319" s="198">
        <f t="shared" si="141"/>
        <v>0</v>
      </c>
      <c r="D319" s="198">
        <f t="shared" si="141"/>
        <v>0</v>
      </c>
      <c r="E319" s="198">
        <f t="shared" si="141"/>
        <v>0</v>
      </c>
      <c r="F319" s="342">
        <f t="shared" si="141"/>
        <v>1108593</v>
      </c>
      <c r="G319" s="343">
        <f t="shared" si="141"/>
        <v>1108593</v>
      </c>
    </row>
    <row r="320" spans="1:7" ht="12.75">
      <c r="A320" s="221" t="s">
        <v>495</v>
      </c>
      <c r="B320" s="198">
        <f aca="true" t="shared" si="142" ref="B320:G320">SUMIF($A$1003:$Z$1003,$P$1,B1686:B1686)</f>
        <v>0</v>
      </c>
      <c r="C320" s="198">
        <f t="shared" si="142"/>
        <v>0</v>
      </c>
      <c r="D320" s="198">
        <f t="shared" si="142"/>
        <v>0</v>
      </c>
      <c r="E320" s="198">
        <f t="shared" si="142"/>
        <v>0</v>
      </c>
      <c r="F320" s="342">
        <f t="shared" si="142"/>
        <v>600721</v>
      </c>
      <c r="G320" s="343">
        <f t="shared" si="142"/>
        <v>600721</v>
      </c>
    </row>
    <row r="321" spans="1:7" ht="12.75">
      <c r="A321" s="221" t="s">
        <v>504</v>
      </c>
      <c r="B321" s="198">
        <f aca="true" t="shared" si="143" ref="B321:G321">SUMIF($A$1003:$Z$1003,$P$1,B1689:B1689)</f>
        <v>0</v>
      </c>
      <c r="C321" s="198">
        <f t="shared" si="143"/>
        <v>0</v>
      </c>
      <c r="D321" s="198">
        <f t="shared" si="143"/>
        <v>0</v>
      </c>
      <c r="E321" s="198">
        <f t="shared" si="143"/>
        <v>0</v>
      </c>
      <c r="F321" s="342">
        <f t="shared" si="143"/>
        <v>0</v>
      </c>
      <c r="G321" s="343">
        <f t="shared" si="143"/>
        <v>0</v>
      </c>
    </row>
    <row r="322" spans="1:7" ht="12.75">
      <c r="A322" s="221" t="s">
        <v>513</v>
      </c>
      <c r="B322" s="198">
        <f aca="true" t="shared" si="144" ref="B322:G322">SUMIF($A$1003:$Z$1003,$P$1,B1695:B1695)</f>
        <v>0</v>
      </c>
      <c r="C322" s="198">
        <f t="shared" si="144"/>
        <v>0</v>
      </c>
      <c r="D322" s="198">
        <f t="shared" si="144"/>
        <v>0</v>
      </c>
      <c r="E322" s="198">
        <f t="shared" si="144"/>
        <v>0</v>
      </c>
      <c r="F322" s="342">
        <f t="shared" si="144"/>
        <v>0</v>
      </c>
      <c r="G322" s="343">
        <f t="shared" si="144"/>
        <v>0</v>
      </c>
    </row>
    <row r="323" spans="1:7" ht="13.5" thickBot="1">
      <c r="A323" s="223" t="s">
        <v>518</v>
      </c>
      <c r="B323" s="200">
        <f aca="true" t="shared" si="145" ref="B323:G323">SUMIF($A$1003:$Z$1003,$P$1,B1698:B1698)</f>
        <v>0</v>
      </c>
      <c r="C323" s="200">
        <f t="shared" si="145"/>
        <v>0</v>
      </c>
      <c r="D323" s="200">
        <f t="shared" si="145"/>
        <v>0</v>
      </c>
      <c r="E323" s="200">
        <f t="shared" si="145"/>
        <v>0</v>
      </c>
      <c r="F323" s="344">
        <f t="shared" si="145"/>
        <v>0</v>
      </c>
      <c r="G323" s="345">
        <f t="shared" si="145"/>
        <v>0</v>
      </c>
    </row>
    <row r="324" spans="1:7" ht="12.75">
      <c r="A324" s="220" t="s">
        <v>973</v>
      </c>
      <c r="B324" s="245">
        <f aca="true" t="shared" si="146" ref="B324:G325">SUMIF($A$1003:$Z$1003,$P$1,B1701:B1701)</f>
        <v>0</v>
      </c>
      <c r="C324" s="245">
        <f t="shared" si="146"/>
        <v>172247.7</v>
      </c>
      <c r="D324" s="245">
        <f t="shared" si="146"/>
        <v>0</v>
      </c>
      <c r="E324" s="245">
        <f t="shared" si="146"/>
        <v>172247.7</v>
      </c>
      <c r="F324" s="362">
        <f t="shared" si="146"/>
        <v>0</v>
      </c>
      <c r="G324" s="363">
        <f t="shared" si="146"/>
        <v>172247.7</v>
      </c>
    </row>
    <row r="325" spans="1:7" ht="12.75">
      <c r="A325" s="221" t="s">
        <v>524</v>
      </c>
      <c r="B325" s="198">
        <f t="shared" si="146"/>
        <v>0</v>
      </c>
      <c r="C325" s="198">
        <f t="shared" si="146"/>
        <v>0</v>
      </c>
      <c r="D325" s="198">
        <f t="shared" si="146"/>
        <v>0</v>
      </c>
      <c r="E325" s="198">
        <f t="shared" si="146"/>
        <v>0</v>
      </c>
      <c r="F325" s="342">
        <f t="shared" si="146"/>
        <v>0</v>
      </c>
      <c r="G325" s="343">
        <f t="shared" si="146"/>
        <v>0</v>
      </c>
    </row>
    <row r="326" spans="1:7" ht="12.75">
      <c r="A326" s="221" t="s">
        <v>530</v>
      </c>
      <c r="B326" s="198">
        <f aca="true" t="shared" si="147" ref="B326:G326">SUMIF($A$1003:$Z$1003,$P$1,B1705:B1705)</f>
        <v>0</v>
      </c>
      <c r="C326" s="198">
        <f t="shared" si="147"/>
        <v>172247.7</v>
      </c>
      <c r="D326" s="198">
        <f t="shared" si="147"/>
        <v>0</v>
      </c>
      <c r="E326" s="198">
        <f t="shared" si="147"/>
        <v>172247.7</v>
      </c>
      <c r="F326" s="342">
        <f t="shared" si="147"/>
        <v>0</v>
      </c>
      <c r="G326" s="343">
        <f t="shared" si="147"/>
        <v>172247.7</v>
      </c>
    </row>
    <row r="327" spans="1:7" ht="12.75">
      <c r="A327" s="221" t="s">
        <v>537</v>
      </c>
      <c r="B327" s="198">
        <f aca="true" t="shared" si="148" ref="B327:G327">SUMIF($A$1003:$Z$1003,$P$1,B1709:B1709)</f>
        <v>0</v>
      </c>
      <c r="C327" s="198">
        <f t="shared" si="148"/>
        <v>0</v>
      </c>
      <c r="D327" s="198">
        <f t="shared" si="148"/>
        <v>0</v>
      </c>
      <c r="E327" s="198">
        <f t="shared" si="148"/>
        <v>0</v>
      </c>
      <c r="F327" s="342">
        <f t="shared" si="148"/>
        <v>0</v>
      </c>
      <c r="G327" s="343">
        <f t="shared" si="148"/>
        <v>0</v>
      </c>
    </row>
    <row r="328" spans="1:7" ht="12.75">
      <c r="A328" s="221" t="s">
        <v>544</v>
      </c>
      <c r="B328" s="198">
        <f aca="true" t="shared" si="149" ref="B328:G328">SUMIF($A$1003:$Z$1003,$P$1,B1713:B1713)</f>
        <v>0</v>
      </c>
      <c r="C328" s="198">
        <f t="shared" si="149"/>
        <v>0</v>
      </c>
      <c r="D328" s="198">
        <f t="shared" si="149"/>
        <v>0</v>
      </c>
      <c r="E328" s="198">
        <f t="shared" si="149"/>
        <v>0</v>
      </c>
      <c r="F328" s="342">
        <f t="shared" si="149"/>
        <v>0</v>
      </c>
      <c r="G328" s="343">
        <f t="shared" si="149"/>
        <v>0</v>
      </c>
    </row>
    <row r="329" spans="1:7" ht="12.75">
      <c r="A329" s="221" t="s">
        <v>1011</v>
      </c>
      <c r="B329" s="198">
        <f aca="true" t="shared" si="150" ref="B329:G329">SUMIF($A$1003:$Z$1003,$P$1,B1716:B1716)</f>
        <v>0</v>
      </c>
      <c r="C329" s="198">
        <f t="shared" si="150"/>
        <v>0</v>
      </c>
      <c r="D329" s="198">
        <f t="shared" si="150"/>
        <v>0</v>
      </c>
      <c r="E329" s="198">
        <f t="shared" si="150"/>
        <v>0</v>
      </c>
      <c r="F329" s="342">
        <f t="shared" si="150"/>
        <v>0</v>
      </c>
      <c r="G329" s="343">
        <f t="shared" si="150"/>
        <v>0</v>
      </c>
    </row>
    <row r="330" spans="1:7" ht="13.5" thickBot="1">
      <c r="A330" s="223" t="s">
        <v>1012</v>
      </c>
      <c r="B330" s="200">
        <f aca="true" t="shared" si="151" ref="B330:G330">SUMIF($A$1003:$Z$1003,$P$1,B1718:B1718)</f>
        <v>0</v>
      </c>
      <c r="C330" s="200">
        <f t="shared" si="151"/>
        <v>0</v>
      </c>
      <c r="D330" s="200">
        <f t="shared" si="151"/>
        <v>0</v>
      </c>
      <c r="E330" s="200">
        <f t="shared" si="151"/>
        <v>0</v>
      </c>
      <c r="F330" s="344">
        <f t="shared" si="151"/>
        <v>0</v>
      </c>
      <c r="G330" s="345">
        <f t="shared" si="151"/>
        <v>0</v>
      </c>
    </row>
    <row r="331" spans="1:7" ht="12.75">
      <c r="A331" s="220" t="s">
        <v>974</v>
      </c>
      <c r="B331" s="245">
        <f aca="true" t="shared" si="152" ref="B331:G332">SUMIF($A$1003:$Z$1003,$P$1,B1721:B1721)</f>
        <v>0</v>
      </c>
      <c r="C331" s="245">
        <f t="shared" si="152"/>
        <v>0</v>
      </c>
      <c r="D331" s="245">
        <f t="shared" si="152"/>
        <v>304695.65</v>
      </c>
      <c r="E331" s="245">
        <f t="shared" si="152"/>
        <v>304695.65</v>
      </c>
      <c r="F331" s="362">
        <f t="shared" si="152"/>
        <v>3917736</v>
      </c>
      <c r="G331" s="363">
        <f t="shared" si="152"/>
        <v>4222431.65</v>
      </c>
    </row>
    <row r="332" spans="1:7" ht="12.75">
      <c r="A332" s="221" t="s">
        <v>557</v>
      </c>
      <c r="B332" s="198">
        <f t="shared" si="152"/>
        <v>0</v>
      </c>
      <c r="C332" s="198">
        <f t="shared" si="152"/>
        <v>0</v>
      </c>
      <c r="D332" s="198">
        <f t="shared" si="152"/>
        <v>304695.65</v>
      </c>
      <c r="E332" s="198">
        <f t="shared" si="152"/>
        <v>304695.65</v>
      </c>
      <c r="F332" s="342">
        <f t="shared" si="152"/>
        <v>3917736</v>
      </c>
      <c r="G332" s="343">
        <f t="shared" si="152"/>
        <v>4222431.65</v>
      </c>
    </row>
    <row r="333" spans="1:7" ht="12.75">
      <c r="A333" s="221" t="s">
        <v>564</v>
      </c>
      <c r="B333" s="198">
        <f aca="true" t="shared" si="153" ref="B333:G333">SUMIF($A$1003:$Z$1003,$P$1,B1726:B1726)</f>
        <v>0</v>
      </c>
      <c r="C333" s="198">
        <f t="shared" si="153"/>
        <v>0</v>
      </c>
      <c r="D333" s="198">
        <f t="shared" si="153"/>
        <v>0</v>
      </c>
      <c r="E333" s="198">
        <f t="shared" si="153"/>
        <v>0</v>
      </c>
      <c r="F333" s="342">
        <f t="shared" si="153"/>
        <v>0</v>
      </c>
      <c r="G333" s="343">
        <f t="shared" si="153"/>
        <v>0</v>
      </c>
    </row>
    <row r="334" spans="1:7" ht="12.75">
      <c r="A334" s="221" t="s">
        <v>568</v>
      </c>
      <c r="B334" s="198">
        <f aca="true" t="shared" si="154" ref="B334:G334">SUMIF($A$1003:$Z$1003,$P$1,B1729:B1729)</f>
        <v>0</v>
      </c>
      <c r="C334" s="198">
        <f t="shared" si="154"/>
        <v>0</v>
      </c>
      <c r="D334" s="198">
        <f t="shared" si="154"/>
        <v>0</v>
      </c>
      <c r="E334" s="198">
        <f t="shared" si="154"/>
        <v>0</v>
      </c>
      <c r="F334" s="342">
        <f t="shared" si="154"/>
        <v>0</v>
      </c>
      <c r="G334" s="343">
        <f t="shared" si="154"/>
        <v>0</v>
      </c>
    </row>
    <row r="335" spans="1:7" ht="12.75">
      <c r="A335" s="221" t="s">
        <v>577</v>
      </c>
      <c r="B335" s="198">
        <f aca="true" t="shared" si="155" ref="B335:G335">SUMIF($A$1003:$Z$1003,$P$1,B1734:B1734)</f>
        <v>0</v>
      </c>
      <c r="C335" s="198">
        <f t="shared" si="155"/>
        <v>0</v>
      </c>
      <c r="D335" s="198">
        <f t="shared" si="155"/>
        <v>0</v>
      </c>
      <c r="E335" s="198">
        <f t="shared" si="155"/>
        <v>0</v>
      </c>
      <c r="F335" s="342">
        <f t="shared" si="155"/>
        <v>0</v>
      </c>
      <c r="G335" s="343">
        <f t="shared" si="155"/>
        <v>0</v>
      </c>
    </row>
    <row r="336" spans="1:7" ht="13.5" thickBot="1">
      <c r="A336" s="223" t="s">
        <v>578</v>
      </c>
      <c r="B336" s="200">
        <f aca="true" t="shared" si="156" ref="B336:G336">SUMIF($A$1003:$Z$1003,$P$1,B1736:B1736)</f>
        <v>0</v>
      </c>
      <c r="C336" s="200">
        <f t="shared" si="156"/>
        <v>0</v>
      </c>
      <c r="D336" s="200">
        <f t="shared" si="156"/>
        <v>0</v>
      </c>
      <c r="E336" s="200">
        <f t="shared" si="156"/>
        <v>0</v>
      </c>
      <c r="F336" s="344">
        <f t="shared" si="156"/>
        <v>0</v>
      </c>
      <c r="G336" s="345">
        <f t="shared" si="156"/>
        <v>0</v>
      </c>
    </row>
    <row r="337" spans="1:7" ht="12.75">
      <c r="A337" s="220" t="s">
        <v>979</v>
      </c>
      <c r="B337" s="245">
        <f aca="true" t="shared" si="157" ref="B337:G338">SUMIF($A$1003:$Z$1003,$P$1,B1738:B1738)</f>
        <v>0</v>
      </c>
      <c r="C337" s="245">
        <f t="shared" si="157"/>
        <v>0</v>
      </c>
      <c r="D337" s="245">
        <f t="shared" si="157"/>
        <v>0</v>
      </c>
      <c r="E337" s="245">
        <f t="shared" si="157"/>
        <v>0</v>
      </c>
      <c r="F337" s="362">
        <f t="shared" si="157"/>
        <v>1799910</v>
      </c>
      <c r="G337" s="363">
        <f t="shared" si="157"/>
        <v>1799910</v>
      </c>
    </row>
    <row r="338" spans="1:7" ht="12.75">
      <c r="A338" s="221" t="s">
        <v>584</v>
      </c>
      <c r="B338" s="198">
        <f t="shared" si="157"/>
        <v>0</v>
      </c>
      <c r="C338" s="198">
        <f t="shared" si="157"/>
        <v>0</v>
      </c>
      <c r="D338" s="198">
        <f t="shared" si="157"/>
        <v>0</v>
      </c>
      <c r="E338" s="198">
        <f t="shared" si="157"/>
        <v>0</v>
      </c>
      <c r="F338" s="342">
        <f t="shared" si="157"/>
        <v>0</v>
      </c>
      <c r="G338" s="343">
        <f t="shared" si="157"/>
        <v>0</v>
      </c>
    </row>
    <row r="339" spans="1:7" ht="12.75">
      <c r="A339" s="221" t="s">
        <v>591</v>
      </c>
      <c r="B339" s="198">
        <f aca="true" t="shared" si="158" ref="B339:G339">SUMIF($A$1003:$Z$1003,$P$1,B1744:B1744)</f>
        <v>0</v>
      </c>
      <c r="C339" s="198">
        <f t="shared" si="158"/>
        <v>0</v>
      </c>
      <c r="D339" s="198">
        <f t="shared" si="158"/>
        <v>0</v>
      </c>
      <c r="E339" s="198">
        <f t="shared" si="158"/>
        <v>0</v>
      </c>
      <c r="F339" s="342">
        <f t="shared" si="158"/>
        <v>1600732</v>
      </c>
      <c r="G339" s="343">
        <f t="shared" si="158"/>
        <v>1600732</v>
      </c>
    </row>
    <row r="340" spans="1:7" ht="12.75">
      <c r="A340" s="221" t="s">
        <v>601</v>
      </c>
      <c r="B340" s="198">
        <f aca="true" t="shared" si="159" ref="B340:G340">SUMIF($A$1003:$Z$1003,$P$1,B1749:B1749)</f>
        <v>0</v>
      </c>
      <c r="C340" s="198">
        <f t="shared" si="159"/>
        <v>0</v>
      </c>
      <c r="D340" s="198">
        <f t="shared" si="159"/>
        <v>0</v>
      </c>
      <c r="E340" s="198">
        <f t="shared" si="159"/>
        <v>0</v>
      </c>
      <c r="F340" s="342">
        <f t="shared" si="159"/>
        <v>0</v>
      </c>
      <c r="G340" s="343">
        <f t="shared" si="159"/>
        <v>0</v>
      </c>
    </row>
    <row r="341" spans="1:7" ht="12.75">
      <c r="A341" s="221" t="s">
        <v>611</v>
      </c>
      <c r="B341" s="198">
        <f aca="true" t="shared" si="160" ref="B341:G341">SUMIF($A$1003:$Z$1003,$P$1,B1755:B1755)</f>
        <v>0</v>
      </c>
      <c r="C341" s="198">
        <f t="shared" si="160"/>
        <v>0</v>
      </c>
      <c r="D341" s="198">
        <f t="shared" si="160"/>
        <v>0</v>
      </c>
      <c r="E341" s="198">
        <f t="shared" si="160"/>
        <v>0</v>
      </c>
      <c r="F341" s="342">
        <f t="shared" si="160"/>
        <v>0</v>
      </c>
      <c r="G341" s="343">
        <f t="shared" si="160"/>
        <v>0</v>
      </c>
    </row>
    <row r="342" spans="1:7" ht="12.75">
      <c r="A342" s="221" t="s">
        <v>626</v>
      </c>
      <c r="B342" s="198">
        <f aca="true" t="shared" si="161" ref="B342:G342">SUMIF($A$1003:$Z$1003,$P$1,B1763:B1763)</f>
        <v>0</v>
      </c>
      <c r="C342" s="198">
        <f t="shared" si="161"/>
        <v>0</v>
      </c>
      <c r="D342" s="198">
        <f t="shared" si="161"/>
        <v>0</v>
      </c>
      <c r="E342" s="198">
        <f t="shared" si="161"/>
        <v>0</v>
      </c>
      <c r="F342" s="342">
        <f t="shared" si="161"/>
        <v>0</v>
      </c>
      <c r="G342" s="343">
        <f t="shared" si="161"/>
        <v>0</v>
      </c>
    </row>
    <row r="343" spans="1:7" ht="12.75">
      <c r="A343" s="221" t="s">
        <v>633</v>
      </c>
      <c r="B343" s="198">
        <f aca="true" t="shared" si="162" ref="B343:G343">SUMIF($A$1003:$Z$1003,$P$1,B1767:B1767)</f>
        <v>0</v>
      </c>
      <c r="C343" s="198">
        <f t="shared" si="162"/>
        <v>0</v>
      </c>
      <c r="D343" s="198">
        <f t="shared" si="162"/>
        <v>0</v>
      </c>
      <c r="E343" s="198">
        <f t="shared" si="162"/>
        <v>0</v>
      </c>
      <c r="F343" s="342">
        <f t="shared" si="162"/>
        <v>0</v>
      </c>
      <c r="G343" s="343">
        <f t="shared" si="162"/>
        <v>0</v>
      </c>
    </row>
    <row r="344" spans="1:7" ht="12.75">
      <c r="A344" s="221" t="s">
        <v>636</v>
      </c>
      <c r="B344" s="198">
        <f aca="true" t="shared" si="163" ref="B344:G344">SUMIF($A$1003:$Z$1003,$P$1,B1769:B1769)</f>
        <v>0</v>
      </c>
      <c r="C344" s="198">
        <f t="shared" si="163"/>
        <v>0</v>
      </c>
      <c r="D344" s="198">
        <f t="shared" si="163"/>
        <v>0</v>
      </c>
      <c r="E344" s="198">
        <f t="shared" si="163"/>
        <v>0</v>
      </c>
      <c r="F344" s="342">
        <f t="shared" si="163"/>
        <v>199178</v>
      </c>
      <c r="G344" s="343">
        <f t="shared" si="163"/>
        <v>199178</v>
      </c>
    </row>
    <row r="345" spans="1:7" ht="12.75">
      <c r="A345" s="221" t="s">
        <v>648</v>
      </c>
      <c r="B345" s="198">
        <f aca="true" t="shared" si="164" ref="B345:G345">SUMIF($A$1003:$Z$1003,$P$1,B1775:B1775)</f>
        <v>0</v>
      </c>
      <c r="C345" s="198">
        <f t="shared" si="164"/>
        <v>0</v>
      </c>
      <c r="D345" s="198">
        <f t="shared" si="164"/>
        <v>0</v>
      </c>
      <c r="E345" s="198">
        <f t="shared" si="164"/>
        <v>0</v>
      </c>
      <c r="F345" s="342">
        <f t="shared" si="164"/>
        <v>0</v>
      </c>
      <c r="G345" s="343">
        <f t="shared" si="164"/>
        <v>0</v>
      </c>
    </row>
    <row r="346" spans="1:7" ht="13.5" thickBot="1">
      <c r="A346" s="223" t="s">
        <v>651</v>
      </c>
      <c r="B346" s="200">
        <f aca="true" t="shared" si="165" ref="B346:G346">SUMIF($A$1003:$Z$1003,$P$1,B1777:B1777)</f>
        <v>0</v>
      </c>
      <c r="C346" s="200">
        <f t="shared" si="165"/>
        <v>0</v>
      </c>
      <c r="D346" s="200">
        <f t="shared" si="165"/>
        <v>0</v>
      </c>
      <c r="E346" s="200">
        <f t="shared" si="165"/>
        <v>0</v>
      </c>
      <c r="F346" s="344">
        <f t="shared" si="165"/>
        <v>0</v>
      </c>
      <c r="G346" s="345">
        <f t="shared" si="165"/>
        <v>0</v>
      </c>
    </row>
    <row r="347" spans="1:7" ht="12.75">
      <c r="A347" s="220" t="s">
        <v>975</v>
      </c>
      <c r="B347" s="245">
        <f aca="true" t="shared" si="166" ref="B347:G348">SUMIF($A$1003:$Z$1003,$P$1,B1781:B1781)</f>
        <v>1385433.1</v>
      </c>
      <c r="C347" s="245">
        <f t="shared" si="166"/>
        <v>300254.6</v>
      </c>
      <c r="D347" s="245">
        <f t="shared" si="166"/>
        <v>751130.55</v>
      </c>
      <c r="E347" s="245">
        <f t="shared" si="166"/>
        <v>2436818.25</v>
      </c>
      <c r="F347" s="362">
        <f t="shared" si="166"/>
        <v>-1427526</v>
      </c>
      <c r="G347" s="363">
        <f t="shared" si="166"/>
        <v>1009292.25</v>
      </c>
    </row>
    <row r="348" spans="1:7" ht="12.75">
      <c r="A348" s="221" t="s">
        <v>660</v>
      </c>
      <c r="B348" s="198">
        <f t="shared" si="166"/>
        <v>1385433.1</v>
      </c>
      <c r="C348" s="198">
        <f t="shared" si="166"/>
        <v>300254.6</v>
      </c>
      <c r="D348" s="198">
        <f t="shared" si="166"/>
        <v>751130.55</v>
      </c>
      <c r="E348" s="198">
        <f t="shared" si="166"/>
        <v>2436818.25</v>
      </c>
      <c r="F348" s="342">
        <f t="shared" si="166"/>
        <v>-1924523</v>
      </c>
      <c r="G348" s="343">
        <f t="shared" si="166"/>
        <v>512295.25</v>
      </c>
    </row>
    <row r="349" spans="1:7" ht="12.75">
      <c r="A349" s="221" t="s">
        <v>674</v>
      </c>
      <c r="B349" s="198">
        <f aca="true" t="shared" si="167" ref="B349:G349">SUMIF($A$1003:$Z$1003,$P$1,B1789:B1789)</f>
        <v>0</v>
      </c>
      <c r="C349" s="198">
        <f t="shared" si="167"/>
        <v>0</v>
      </c>
      <c r="D349" s="198">
        <f t="shared" si="167"/>
        <v>0</v>
      </c>
      <c r="E349" s="198">
        <f t="shared" si="167"/>
        <v>0</v>
      </c>
      <c r="F349" s="342">
        <f t="shared" si="167"/>
        <v>496997</v>
      </c>
      <c r="G349" s="343">
        <f t="shared" si="167"/>
        <v>496997</v>
      </c>
    </row>
    <row r="350" spans="1:7" ht="12.75">
      <c r="A350" s="221" t="s">
        <v>684</v>
      </c>
      <c r="B350" s="198">
        <f aca="true" t="shared" si="168" ref="B350:G350">SUMIF($A$1003:$Z$1003,$P$1,B1794:B1794)</f>
        <v>0</v>
      </c>
      <c r="C350" s="198">
        <f t="shared" si="168"/>
        <v>0</v>
      </c>
      <c r="D350" s="198">
        <f t="shared" si="168"/>
        <v>0</v>
      </c>
      <c r="E350" s="198">
        <f t="shared" si="168"/>
        <v>0</v>
      </c>
      <c r="F350" s="342">
        <f t="shared" si="168"/>
        <v>0</v>
      </c>
      <c r="G350" s="343">
        <f t="shared" si="168"/>
        <v>0</v>
      </c>
    </row>
    <row r="351" spans="1:7" ht="12.75">
      <c r="A351" s="221" t="s">
        <v>696</v>
      </c>
      <c r="B351" s="198">
        <f aca="true" t="shared" si="169" ref="B351:G351">SUMIF($A$1003:$Z$1003,$P$1,B1799:B1799)</f>
        <v>0</v>
      </c>
      <c r="C351" s="198">
        <f t="shared" si="169"/>
        <v>0</v>
      </c>
      <c r="D351" s="198">
        <f t="shared" si="169"/>
        <v>0</v>
      </c>
      <c r="E351" s="198">
        <f t="shared" si="169"/>
        <v>0</v>
      </c>
      <c r="F351" s="342">
        <f t="shared" si="169"/>
        <v>0</v>
      </c>
      <c r="G351" s="343">
        <f t="shared" si="169"/>
        <v>0</v>
      </c>
    </row>
    <row r="352" spans="1:7" ht="13.5" thickBot="1">
      <c r="A352" s="223" t="s">
        <v>698</v>
      </c>
      <c r="B352" s="200">
        <f aca="true" t="shared" si="170" ref="B352:G352">SUMIF($A$1003:$Z$1003,$P$1,B1801:B1801)</f>
        <v>0</v>
      </c>
      <c r="C352" s="200">
        <f t="shared" si="170"/>
        <v>0</v>
      </c>
      <c r="D352" s="200">
        <f t="shared" si="170"/>
        <v>0</v>
      </c>
      <c r="E352" s="200">
        <f t="shared" si="170"/>
        <v>0</v>
      </c>
      <c r="F352" s="344">
        <f t="shared" si="170"/>
        <v>0</v>
      </c>
      <c r="G352" s="345">
        <f t="shared" si="170"/>
        <v>0</v>
      </c>
    </row>
    <row r="353" spans="1:7" ht="12.75">
      <c r="A353" s="220" t="s">
        <v>980</v>
      </c>
      <c r="B353" s="245">
        <f aca="true" t="shared" si="171" ref="B353:G354">SUMIF($A$1003:$Z$1003,$P$1,B1804:B1804)</f>
        <v>2037687.4000000001</v>
      </c>
      <c r="C353" s="245">
        <f t="shared" si="171"/>
        <v>1237031.4000000001</v>
      </c>
      <c r="D353" s="245">
        <f t="shared" si="171"/>
        <v>642990.6799999999</v>
      </c>
      <c r="E353" s="245">
        <f t="shared" si="171"/>
        <v>3917709.4800000004</v>
      </c>
      <c r="F353" s="362">
        <f t="shared" si="171"/>
        <v>4963760</v>
      </c>
      <c r="G353" s="363">
        <f t="shared" si="171"/>
        <v>8881469.48</v>
      </c>
    </row>
    <row r="354" spans="1:7" ht="12.75">
      <c r="A354" s="221" t="s">
        <v>706</v>
      </c>
      <c r="B354" s="198">
        <f t="shared" si="171"/>
        <v>1003882.24</v>
      </c>
      <c r="C354" s="198">
        <f t="shared" si="171"/>
        <v>0</v>
      </c>
      <c r="D354" s="198">
        <f t="shared" si="171"/>
        <v>759030.72</v>
      </c>
      <c r="E354" s="198">
        <f t="shared" si="171"/>
        <v>1762912.96</v>
      </c>
      <c r="F354" s="342">
        <f t="shared" si="171"/>
        <v>0</v>
      </c>
      <c r="G354" s="343">
        <f t="shared" si="171"/>
        <v>1762912.96</v>
      </c>
    </row>
    <row r="355" spans="1:7" ht="12.75">
      <c r="A355" s="221" t="s">
        <v>712</v>
      </c>
      <c r="B355" s="198">
        <f aca="true" t="shared" si="172" ref="B355:G355">SUMIF($A$1003:$Z$1003,$P$1,B1808:B1808)</f>
        <v>571728.66</v>
      </c>
      <c r="C355" s="198">
        <f t="shared" si="172"/>
        <v>-77259.5</v>
      </c>
      <c r="D355" s="198">
        <f t="shared" si="172"/>
        <v>-552357.54</v>
      </c>
      <c r="E355" s="198">
        <f t="shared" si="172"/>
        <v>-57888.380000000005</v>
      </c>
      <c r="F355" s="342">
        <f t="shared" si="172"/>
        <v>27650</v>
      </c>
      <c r="G355" s="343">
        <f t="shared" si="172"/>
        <v>-30238.380000000005</v>
      </c>
    </row>
    <row r="356" spans="1:7" ht="12.75">
      <c r="A356" s="221" t="s">
        <v>719</v>
      </c>
      <c r="B356" s="198">
        <f aca="true" t="shared" si="173" ref="B356:G356">SUMIF($A$1003:$Z$1003,$P$1,B1812:B1812)</f>
        <v>1851.85</v>
      </c>
      <c r="C356" s="198">
        <f t="shared" si="173"/>
        <v>0</v>
      </c>
      <c r="D356" s="198">
        <f t="shared" si="173"/>
        <v>7184.15</v>
      </c>
      <c r="E356" s="198">
        <f t="shared" si="173"/>
        <v>9036</v>
      </c>
      <c r="F356" s="342">
        <f t="shared" si="173"/>
        <v>0</v>
      </c>
      <c r="G356" s="343">
        <f t="shared" si="173"/>
        <v>9036</v>
      </c>
    </row>
    <row r="357" spans="1:7" ht="12.75">
      <c r="A357" s="221" t="s">
        <v>727</v>
      </c>
      <c r="B357" s="198">
        <f aca="true" t="shared" si="174" ref="B357:G357">SUMIF($A$1003:$Z$1003,$P$1,B1816:B1816)</f>
        <v>345517.85</v>
      </c>
      <c r="C357" s="198">
        <f t="shared" si="174"/>
        <v>1164215.9000000001</v>
      </c>
      <c r="D357" s="198">
        <f t="shared" si="174"/>
        <v>365843.85</v>
      </c>
      <c r="E357" s="198">
        <f t="shared" si="174"/>
        <v>1875577.6</v>
      </c>
      <c r="F357" s="342">
        <f t="shared" si="174"/>
        <v>4575132</v>
      </c>
      <c r="G357" s="343">
        <f t="shared" si="174"/>
        <v>6450709.6</v>
      </c>
    </row>
    <row r="358" spans="1:7" ht="12.75">
      <c r="A358" s="221" t="s">
        <v>732</v>
      </c>
      <c r="B358" s="198">
        <f aca="true" t="shared" si="175" ref="B358:G358">SUMIF($A$1003:$Z$1003,$P$1,B1819:B1819)</f>
        <v>0</v>
      </c>
      <c r="C358" s="198">
        <f t="shared" si="175"/>
        <v>0</v>
      </c>
      <c r="D358" s="198">
        <f t="shared" si="175"/>
        <v>0</v>
      </c>
      <c r="E358" s="198">
        <f t="shared" si="175"/>
        <v>0</v>
      </c>
      <c r="F358" s="342">
        <f t="shared" si="175"/>
        <v>120534</v>
      </c>
      <c r="G358" s="343">
        <f t="shared" si="175"/>
        <v>120534</v>
      </c>
    </row>
    <row r="359" spans="1:7" ht="12.75">
      <c r="A359" s="221" t="s">
        <v>1013</v>
      </c>
      <c r="B359" s="198">
        <f aca="true" t="shared" si="176" ref="B359:G359">SUMIF($A$1003:$Z$1003,$P$1,B1821:B1821)</f>
        <v>0</v>
      </c>
      <c r="C359" s="198">
        <f t="shared" si="176"/>
        <v>0</v>
      </c>
      <c r="D359" s="198">
        <f t="shared" si="176"/>
        <v>0</v>
      </c>
      <c r="E359" s="198">
        <f t="shared" si="176"/>
        <v>0</v>
      </c>
      <c r="F359" s="342">
        <f t="shared" si="176"/>
        <v>240444</v>
      </c>
      <c r="G359" s="343">
        <f t="shared" si="176"/>
        <v>240444</v>
      </c>
    </row>
    <row r="360" spans="1:7" ht="12.75">
      <c r="A360" s="221" t="s">
        <v>740</v>
      </c>
      <c r="B360" s="198">
        <f aca="true" t="shared" si="177" ref="B360:G360">SUMIF($A$1003:$Z$1003,$P$1,B1824:B1824)</f>
        <v>0</v>
      </c>
      <c r="C360" s="198">
        <f t="shared" si="177"/>
        <v>0</v>
      </c>
      <c r="D360" s="198">
        <f t="shared" si="177"/>
        <v>0</v>
      </c>
      <c r="E360" s="198">
        <f t="shared" si="177"/>
        <v>0</v>
      </c>
      <c r="F360" s="342">
        <f t="shared" si="177"/>
        <v>0</v>
      </c>
      <c r="G360" s="343">
        <f t="shared" si="177"/>
        <v>0</v>
      </c>
    </row>
    <row r="361" spans="1:7" ht="12.75">
      <c r="A361" s="221" t="s">
        <v>748</v>
      </c>
      <c r="B361" s="198">
        <f aca="true" t="shared" si="178" ref="B361:G361">SUMIF($A$1003:$Z$1003,$P$1,B1828:B1828)</f>
        <v>0</v>
      </c>
      <c r="C361" s="198">
        <f t="shared" si="178"/>
        <v>0</v>
      </c>
      <c r="D361" s="198">
        <f t="shared" si="178"/>
        <v>0</v>
      </c>
      <c r="E361" s="198">
        <f t="shared" si="178"/>
        <v>0</v>
      </c>
      <c r="F361" s="342">
        <f t="shared" si="178"/>
        <v>0</v>
      </c>
      <c r="G361" s="343">
        <f t="shared" si="178"/>
        <v>0</v>
      </c>
    </row>
    <row r="362" spans="1:7" ht="13.5" thickBot="1">
      <c r="A362" s="223" t="s">
        <v>754</v>
      </c>
      <c r="B362" s="200">
        <f aca="true" t="shared" si="179" ref="B362:G362">SUMIF($A$1003:$Z$1003,$P$1,B1831:B1831)</f>
        <v>114706.8</v>
      </c>
      <c r="C362" s="200">
        <f t="shared" si="179"/>
        <v>150075</v>
      </c>
      <c r="D362" s="200">
        <f t="shared" si="179"/>
        <v>63289.5</v>
      </c>
      <c r="E362" s="200">
        <f t="shared" si="179"/>
        <v>328071.3</v>
      </c>
      <c r="F362" s="344">
        <f t="shared" si="179"/>
        <v>0</v>
      </c>
      <c r="G362" s="345">
        <f t="shared" si="179"/>
        <v>328071.3</v>
      </c>
    </row>
    <row r="363" spans="1:7" ht="12.75">
      <c r="A363" s="220" t="s">
        <v>976</v>
      </c>
      <c r="B363" s="245">
        <f aca="true" t="shared" si="180" ref="B363:G364">SUMIF($A$1003:$Z$1003,$P$1,B1834:B1834)</f>
        <v>701594.8</v>
      </c>
      <c r="C363" s="245">
        <f t="shared" si="180"/>
        <v>44700</v>
      </c>
      <c r="D363" s="245">
        <f t="shared" si="180"/>
        <v>1103898.25</v>
      </c>
      <c r="E363" s="245">
        <f t="shared" si="180"/>
        <v>1850193.05</v>
      </c>
      <c r="F363" s="362">
        <f t="shared" si="180"/>
        <v>4143580</v>
      </c>
      <c r="G363" s="363">
        <f t="shared" si="180"/>
        <v>5993773.05</v>
      </c>
    </row>
    <row r="364" spans="1:7" ht="12.75">
      <c r="A364" s="221" t="s">
        <v>762</v>
      </c>
      <c r="B364" s="198">
        <f t="shared" si="180"/>
        <v>579141.25</v>
      </c>
      <c r="C364" s="198">
        <f t="shared" si="180"/>
        <v>0</v>
      </c>
      <c r="D364" s="198">
        <f t="shared" si="180"/>
        <v>25445</v>
      </c>
      <c r="E364" s="198">
        <f t="shared" si="180"/>
        <v>604586.25</v>
      </c>
      <c r="F364" s="342">
        <f t="shared" si="180"/>
        <v>1043067</v>
      </c>
      <c r="G364" s="343">
        <f t="shared" si="180"/>
        <v>1647653.25</v>
      </c>
    </row>
    <row r="365" spans="1:7" ht="12.75">
      <c r="A365" s="221" t="s">
        <v>782</v>
      </c>
      <c r="B365" s="198">
        <f aca="true" t="shared" si="181" ref="B365:G365">SUMIF($A$1003:$Z$1003,$P$1,B1845:B1845)</f>
        <v>122453.54999999999</v>
      </c>
      <c r="C365" s="198">
        <f t="shared" si="181"/>
        <v>44700</v>
      </c>
      <c r="D365" s="198">
        <f t="shared" si="181"/>
        <v>1078453.25</v>
      </c>
      <c r="E365" s="198">
        <f t="shared" si="181"/>
        <v>1245606.8</v>
      </c>
      <c r="F365" s="342">
        <f t="shared" si="181"/>
        <v>3111313</v>
      </c>
      <c r="G365" s="343">
        <f t="shared" si="181"/>
        <v>4356919.8</v>
      </c>
    </row>
    <row r="366" spans="1:7" ht="12.75">
      <c r="A366" s="221" t="s">
        <v>785</v>
      </c>
      <c r="B366" s="198">
        <f aca="true" t="shared" si="182" ref="B366:G366">SUMIF($A$1003:$Z$1003,$P$1,B1847:B1847)</f>
        <v>0</v>
      </c>
      <c r="C366" s="198">
        <f t="shared" si="182"/>
        <v>0</v>
      </c>
      <c r="D366" s="198">
        <f t="shared" si="182"/>
        <v>0</v>
      </c>
      <c r="E366" s="198">
        <f t="shared" si="182"/>
        <v>0</v>
      </c>
      <c r="F366" s="342">
        <f t="shared" si="182"/>
        <v>0</v>
      </c>
      <c r="G366" s="343">
        <f t="shared" si="182"/>
        <v>0</v>
      </c>
    </row>
    <row r="367" spans="1:7" ht="12.75">
      <c r="A367" s="221" t="s">
        <v>788</v>
      </c>
      <c r="B367" s="198">
        <f aca="true" t="shared" si="183" ref="B367:G367">SUMIF($A$1003:$Z$1003,$P$1,B1849:B1849)</f>
        <v>0</v>
      </c>
      <c r="C367" s="198">
        <f t="shared" si="183"/>
        <v>0</v>
      </c>
      <c r="D367" s="198">
        <f t="shared" si="183"/>
        <v>0</v>
      </c>
      <c r="E367" s="198">
        <f t="shared" si="183"/>
        <v>0</v>
      </c>
      <c r="F367" s="342">
        <f t="shared" si="183"/>
        <v>0</v>
      </c>
      <c r="G367" s="343">
        <f t="shared" si="183"/>
        <v>0</v>
      </c>
    </row>
    <row r="368" spans="1:7" ht="12.75">
      <c r="A368" s="221" t="s">
        <v>790</v>
      </c>
      <c r="B368" s="198">
        <f aca="true" t="shared" si="184" ref="B368:G368">SUMIF($A$1003:$Z$1003,$P$1,B1851:B1851)</f>
        <v>0</v>
      </c>
      <c r="C368" s="198">
        <f t="shared" si="184"/>
        <v>0</v>
      </c>
      <c r="D368" s="198">
        <f t="shared" si="184"/>
        <v>0</v>
      </c>
      <c r="E368" s="198">
        <f t="shared" si="184"/>
        <v>0</v>
      </c>
      <c r="F368" s="342">
        <f t="shared" si="184"/>
        <v>-10800</v>
      </c>
      <c r="G368" s="343">
        <f t="shared" si="184"/>
        <v>-10800</v>
      </c>
    </row>
    <row r="369" spans="1:7" ht="12.75">
      <c r="A369" s="221" t="s">
        <v>794</v>
      </c>
      <c r="B369" s="198">
        <f aca="true" t="shared" si="185" ref="B369:G369">SUMIF($A$1003:$Z$1003,$P$1,B1853:B1853)</f>
        <v>0</v>
      </c>
      <c r="C369" s="198">
        <f t="shared" si="185"/>
        <v>0</v>
      </c>
      <c r="D369" s="198">
        <f t="shared" si="185"/>
        <v>0</v>
      </c>
      <c r="E369" s="198">
        <f t="shared" si="185"/>
        <v>0</v>
      </c>
      <c r="F369" s="342">
        <f t="shared" si="185"/>
        <v>0</v>
      </c>
      <c r="G369" s="343">
        <f t="shared" si="185"/>
        <v>0</v>
      </c>
    </row>
    <row r="370" spans="1:7" ht="12.75">
      <c r="A370" s="221" t="s">
        <v>797</v>
      </c>
      <c r="B370" s="198">
        <f aca="true" t="shared" si="186" ref="B370:G370">SUMIF($A$1003:$Z$1003,$P$1,B1855:B1855)</f>
        <v>0</v>
      </c>
      <c r="C370" s="198">
        <f t="shared" si="186"/>
        <v>0</v>
      </c>
      <c r="D370" s="198">
        <f t="shared" si="186"/>
        <v>0</v>
      </c>
      <c r="E370" s="198">
        <f t="shared" si="186"/>
        <v>0</v>
      </c>
      <c r="F370" s="342">
        <f t="shared" si="186"/>
        <v>0</v>
      </c>
      <c r="G370" s="343">
        <f t="shared" si="186"/>
        <v>0</v>
      </c>
    </row>
    <row r="371" spans="1:7" ht="12.75">
      <c r="A371" s="221" t="s">
        <v>816</v>
      </c>
      <c r="B371" s="198">
        <f aca="true" t="shared" si="187" ref="B371:G371">SUMIF($A$1003:$Z$1003,$P$1,B1864:B1864)</f>
        <v>0</v>
      </c>
      <c r="C371" s="198">
        <f t="shared" si="187"/>
        <v>0</v>
      </c>
      <c r="D371" s="198">
        <f t="shared" si="187"/>
        <v>0</v>
      </c>
      <c r="E371" s="198">
        <f t="shared" si="187"/>
        <v>0</v>
      </c>
      <c r="F371" s="342">
        <f t="shared" si="187"/>
        <v>0</v>
      </c>
      <c r="G371" s="343">
        <f t="shared" si="187"/>
        <v>0</v>
      </c>
    </row>
    <row r="372" spans="1:7" ht="13.5" thickBot="1">
      <c r="A372" s="223" t="s">
        <v>826</v>
      </c>
      <c r="B372" s="200">
        <f aca="true" t="shared" si="188" ref="B372:G372">SUMIF($A$1003:$Z$1003,$P$1,B1869:B1869)</f>
        <v>0</v>
      </c>
      <c r="C372" s="200">
        <f t="shared" si="188"/>
        <v>0</v>
      </c>
      <c r="D372" s="200">
        <f t="shared" si="188"/>
        <v>0</v>
      </c>
      <c r="E372" s="200">
        <f t="shared" si="188"/>
        <v>0</v>
      </c>
      <c r="F372" s="344">
        <f t="shared" si="188"/>
        <v>0</v>
      </c>
      <c r="G372" s="345">
        <f t="shared" si="188"/>
        <v>0</v>
      </c>
    </row>
    <row r="373" spans="1:7" ht="12.75">
      <c r="A373" s="220" t="s">
        <v>977</v>
      </c>
      <c r="B373" s="245">
        <f aca="true" t="shared" si="189" ref="B373:G374">SUMIF($A$1003:$Z$1003,$P$1,B1871:B1871)</f>
        <v>-4457740.75</v>
      </c>
      <c r="C373" s="245">
        <f t="shared" si="189"/>
        <v>-2251555.7</v>
      </c>
      <c r="D373" s="245">
        <f t="shared" si="189"/>
        <v>-3154747.48</v>
      </c>
      <c r="E373" s="245">
        <f t="shared" si="189"/>
        <v>-9864043.93</v>
      </c>
      <c r="F373" s="362">
        <f t="shared" si="189"/>
        <v>-17685731</v>
      </c>
      <c r="G373" s="363">
        <f t="shared" si="189"/>
        <v>-27549774.93</v>
      </c>
    </row>
    <row r="374" spans="1:7" ht="12.75">
      <c r="A374" s="221" t="s">
        <v>831</v>
      </c>
      <c r="B374" s="198">
        <f t="shared" si="189"/>
        <v>0</v>
      </c>
      <c r="C374" s="198">
        <f t="shared" si="189"/>
        <v>0</v>
      </c>
      <c r="D374" s="198">
        <f t="shared" si="189"/>
        <v>0</v>
      </c>
      <c r="E374" s="198">
        <f t="shared" si="189"/>
        <v>0</v>
      </c>
      <c r="F374" s="342">
        <f t="shared" si="189"/>
        <v>0</v>
      </c>
      <c r="G374" s="343">
        <f t="shared" si="189"/>
        <v>0</v>
      </c>
    </row>
    <row r="375" spans="1:7" ht="12.75">
      <c r="A375" s="221" t="s">
        <v>837</v>
      </c>
      <c r="B375" s="198">
        <f aca="true" t="shared" si="190" ref="B375:G375">SUMIF($A$1003:$Z$1003,$P$1,B1875:B1875)</f>
        <v>0</v>
      </c>
      <c r="C375" s="198">
        <f t="shared" si="190"/>
        <v>0</v>
      </c>
      <c r="D375" s="198">
        <f t="shared" si="190"/>
        <v>0</v>
      </c>
      <c r="E375" s="198">
        <f t="shared" si="190"/>
        <v>0</v>
      </c>
      <c r="F375" s="342">
        <f t="shared" si="190"/>
        <v>0</v>
      </c>
      <c r="G375" s="343">
        <f t="shared" si="190"/>
        <v>0</v>
      </c>
    </row>
    <row r="376" spans="1:7" ht="12.75">
      <c r="A376" s="221" t="s">
        <v>81</v>
      </c>
      <c r="B376" s="198">
        <f aca="true" t="shared" si="191" ref="B376:G376">SUMIF($A$1003:$Z$1003,$P$1,B1877:B1877)</f>
        <v>0</v>
      </c>
      <c r="C376" s="198">
        <f t="shared" si="191"/>
        <v>0</v>
      </c>
      <c r="D376" s="198">
        <f t="shared" si="191"/>
        <v>0</v>
      </c>
      <c r="E376" s="198">
        <f t="shared" si="191"/>
        <v>0</v>
      </c>
      <c r="F376" s="342">
        <f t="shared" si="191"/>
        <v>0</v>
      </c>
      <c r="G376" s="343">
        <f t="shared" si="191"/>
        <v>0</v>
      </c>
    </row>
    <row r="377" spans="1:7" ht="12.75">
      <c r="A377" s="221" t="s">
        <v>842</v>
      </c>
      <c r="B377" s="198">
        <f aca="true" t="shared" si="192" ref="B377:G377">SUMIF($A$1003:$Z$1003,$P$1,B1879:B1879)</f>
        <v>0</v>
      </c>
      <c r="C377" s="198">
        <f t="shared" si="192"/>
        <v>0</v>
      </c>
      <c r="D377" s="198">
        <f t="shared" si="192"/>
        <v>0</v>
      </c>
      <c r="E377" s="198">
        <f t="shared" si="192"/>
        <v>0</v>
      </c>
      <c r="F377" s="342">
        <f t="shared" si="192"/>
        <v>0</v>
      </c>
      <c r="G377" s="343">
        <f t="shared" si="192"/>
        <v>0</v>
      </c>
    </row>
    <row r="378" spans="1:7" ht="12.75">
      <c r="A378" s="221" t="s">
        <v>845</v>
      </c>
      <c r="B378" s="198">
        <f aca="true" t="shared" si="193" ref="B378:G378">SUMIF($A$1003:$Z$1003,$P$1,B1881:B1881)</f>
        <v>0</v>
      </c>
      <c r="C378" s="198">
        <f t="shared" si="193"/>
        <v>0</v>
      </c>
      <c r="D378" s="198">
        <f t="shared" si="193"/>
        <v>0</v>
      </c>
      <c r="E378" s="198">
        <f t="shared" si="193"/>
        <v>0</v>
      </c>
      <c r="F378" s="342">
        <f t="shared" si="193"/>
        <v>0</v>
      </c>
      <c r="G378" s="343">
        <f t="shared" si="193"/>
        <v>0</v>
      </c>
    </row>
    <row r="379" spans="1:7" ht="12.75">
      <c r="A379" s="221" t="s">
        <v>1014</v>
      </c>
      <c r="B379" s="198">
        <f aca="true" t="shared" si="194" ref="B379:G379">SUMIF($A$1003:$Z$1003,$P$1,B1883:B1883)</f>
        <v>29836.300000000003</v>
      </c>
      <c r="C379" s="198">
        <f t="shared" si="194"/>
        <v>0</v>
      </c>
      <c r="D379" s="198">
        <f t="shared" si="194"/>
        <v>0</v>
      </c>
      <c r="E379" s="198">
        <f t="shared" si="194"/>
        <v>29836.300000000003</v>
      </c>
      <c r="F379" s="342">
        <f t="shared" si="194"/>
        <v>0</v>
      </c>
      <c r="G379" s="343">
        <f t="shared" si="194"/>
        <v>29836.300000000003</v>
      </c>
    </row>
    <row r="380" spans="1:7" ht="12.75">
      <c r="A380" s="221" t="s">
        <v>857</v>
      </c>
      <c r="B380" s="198">
        <f aca="true" t="shared" si="195" ref="B380:G380">SUMIF($A$1003:$Z$1003,$P$1,B1888:B1888)</f>
        <v>0</v>
      </c>
      <c r="C380" s="198">
        <f t="shared" si="195"/>
        <v>0</v>
      </c>
      <c r="D380" s="198">
        <f t="shared" si="195"/>
        <v>0</v>
      </c>
      <c r="E380" s="198">
        <f t="shared" si="195"/>
        <v>0</v>
      </c>
      <c r="F380" s="342">
        <f t="shared" si="195"/>
        <v>0</v>
      </c>
      <c r="G380" s="343">
        <f t="shared" si="195"/>
        <v>0</v>
      </c>
    </row>
    <row r="381" spans="1:7" ht="13.5" thickBot="1">
      <c r="A381" s="428" t="s">
        <v>1028</v>
      </c>
      <c r="B381" s="200">
        <f aca="true" t="shared" si="196" ref="B381:G381">SUMIF($A$1003:$Z$1003,$P$1,B1890:B1890)</f>
        <v>-4487577.05</v>
      </c>
      <c r="C381" s="200">
        <f t="shared" si="196"/>
        <v>-2251555.7</v>
      </c>
      <c r="D381" s="200">
        <f t="shared" si="196"/>
        <v>-3154747.48</v>
      </c>
      <c r="E381" s="200">
        <f t="shared" si="196"/>
        <v>-9893880.23</v>
      </c>
      <c r="F381" s="344">
        <f t="shared" si="196"/>
        <v>-17685731</v>
      </c>
      <c r="G381" s="345">
        <f t="shared" si="196"/>
        <v>-27579611.23</v>
      </c>
    </row>
    <row r="382" spans="1:7" ht="12.75">
      <c r="A382" s="232"/>
      <c r="B382" s="233"/>
      <c r="C382" s="233"/>
      <c r="D382" s="233"/>
      <c r="E382" s="233"/>
      <c r="F382" s="376"/>
      <c r="G382" s="377"/>
    </row>
    <row r="383" spans="1:7" ht="13.5" thickBot="1">
      <c r="A383" s="246" t="s">
        <v>1029</v>
      </c>
      <c r="B383" s="213">
        <f aca="true" t="shared" si="197" ref="B383:G383">SUMIF($A$1003:$Z$1003,$P$1,B1895:B1895)</f>
        <v>0</v>
      </c>
      <c r="C383" s="213">
        <f t="shared" si="197"/>
        <v>0</v>
      </c>
      <c r="D383" s="213">
        <f t="shared" si="197"/>
        <v>0</v>
      </c>
      <c r="E383" s="213">
        <f t="shared" si="197"/>
        <v>0</v>
      </c>
      <c r="F383" s="368">
        <f t="shared" si="197"/>
        <v>0</v>
      </c>
      <c r="G383" s="369">
        <f t="shared" si="197"/>
        <v>0</v>
      </c>
    </row>
    <row r="384" spans="1:7" ht="12.75" customHeight="1">
      <c r="A384" s="190"/>
      <c r="B384" s="190"/>
      <c r="C384" s="190"/>
      <c r="D384" s="190"/>
      <c r="E384" s="190"/>
      <c r="F384" s="190"/>
      <c r="G384" s="190"/>
    </row>
    <row r="385" spans="1:7" ht="12.75" customHeight="1">
      <c r="A385" s="190"/>
      <c r="B385" s="190"/>
      <c r="C385" s="190"/>
      <c r="D385" s="190"/>
      <c r="E385" s="190"/>
      <c r="F385" s="190"/>
      <c r="G385" s="190"/>
    </row>
    <row r="386" spans="1:7" ht="12.75" customHeight="1">
      <c r="A386" s="190"/>
      <c r="B386" s="190"/>
      <c r="C386" s="190"/>
      <c r="D386" s="190"/>
      <c r="E386" s="190"/>
      <c r="F386" s="190"/>
      <c r="G386" s="190"/>
    </row>
    <row r="387" spans="1:7" ht="12.75" customHeight="1">
      <c r="A387" s="190"/>
      <c r="B387" s="190"/>
      <c r="C387" s="190"/>
      <c r="D387" s="190"/>
      <c r="E387" s="190"/>
      <c r="F387" s="190"/>
      <c r="G387" s="190"/>
    </row>
    <row r="388" spans="1:7" ht="12.75" customHeight="1">
      <c r="A388" s="190"/>
      <c r="B388" s="190"/>
      <c r="C388" s="190"/>
      <c r="D388" s="190"/>
      <c r="E388" s="190"/>
      <c r="F388" s="190"/>
      <c r="G388" s="190"/>
    </row>
    <row r="389" spans="1:7" ht="12.75" customHeight="1">
      <c r="A389" s="190"/>
      <c r="B389" s="190"/>
      <c r="C389" s="190"/>
      <c r="D389" s="190"/>
      <c r="E389" s="190"/>
      <c r="F389" s="190"/>
      <c r="G389" s="190"/>
    </row>
    <row r="390" spans="1:7" ht="12.75" customHeight="1">
      <c r="A390" s="190"/>
      <c r="B390" s="190"/>
      <c r="C390" s="190"/>
      <c r="D390" s="190"/>
      <c r="E390" s="190"/>
      <c r="F390" s="190"/>
      <c r="G390" s="190"/>
    </row>
    <row r="391" spans="1:7" ht="12.75" customHeight="1">
      <c r="A391" s="190"/>
      <c r="B391" s="190"/>
      <c r="C391" s="190"/>
      <c r="D391" s="190"/>
      <c r="E391" s="190"/>
      <c r="F391" s="190"/>
      <c r="G391" s="190"/>
    </row>
    <row r="392" spans="1:7" ht="12.75" customHeight="1">
      <c r="A392" s="190"/>
      <c r="B392" s="190"/>
      <c r="C392" s="190"/>
      <c r="D392" s="190"/>
      <c r="E392" s="190"/>
      <c r="F392" s="190"/>
      <c r="G392" s="190"/>
    </row>
    <row r="393" spans="1:7" ht="12.75" customHeight="1">
      <c r="A393" s="190"/>
      <c r="B393" s="190"/>
      <c r="C393" s="190"/>
      <c r="D393" s="190"/>
      <c r="E393" s="190"/>
      <c r="F393" s="190"/>
      <c r="G393" s="190"/>
    </row>
    <row r="394" spans="1:7" ht="12.75" customHeight="1">
      <c r="A394" s="190"/>
      <c r="B394" s="190"/>
      <c r="C394" s="190"/>
      <c r="D394" s="190"/>
      <c r="E394" s="190"/>
      <c r="F394" s="190"/>
      <c r="G394" s="190"/>
    </row>
    <row r="395" spans="1:7" ht="12.75" customHeight="1">
      <c r="A395" s="190"/>
      <c r="B395" s="190"/>
      <c r="C395" s="190"/>
      <c r="D395" s="190"/>
      <c r="E395" s="190"/>
      <c r="F395" s="190"/>
      <c r="G395" s="190"/>
    </row>
    <row r="396" spans="1:7" ht="12.75" customHeight="1">
      <c r="A396" s="190"/>
      <c r="B396" s="190"/>
      <c r="C396" s="190"/>
      <c r="D396" s="190"/>
      <c r="E396" s="190"/>
      <c r="F396" s="190"/>
      <c r="G396" s="190"/>
    </row>
    <row r="397" spans="1:7" ht="12.75" customHeight="1">
      <c r="A397" s="190"/>
      <c r="B397" s="190"/>
      <c r="C397" s="190"/>
      <c r="D397" s="190"/>
      <c r="E397" s="190"/>
      <c r="F397" s="190"/>
      <c r="G397" s="190"/>
    </row>
    <row r="398" spans="1:7" ht="12.75" customHeight="1">
      <c r="A398" s="190"/>
      <c r="B398" s="190"/>
      <c r="C398" s="190"/>
      <c r="D398" s="190"/>
      <c r="E398" s="190"/>
      <c r="F398" s="190"/>
      <c r="G398" s="190"/>
    </row>
    <row r="399" spans="1:7" ht="12.75" customHeight="1">
      <c r="A399" s="190"/>
      <c r="B399" s="190"/>
      <c r="C399" s="190"/>
      <c r="D399" s="190"/>
      <c r="E399" s="190"/>
      <c r="F399" s="190"/>
      <c r="G399" s="190"/>
    </row>
    <row r="400" spans="1:7" ht="12.75" customHeight="1">
      <c r="A400" s="190"/>
      <c r="B400" s="190"/>
      <c r="C400" s="190"/>
      <c r="D400" s="190"/>
      <c r="E400" s="190"/>
      <c r="F400" s="190"/>
      <c r="G400" s="190"/>
    </row>
    <row r="401" spans="1:7" ht="12.75" customHeight="1">
      <c r="A401" s="190"/>
      <c r="B401" s="190"/>
      <c r="C401" s="190"/>
      <c r="D401" s="190"/>
      <c r="E401" s="190"/>
      <c r="F401" s="190"/>
      <c r="G401" s="190"/>
    </row>
    <row r="402" spans="1:7" ht="12.75" customHeight="1">
      <c r="A402" s="190"/>
      <c r="B402" s="190"/>
      <c r="C402" s="190"/>
      <c r="D402" s="190"/>
      <c r="E402" s="190"/>
      <c r="F402" s="190"/>
      <c r="G402" s="190"/>
    </row>
    <row r="403" spans="1:7" ht="12.75" customHeight="1">
      <c r="A403" s="190"/>
      <c r="B403" s="190"/>
      <c r="C403" s="190"/>
      <c r="D403" s="190"/>
      <c r="E403" s="190"/>
      <c r="F403" s="190"/>
      <c r="G403" s="190"/>
    </row>
    <row r="404" spans="1:7" ht="12.75" customHeight="1">
      <c r="A404" s="190"/>
      <c r="B404" s="190"/>
      <c r="C404" s="190"/>
      <c r="D404" s="190"/>
      <c r="E404" s="190"/>
      <c r="F404" s="190"/>
      <c r="G404" s="190"/>
    </row>
    <row r="405" spans="1:7" ht="12.75" customHeight="1">
      <c r="A405" s="190"/>
      <c r="B405" s="190"/>
      <c r="C405" s="190"/>
      <c r="D405" s="190"/>
      <c r="E405" s="190"/>
      <c r="F405" s="190"/>
      <c r="G405" s="190"/>
    </row>
    <row r="406" spans="1:7" ht="12.75" customHeight="1">
      <c r="A406" s="190"/>
      <c r="B406" s="190"/>
      <c r="C406" s="190"/>
      <c r="D406" s="190"/>
      <c r="E406" s="190"/>
      <c r="F406" s="190"/>
      <c r="G406" s="190"/>
    </row>
    <row r="407" spans="1:7" ht="12.75" customHeight="1">
      <c r="A407" s="190"/>
      <c r="B407" s="190"/>
      <c r="C407" s="190"/>
      <c r="D407" s="190"/>
      <c r="E407" s="190"/>
      <c r="F407" s="190"/>
      <c r="G407" s="190"/>
    </row>
    <row r="408" spans="1:7" ht="12.75" customHeight="1">
      <c r="A408" s="190"/>
      <c r="B408" s="190"/>
      <c r="C408" s="190"/>
      <c r="D408" s="190"/>
      <c r="E408" s="190"/>
      <c r="F408" s="190"/>
      <c r="G408" s="190"/>
    </row>
    <row r="409" spans="1:7" ht="12.75" customHeight="1">
      <c r="A409" s="190"/>
      <c r="B409" s="190"/>
      <c r="C409" s="190"/>
      <c r="D409" s="190"/>
      <c r="E409" s="190"/>
      <c r="F409" s="190"/>
      <c r="G409" s="190"/>
    </row>
    <row r="410" spans="1:7" ht="12.75" customHeight="1">
      <c r="A410" s="190"/>
      <c r="B410" s="190"/>
      <c r="C410" s="190"/>
      <c r="D410" s="190"/>
      <c r="E410" s="190"/>
      <c r="F410" s="190"/>
      <c r="G410" s="190"/>
    </row>
    <row r="411" spans="1:7" ht="12.75" customHeight="1">
      <c r="A411" s="190"/>
      <c r="B411" s="190"/>
      <c r="C411" s="190"/>
      <c r="D411" s="190"/>
      <c r="E411" s="190"/>
      <c r="F411" s="190"/>
      <c r="G411" s="190"/>
    </row>
    <row r="412" spans="1:7" ht="12.75" customHeight="1">
      <c r="A412" s="190"/>
      <c r="B412" s="190"/>
      <c r="C412" s="190"/>
      <c r="D412" s="190"/>
      <c r="E412" s="190"/>
      <c r="F412" s="190"/>
      <c r="G412" s="190"/>
    </row>
    <row r="413" spans="1:7" ht="12.75" customHeight="1">
      <c r="A413" s="190"/>
      <c r="B413" s="190"/>
      <c r="C413" s="190"/>
      <c r="D413" s="190"/>
      <c r="E413" s="190"/>
      <c r="F413" s="190"/>
      <c r="G413" s="190"/>
    </row>
    <row r="414" spans="1:7" ht="12.75" customHeight="1">
      <c r="A414" s="190"/>
      <c r="B414" s="190"/>
      <c r="C414" s="190"/>
      <c r="D414" s="190"/>
      <c r="E414" s="190"/>
      <c r="F414" s="190"/>
      <c r="G414" s="190"/>
    </row>
    <row r="415" spans="1:7" ht="12.75" customHeight="1">
      <c r="A415" s="190"/>
      <c r="B415" s="190"/>
      <c r="C415" s="190"/>
      <c r="D415" s="190"/>
      <c r="E415" s="190"/>
      <c r="F415" s="190"/>
      <c r="G415" s="190"/>
    </row>
    <row r="416" spans="1:7" ht="12.75" customHeight="1">
      <c r="A416" s="190"/>
      <c r="B416" s="190"/>
      <c r="C416" s="190"/>
      <c r="D416" s="190"/>
      <c r="E416" s="190"/>
      <c r="F416" s="190"/>
      <c r="G416" s="190"/>
    </row>
    <row r="417" spans="1:7" ht="12.75" customHeight="1">
      <c r="A417" s="190"/>
      <c r="B417" s="190"/>
      <c r="C417" s="190"/>
      <c r="D417" s="190"/>
      <c r="E417" s="190"/>
      <c r="F417" s="190"/>
      <c r="G417" s="190"/>
    </row>
    <row r="418" spans="1:7" ht="12.75" customHeight="1">
      <c r="A418" s="190"/>
      <c r="B418" s="190"/>
      <c r="C418" s="190"/>
      <c r="D418" s="190"/>
      <c r="E418" s="190"/>
      <c r="F418" s="190"/>
      <c r="G418" s="190"/>
    </row>
    <row r="419" spans="1:7" ht="12.75" customHeight="1">
      <c r="A419" s="190"/>
      <c r="B419" s="190"/>
      <c r="C419" s="190"/>
      <c r="D419" s="190"/>
      <c r="E419" s="190"/>
      <c r="F419" s="190"/>
      <c r="G419" s="190"/>
    </row>
    <row r="420" spans="1:7" ht="12.75" customHeight="1">
      <c r="A420" s="190"/>
      <c r="B420" s="190"/>
      <c r="C420" s="190"/>
      <c r="D420" s="190"/>
      <c r="E420" s="190"/>
      <c r="F420" s="190"/>
      <c r="G420" s="190"/>
    </row>
    <row r="421" spans="1:7" ht="12.75" customHeight="1">
      <c r="A421" s="190"/>
      <c r="B421" s="190"/>
      <c r="C421" s="190"/>
      <c r="D421" s="190"/>
      <c r="E421" s="190"/>
      <c r="F421" s="190"/>
      <c r="G421" s="190"/>
    </row>
    <row r="422" spans="1:7" ht="12.75" customHeight="1">
      <c r="A422" s="190"/>
      <c r="B422" s="190"/>
      <c r="C422" s="190"/>
      <c r="D422" s="190"/>
      <c r="E422" s="190"/>
      <c r="F422" s="190"/>
      <c r="G422" s="190"/>
    </row>
    <row r="423" spans="1:7" ht="12.75" customHeight="1">
      <c r="A423" s="190"/>
      <c r="B423" s="190"/>
      <c r="C423" s="190"/>
      <c r="D423" s="190"/>
      <c r="E423" s="190"/>
      <c r="F423" s="190"/>
      <c r="G423" s="190"/>
    </row>
    <row r="424" spans="1:7" ht="12.75" customHeight="1">
      <c r="A424" s="190"/>
      <c r="B424" s="190"/>
      <c r="C424" s="190"/>
      <c r="D424" s="190"/>
      <c r="E424" s="190"/>
      <c r="F424" s="190"/>
      <c r="G424" s="190"/>
    </row>
    <row r="425" spans="1:7" ht="12.75" customHeight="1">
      <c r="A425" s="190"/>
      <c r="B425" s="190"/>
      <c r="C425" s="190"/>
      <c r="D425" s="190"/>
      <c r="E425" s="190"/>
      <c r="F425" s="190"/>
      <c r="G425" s="190"/>
    </row>
    <row r="426" spans="1:7" ht="12.75" customHeight="1">
      <c r="A426" s="190"/>
      <c r="B426" s="190"/>
      <c r="C426" s="190"/>
      <c r="D426" s="190"/>
      <c r="E426" s="190"/>
      <c r="F426" s="190"/>
      <c r="G426" s="190"/>
    </row>
    <row r="427" spans="1:7" ht="12.75" customHeight="1">
      <c r="A427" s="190"/>
      <c r="B427" s="190"/>
      <c r="C427" s="190"/>
      <c r="D427" s="190"/>
      <c r="E427" s="190"/>
      <c r="F427" s="190"/>
      <c r="G427" s="190"/>
    </row>
    <row r="428" spans="1:7" ht="12.75" customHeight="1">
      <c r="A428" s="190"/>
      <c r="B428" s="190"/>
      <c r="C428" s="190"/>
      <c r="D428" s="190"/>
      <c r="E428" s="190"/>
      <c r="F428" s="190"/>
      <c r="G428" s="190"/>
    </row>
    <row r="429" spans="1:7" ht="12.75" customHeight="1">
      <c r="A429" s="190"/>
      <c r="B429" s="190"/>
      <c r="C429" s="190"/>
      <c r="D429" s="190"/>
      <c r="E429" s="190"/>
      <c r="F429" s="190"/>
      <c r="G429" s="190"/>
    </row>
    <row r="430" spans="1:7" ht="12.75" customHeight="1">
      <c r="A430" s="190"/>
      <c r="B430" s="190"/>
      <c r="C430" s="190"/>
      <c r="D430" s="190"/>
      <c r="E430" s="190"/>
      <c r="F430" s="190"/>
      <c r="G430" s="190"/>
    </row>
    <row r="431" spans="1:7" ht="12.75" customHeight="1">
      <c r="A431" s="190"/>
      <c r="B431" s="190"/>
      <c r="C431" s="190"/>
      <c r="D431" s="190"/>
      <c r="E431" s="190"/>
      <c r="F431" s="190"/>
      <c r="G431" s="190"/>
    </row>
    <row r="432" spans="1:7" ht="12.75" customHeight="1">
      <c r="A432" s="190"/>
      <c r="B432" s="190"/>
      <c r="C432" s="190"/>
      <c r="D432" s="190"/>
      <c r="E432" s="190"/>
      <c r="F432" s="190"/>
      <c r="G432" s="190"/>
    </row>
    <row r="433" spans="1:7" ht="12.75" customHeight="1">
      <c r="A433" s="190"/>
      <c r="B433" s="190"/>
      <c r="C433" s="190"/>
      <c r="D433" s="190"/>
      <c r="E433" s="190"/>
      <c r="F433" s="190"/>
      <c r="G433" s="190"/>
    </row>
    <row r="434" spans="1:7" ht="12.75" customHeight="1">
      <c r="A434" s="190"/>
      <c r="B434" s="190"/>
      <c r="C434" s="190"/>
      <c r="D434" s="190"/>
      <c r="E434" s="190"/>
      <c r="F434" s="190"/>
      <c r="G434" s="190"/>
    </row>
    <row r="435" spans="1:7" ht="12.75" customHeight="1">
      <c r="A435" s="190"/>
      <c r="B435" s="190"/>
      <c r="C435" s="190"/>
      <c r="D435" s="190"/>
      <c r="E435" s="190"/>
      <c r="F435" s="190"/>
      <c r="G435" s="190"/>
    </row>
    <row r="436" spans="1:7" ht="12.75" customHeight="1">
      <c r="A436" s="190"/>
      <c r="B436" s="190"/>
      <c r="C436" s="190"/>
      <c r="D436" s="190"/>
      <c r="E436" s="190"/>
      <c r="F436" s="190"/>
      <c r="G436" s="190"/>
    </row>
    <row r="437" spans="1:7" ht="12.75" customHeight="1">
      <c r="A437" s="190"/>
      <c r="B437" s="190"/>
      <c r="C437" s="190"/>
      <c r="D437" s="190"/>
      <c r="E437" s="190"/>
      <c r="F437" s="190"/>
      <c r="G437" s="190"/>
    </row>
    <row r="438" spans="1:7" ht="12.75" customHeight="1">
      <c r="A438" s="190"/>
      <c r="B438" s="190"/>
      <c r="C438" s="190"/>
      <c r="D438" s="190"/>
      <c r="E438" s="190"/>
      <c r="F438" s="190"/>
      <c r="G438" s="190"/>
    </row>
    <row r="439" spans="1:7" ht="12.75" customHeight="1">
      <c r="A439" s="190"/>
      <c r="B439" s="190"/>
      <c r="C439" s="190"/>
      <c r="D439" s="190"/>
      <c r="E439" s="190"/>
      <c r="F439" s="190"/>
      <c r="G439" s="190"/>
    </row>
    <row r="440" spans="1:7" ht="12.75" customHeight="1">
      <c r="A440" s="190"/>
      <c r="B440" s="190"/>
      <c r="C440" s="190"/>
      <c r="D440" s="190"/>
      <c r="E440" s="190"/>
      <c r="F440" s="190"/>
      <c r="G440" s="190"/>
    </row>
    <row r="441" spans="1:7" ht="12.75" customHeight="1">
      <c r="A441" s="190"/>
      <c r="B441" s="190"/>
      <c r="C441" s="190"/>
      <c r="D441" s="190"/>
      <c r="E441" s="190"/>
      <c r="F441" s="190"/>
      <c r="G441" s="190"/>
    </row>
    <row r="442" spans="1:7" ht="12.75" customHeight="1">
      <c r="A442" s="190"/>
      <c r="B442" s="190"/>
      <c r="C442" s="190"/>
      <c r="D442" s="190"/>
      <c r="E442" s="190"/>
      <c r="F442" s="190"/>
      <c r="G442" s="190"/>
    </row>
    <row r="443" spans="1:7" ht="12.75" customHeight="1">
      <c r="A443" s="190"/>
      <c r="B443" s="190"/>
      <c r="C443" s="190"/>
      <c r="D443" s="190"/>
      <c r="E443" s="190"/>
      <c r="F443" s="190"/>
      <c r="G443" s="190"/>
    </row>
    <row r="444" spans="1:7" ht="12.75" customHeight="1">
      <c r="A444" s="190"/>
      <c r="B444" s="190"/>
      <c r="C444" s="190"/>
      <c r="D444" s="190"/>
      <c r="E444" s="190"/>
      <c r="F444" s="190"/>
      <c r="G444" s="190"/>
    </row>
    <row r="445" spans="1:7" ht="12.75" customHeight="1">
      <c r="A445" s="190"/>
      <c r="B445" s="190"/>
      <c r="C445" s="190"/>
      <c r="D445" s="190"/>
      <c r="E445" s="190"/>
      <c r="F445" s="190"/>
      <c r="G445" s="190"/>
    </row>
    <row r="446" spans="1:7" ht="12.75" customHeight="1">
      <c r="A446" s="190"/>
      <c r="B446" s="190"/>
      <c r="C446" s="190"/>
      <c r="D446" s="190"/>
      <c r="E446" s="190"/>
      <c r="F446" s="190"/>
      <c r="G446" s="190"/>
    </row>
    <row r="447" spans="1:7" ht="12.75" customHeight="1">
      <c r="A447" s="190"/>
      <c r="B447" s="190"/>
      <c r="C447" s="190"/>
      <c r="D447" s="190"/>
      <c r="E447" s="190"/>
      <c r="F447" s="190"/>
      <c r="G447" s="190"/>
    </row>
    <row r="448" spans="1:7" ht="12.75" customHeight="1">
      <c r="A448" s="190"/>
      <c r="B448" s="190"/>
      <c r="C448" s="190"/>
      <c r="D448" s="190"/>
      <c r="E448" s="190"/>
      <c r="F448" s="190"/>
      <c r="G448" s="190"/>
    </row>
    <row r="449" spans="1:7" ht="12.75" customHeight="1">
      <c r="A449" s="190"/>
      <c r="B449" s="190"/>
      <c r="C449" s="190"/>
      <c r="D449" s="190"/>
      <c r="E449" s="190"/>
      <c r="F449" s="190"/>
      <c r="G449" s="190"/>
    </row>
    <row r="450" spans="1:7" ht="12.75" customHeight="1">
      <c r="A450" s="190"/>
      <c r="B450" s="190"/>
      <c r="C450" s="190"/>
      <c r="D450" s="190"/>
      <c r="E450" s="190"/>
      <c r="F450" s="190"/>
      <c r="G450" s="190"/>
    </row>
    <row r="451" spans="1:7" ht="12.75" customHeight="1">
      <c r="A451" s="190"/>
      <c r="B451" s="190"/>
      <c r="C451" s="190"/>
      <c r="D451" s="190"/>
      <c r="E451" s="190"/>
      <c r="F451" s="190"/>
      <c r="G451" s="190"/>
    </row>
    <row r="452" spans="1:7" ht="12.75" customHeight="1">
      <c r="A452" s="190"/>
      <c r="B452" s="190"/>
      <c r="C452" s="190"/>
      <c r="D452" s="190"/>
      <c r="E452" s="190"/>
      <c r="F452" s="190"/>
      <c r="G452" s="190"/>
    </row>
    <row r="453" spans="1:7" ht="12.75" customHeight="1">
      <c r="A453" s="190"/>
      <c r="B453" s="190"/>
      <c r="C453" s="190"/>
      <c r="D453" s="190"/>
      <c r="E453" s="190"/>
      <c r="F453" s="190"/>
      <c r="G453" s="190"/>
    </row>
    <row r="454" spans="1:7" ht="12.75" customHeight="1">
      <c r="A454" s="190"/>
      <c r="B454" s="190"/>
      <c r="C454" s="190"/>
      <c r="D454" s="190"/>
      <c r="E454" s="190"/>
      <c r="F454" s="190"/>
      <c r="G454" s="190"/>
    </row>
    <row r="455" spans="1:7" ht="12.75" customHeight="1">
      <c r="A455" s="190"/>
      <c r="B455" s="190"/>
      <c r="C455" s="190"/>
      <c r="D455" s="190"/>
      <c r="E455" s="190"/>
      <c r="F455" s="190"/>
      <c r="G455" s="190"/>
    </row>
    <row r="456" spans="1:7" ht="12.75" customHeight="1">
      <c r="A456" s="190"/>
      <c r="B456" s="190"/>
      <c r="C456" s="190"/>
      <c r="D456" s="190"/>
      <c r="E456" s="190"/>
      <c r="F456" s="190"/>
      <c r="G456" s="190"/>
    </row>
    <row r="457" spans="1:7" ht="12.75" customHeight="1">
      <c r="A457" s="190"/>
      <c r="B457" s="190"/>
      <c r="C457" s="190"/>
      <c r="D457" s="190"/>
      <c r="E457" s="190"/>
      <c r="F457" s="190"/>
      <c r="G457" s="190"/>
    </row>
    <row r="458" spans="1:7" ht="12.75" customHeight="1">
      <c r="A458" s="190"/>
      <c r="B458" s="190"/>
      <c r="C458" s="190"/>
      <c r="D458" s="190"/>
      <c r="E458" s="190"/>
      <c r="F458" s="190"/>
      <c r="G458" s="190"/>
    </row>
    <row r="459" spans="1:7" ht="12.75" customHeight="1">
      <c r="A459" s="190"/>
      <c r="B459" s="190"/>
      <c r="C459" s="190"/>
      <c r="D459" s="190"/>
      <c r="E459" s="190"/>
      <c r="F459" s="190"/>
      <c r="G459" s="190"/>
    </row>
    <row r="460" spans="1:7" ht="12.75" customHeight="1">
      <c r="A460" s="190"/>
      <c r="B460" s="190"/>
      <c r="C460" s="190"/>
      <c r="D460" s="190"/>
      <c r="E460" s="190"/>
      <c r="F460" s="190"/>
      <c r="G460" s="190"/>
    </row>
    <row r="461" spans="1:7" ht="12.75" customHeight="1">
      <c r="A461" s="190"/>
      <c r="B461" s="190"/>
      <c r="C461" s="190"/>
      <c r="D461" s="190"/>
      <c r="E461" s="190"/>
      <c r="F461" s="190"/>
      <c r="G461" s="190"/>
    </row>
    <row r="462" spans="1:7" ht="12.75" customHeight="1">
      <c r="A462" s="190"/>
      <c r="B462" s="190"/>
      <c r="C462" s="190"/>
      <c r="D462" s="190"/>
      <c r="E462" s="190"/>
      <c r="F462" s="190"/>
      <c r="G462" s="190"/>
    </row>
    <row r="463" spans="1:7" ht="12.75" customHeight="1">
      <c r="A463" s="190"/>
      <c r="B463" s="190"/>
      <c r="C463" s="190"/>
      <c r="D463" s="190"/>
      <c r="E463" s="190"/>
      <c r="F463" s="190"/>
      <c r="G463" s="190"/>
    </row>
    <row r="464" spans="1:7" ht="12.75" customHeight="1">
      <c r="A464" s="190"/>
      <c r="B464" s="190"/>
      <c r="C464" s="190"/>
      <c r="D464" s="190"/>
      <c r="E464" s="190"/>
      <c r="F464" s="190"/>
      <c r="G464" s="190"/>
    </row>
    <row r="465" spans="1:7" ht="12.75" customHeight="1">
      <c r="A465" s="190"/>
      <c r="B465" s="190"/>
      <c r="C465" s="190"/>
      <c r="D465" s="190"/>
      <c r="E465" s="190"/>
      <c r="F465" s="190"/>
      <c r="G465" s="190"/>
    </row>
    <row r="466" spans="1:7" ht="12.75" customHeight="1">
      <c r="A466" s="190"/>
      <c r="B466" s="190"/>
      <c r="C466" s="190"/>
      <c r="D466" s="190"/>
      <c r="E466" s="190"/>
      <c r="F466" s="190"/>
      <c r="G466" s="190"/>
    </row>
    <row r="467" spans="1:7" ht="12.75" customHeight="1">
      <c r="A467" s="190"/>
      <c r="B467" s="190"/>
      <c r="C467" s="190"/>
      <c r="D467" s="190"/>
      <c r="E467" s="190"/>
      <c r="F467" s="190"/>
      <c r="G467" s="190"/>
    </row>
    <row r="468" spans="1:7" ht="12.75" customHeight="1">
      <c r="A468" s="190"/>
      <c r="B468" s="190"/>
      <c r="C468" s="190"/>
      <c r="D468" s="190"/>
      <c r="E468" s="190"/>
      <c r="F468" s="190"/>
      <c r="G468" s="190"/>
    </row>
    <row r="469" spans="1:7" ht="12.75" customHeight="1">
      <c r="A469" s="190"/>
      <c r="B469" s="190"/>
      <c r="C469" s="190"/>
      <c r="D469" s="190"/>
      <c r="E469" s="190"/>
      <c r="F469" s="190"/>
      <c r="G469" s="190"/>
    </row>
    <row r="470" spans="1:7" ht="12.75" customHeight="1">
      <c r="A470" s="190"/>
      <c r="B470" s="190"/>
      <c r="C470" s="190"/>
      <c r="D470" s="190"/>
      <c r="E470" s="190"/>
      <c r="F470" s="190"/>
      <c r="G470" s="190"/>
    </row>
    <row r="471" spans="1:7" ht="12.75" customHeight="1">
      <c r="A471" s="190"/>
      <c r="B471" s="190"/>
      <c r="C471" s="190"/>
      <c r="D471" s="190"/>
      <c r="E471" s="190"/>
      <c r="F471" s="190"/>
      <c r="G471" s="190"/>
    </row>
    <row r="472" spans="1:7" ht="12.75" customHeight="1">
      <c r="A472" s="190"/>
      <c r="B472" s="190"/>
      <c r="C472" s="190"/>
      <c r="D472" s="190"/>
      <c r="E472" s="190"/>
      <c r="F472" s="190"/>
      <c r="G472" s="190"/>
    </row>
    <row r="473" spans="1:7" ht="12.75" customHeight="1">
      <c r="A473" s="190"/>
      <c r="B473" s="190"/>
      <c r="C473" s="190"/>
      <c r="D473" s="190"/>
      <c r="E473" s="190"/>
      <c r="F473" s="190"/>
      <c r="G473" s="190"/>
    </row>
    <row r="474" spans="1:7" ht="12.75" customHeight="1">
      <c r="A474" s="190"/>
      <c r="B474" s="190"/>
      <c r="C474" s="190"/>
      <c r="D474" s="190"/>
      <c r="E474" s="190"/>
      <c r="F474" s="190"/>
      <c r="G474" s="190"/>
    </row>
    <row r="475" spans="1:7" ht="12.75" customHeight="1">
      <c r="A475" s="190"/>
      <c r="B475" s="190"/>
      <c r="C475" s="190"/>
      <c r="D475" s="190"/>
      <c r="E475" s="190"/>
      <c r="F475" s="190"/>
      <c r="G475" s="190"/>
    </row>
    <row r="476" spans="1:7" ht="12.75" customHeight="1">
      <c r="A476" s="190"/>
      <c r="B476" s="190"/>
      <c r="C476" s="190"/>
      <c r="D476" s="190"/>
      <c r="E476" s="190"/>
      <c r="F476" s="190"/>
      <c r="G476" s="190"/>
    </row>
    <row r="477" spans="1:7" ht="12.75" customHeight="1">
      <c r="A477" s="190"/>
      <c r="B477" s="190"/>
      <c r="C477" s="190"/>
      <c r="D477" s="190"/>
      <c r="E477" s="190"/>
      <c r="F477" s="190"/>
      <c r="G477" s="190"/>
    </row>
    <row r="478" spans="1:7" ht="12.75" customHeight="1">
      <c r="A478" s="190"/>
      <c r="B478" s="190"/>
      <c r="C478" s="190"/>
      <c r="D478" s="190"/>
      <c r="E478" s="190"/>
      <c r="F478" s="190"/>
      <c r="G478" s="190"/>
    </row>
    <row r="479" spans="1:7" ht="12.75" customHeight="1">
      <c r="A479" s="190"/>
      <c r="B479" s="190"/>
      <c r="C479" s="190"/>
      <c r="D479" s="190"/>
      <c r="E479" s="190"/>
      <c r="F479" s="190"/>
      <c r="G479" s="190"/>
    </row>
    <row r="480" spans="1:7" ht="12.75" customHeight="1">
      <c r="A480" s="190"/>
      <c r="B480" s="190"/>
      <c r="C480" s="190"/>
      <c r="D480" s="190"/>
      <c r="E480" s="190"/>
      <c r="F480" s="190"/>
      <c r="G480" s="190"/>
    </row>
    <row r="481" spans="1:7" ht="12.75" customHeight="1">
      <c r="A481" s="190"/>
      <c r="B481" s="190"/>
      <c r="C481" s="190"/>
      <c r="D481" s="190"/>
      <c r="E481" s="190"/>
      <c r="F481" s="190"/>
      <c r="G481" s="190"/>
    </row>
    <row r="482" spans="1:7" ht="12.75" customHeight="1">
      <c r="A482" s="190"/>
      <c r="B482" s="190"/>
      <c r="C482" s="190"/>
      <c r="D482" s="190"/>
      <c r="E482" s="190"/>
      <c r="F482" s="190"/>
      <c r="G482" s="190"/>
    </row>
    <row r="483" spans="1:7" ht="12.75" customHeight="1">
      <c r="A483" s="190"/>
      <c r="B483" s="190"/>
      <c r="C483" s="190"/>
      <c r="D483" s="190"/>
      <c r="E483" s="190"/>
      <c r="F483" s="190"/>
      <c r="G483" s="190"/>
    </row>
    <row r="484" spans="1:7" ht="12.75" customHeight="1">
      <c r="A484" s="190"/>
      <c r="B484" s="190"/>
      <c r="C484" s="190"/>
      <c r="D484" s="190"/>
      <c r="E484" s="190"/>
      <c r="F484" s="190"/>
      <c r="G484" s="190"/>
    </row>
    <row r="485" spans="1:7" ht="12.75" customHeight="1">
      <c r="A485" s="190"/>
      <c r="B485" s="190"/>
      <c r="C485" s="190"/>
      <c r="D485" s="190"/>
      <c r="E485" s="190"/>
      <c r="F485" s="190"/>
      <c r="G485" s="190"/>
    </row>
    <row r="486" spans="1:7" ht="12.75" customHeight="1">
      <c r="A486" s="190"/>
      <c r="B486" s="190"/>
      <c r="C486" s="190"/>
      <c r="D486" s="190"/>
      <c r="E486" s="190"/>
      <c r="F486" s="190"/>
      <c r="G486" s="190"/>
    </row>
    <row r="487" spans="1:7" ht="12.75" customHeight="1">
      <c r="A487" s="190"/>
      <c r="B487" s="190"/>
      <c r="C487" s="190"/>
      <c r="D487" s="190"/>
      <c r="E487" s="190"/>
      <c r="F487" s="190"/>
      <c r="G487" s="190"/>
    </row>
    <row r="488" spans="1:7" ht="12.75" customHeight="1">
      <c r="A488" s="190"/>
      <c r="B488" s="190"/>
      <c r="C488" s="190"/>
      <c r="D488" s="190"/>
      <c r="E488" s="190"/>
      <c r="F488" s="190"/>
      <c r="G488" s="190"/>
    </row>
    <row r="489" spans="1:7" ht="12.75" customHeight="1">
      <c r="A489" s="190"/>
      <c r="B489" s="190"/>
      <c r="C489" s="190"/>
      <c r="D489" s="190"/>
      <c r="E489" s="190"/>
      <c r="F489" s="190"/>
      <c r="G489" s="190"/>
    </row>
    <row r="490" spans="1:7" ht="12.75" customHeight="1">
      <c r="A490" s="190"/>
      <c r="B490" s="190"/>
      <c r="C490" s="190"/>
      <c r="D490" s="190"/>
      <c r="E490" s="190"/>
      <c r="F490" s="190"/>
      <c r="G490" s="190"/>
    </row>
    <row r="491" spans="1:7" ht="12.75" customHeight="1">
      <c r="A491" s="190"/>
      <c r="B491" s="190"/>
      <c r="C491" s="190"/>
      <c r="D491" s="190"/>
      <c r="E491" s="190"/>
      <c r="F491" s="190"/>
      <c r="G491" s="190"/>
    </row>
    <row r="492" spans="1:7" ht="12.75" customHeight="1">
      <c r="A492" s="190"/>
      <c r="B492" s="190"/>
      <c r="C492" s="190"/>
      <c r="D492" s="190"/>
      <c r="E492" s="190"/>
      <c r="F492" s="190"/>
      <c r="G492" s="190"/>
    </row>
    <row r="493" spans="1:7" ht="12.75" customHeight="1">
      <c r="A493" s="190"/>
      <c r="B493" s="190"/>
      <c r="C493" s="190"/>
      <c r="D493" s="190"/>
      <c r="E493" s="190"/>
      <c r="F493" s="190"/>
      <c r="G493" s="190"/>
    </row>
    <row r="494" spans="1:7" ht="12.75" customHeight="1">
      <c r="A494" s="190"/>
      <c r="B494" s="190"/>
      <c r="C494" s="190"/>
      <c r="D494" s="190"/>
      <c r="E494" s="190"/>
      <c r="F494" s="190"/>
      <c r="G494" s="190"/>
    </row>
    <row r="495" spans="1:7" ht="12.75" customHeight="1">
      <c r="A495" s="190"/>
      <c r="B495" s="190"/>
      <c r="C495" s="190"/>
      <c r="D495" s="190"/>
      <c r="E495" s="190"/>
      <c r="F495" s="190"/>
      <c r="G495" s="190"/>
    </row>
    <row r="496" spans="1:7" ht="12.75" customHeight="1">
      <c r="A496" s="190"/>
      <c r="B496" s="190"/>
      <c r="C496" s="190"/>
      <c r="D496" s="190"/>
      <c r="E496" s="190"/>
      <c r="F496" s="190"/>
      <c r="G496" s="190"/>
    </row>
    <row r="497" spans="1:7" ht="12.75" customHeight="1">
      <c r="A497" s="190"/>
      <c r="B497" s="190"/>
      <c r="C497" s="190"/>
      <c r="D497" s="190"/>
      <c r="E497" s="190"/>
      <c r="F497" s="190"/>
      <c r="G497" s="190"/>
    </row>
    <row r="498" spans="1:7" ht="12.75" customHeight="1">
      <c r="A498" s="190"/>
      <c r="B498" s="190"/>
      <c r="C498" s="190"/>
      <c r="D498" s="190"/>
      <c r="E498" s="190"/>
      <c r="F498" s="190"/>
      <c r="G498" s="190"/>
    </row>
    <row r="499" spans="1:7" ht="12.75" customHeight="1">
      <c r="A499" s="190"/>
      <c r="B499" s="190"/>
      <c r="C499" s="190"/>
      <c r="D499" s="190"/>
      <c r="E499" s="190"/>
      <c r="F499" s="190"/>
      <c r="G499" s="190"/>
    </row>
    <row r="500" spans="1:7" ht="12.75" customHeight="1">
      <c r="A500" s="190"/>
      <c r="B500" s="190"/>
      <c r="C500" s="190"/>
      <c r="D500" s="190"/>
      <c r="E500" s="190"/>
      <c r="F500" s="190"/>
      <c r="G500" s="190"/>
    </row>
    <row r="501" spans="1:7" ht="12.75" customHeight="1">
      <c r="A501" s="190"/>
      <c r="B501" s="190"/>
      <c r="C501" s="190"/>
      <c r="D501" s="190"/>
      <c r="E501" s="190"/>
      <c r="F501" s="190"/>
      <c r="G501" s="190"/>
    </row>
    <row r="502" spans="1:7" ht="12.75" customHeight="1">
      <c r="A502" s="190"/>
      <c r="B502" s="190"/>
      <c r="C502" s="190"/>
      <c r="D502" s="190"/>
      <c r="E502" s="190"/>
      <c r="F502" s="190"/>
      <c r="G502" s="190"/>
    </row>
    <row r="503" spans="1:7" ht="12.75" customHeight="1">
      <c r="A503" s="190"/>
      <c r="B503" s="190"/>
      <c r="C503" s="190"/>
      <c r="D503" s="190"/>
      <c r="E503" s="190"/>
      <c r="F503" s="190"/>
      <c r="G503" s="190"/>
    </row>
    <row r="504" spans="1:7" ht="12.75" customHeight="1">
      <c r="A504" s="190"/>
      <c r="B504" s="190"/>
      <c r="C504" s="190"/>
      <c r="D504" s="190"/>
      <c r="E504" s="190"/>
      <c r="F504" s="190"/>
      <c r="G504" s="190"/>
    </row>
    <row r="505" spans="1:7" ht="12.75" customHeight="1">
      <c r="A505" s="190"/>
      <c r="B505" s="190"/>
      <c r="C505" s="190"/>
      <c r="D505" s="190"/>
      <c r="E505" s="190"/>
      <c r="F505" s="190"/>
      <c r="G505" s="190"/>
    </row>
    <row r="506" spans="1:7" ht="12.75" customHeight="1">
      <c r="A506" s="190"/>
      <c r="B506" s="190"/>
      <c r="C506" s="190"/>
      <c r="D506" s="190"/>
      <c r="E506" s="190"/>
      <c r="F506" s="190"/>
      <c r="G506" s="190"/>
    </row>
    <row r="507" spans="1:7" ht="12.75" customHeight="1">
      <c r="A507" s="190"/>
      <c r="B507" s="190"/>
      <c r="C507" s="190"/>
      <c r="D507" s="190"/>
      <c r="E507" s="190"/>
      <c r="F507" s="190"/>
      <c r="G507" s="190"/>
    </row>
    <row r="508" spans="1:7" ht="12.75" customHeight="1">
      <c r="A508" s="190"/>
      <c r="B508" s="190"/>
      <c r="C508" s="190"/>
      <c r="D508" s="190"/>
      <c r="E508" s="190"/>
      <c r="F508" s="190"/>
      <c r="G508" s="190"/>
    </row>
    <row r="509" spans="1:7" ht="12.75" customHeight="1">
      <c r="A509" s="190"/>
      <c r="B509" s="190"/>
      <c r="C509" s="190"/>
      <c r="D509" s="190"/>
      <c r="E509" s="190"/>
      <c r="F509" s="190"/>
      <c r="G509" s="190"/>
    </row>
    <row r="510" spans="1:7" ht="12.75" customHeight="1">
      <c r="A510" s="190"/>
      <c r="B510" s="190"/>
      <c r="C510" s="190"/>
      <c r="D510" s="190"/>
      <c r="E510" s="190"/>
      <c r="F510" s="190"/>
      <c r="G510" s="190"/>
    </row>
    <row r="511" spans="1:7" ht="12.75" customHeight="1">
      <c r="A511" s="190"/>
      <c r="B511" s="190"/>
      <c r="C511" s="190"/>
      <c r="D511" s="190"/>
      <c r="E511" s="190"/>
      <c r="F511" s="190"/>
      <c r="G511" s="190"/>
    </row>
    <row r="512" spans="1:7" ht="12.75" customHeight="1">
      <c r="A512" s="190"/>
      <c r="B512" s="190"/>
      <c r="C512" s="190"/>
      <c r="D512" s="190"/>
      <c r="E512" s="190"/>
      <c r="F512" s="190"/>
      <c r="G512" s="190"/>
    </row>
    <row r="513" spans="1:7" ht="12.75" customHeight="1">
      <c r="A513" s="190"/>
      <c r="B513" s="190"/>
      <c r="C513" s="190"/>
      <c r="D513" s="190"/>
      <c r="E513" s="190"/>
      <c r="F513" s="190"/>
      <c r="G513" s="190"/>
    </row>
    <row r="514" spans="1:7" ht="12.75" customHeight="1">
      <c r="A514" s="190"/>
      <c r="B514" s="190"/>
      <c r="C514" s="190"/>
      <c r="D514" s="190"/>
      <c r="E514" s="190"/>
      <c r="F514" s="190"/>
      <c r="G514" s="190"/>
    </row>
    <row r="515" spans="1:7" ht="12.75" customHeight="1">
      <c r="A515" s="190"/>
      <c r="B515" s="190"/>
      <c r="C515" s="190"/>
      <c r="D515" s="190"/>
      <c r="E515" s="190"/>
      <c r="F515" s="190"/>
      <c r="G515" s="190"/>
    </row>
    <row r="516" spans="1:7" ht="12.75" customHeight="1">
      <c r="A516" s="190"/>
      <c r="B516" s="190"/>
      <c r="C516" s="190"/>
      <c r="D516" s="190"/>
      <c r="E516" s="190"/>
      <c r="F516" s="190"/>
      <c r="G516" s="190"/>
    </row>
    <row r="517" spans="1:7" ht="12.75" customHeight="1">
      <c r="A517" s="190"/>
      <c r="B517" s="190"/>
      <c r="C517" s="190"/>
      <c r="D517" s="190"/>
      <c r="E517" s="190"/>
      <c r="F517" s="190"/>
      <c r="G517" s="190"/>
    </row>
    <row r="518" spans="1:7" ht="12.75" customHeight="1">
      <c r="A518" s="190"/>
      <c r="B518" s="190"/>
      <c r="C518" s="190"/>
      <c r="D518" s="190"/>
      <c r="E518" s="190"/>
      <c r="F518" s="190"/>
      <c r="G518" s="190"/>
    </row>
    <row r="519" spans="1:7" ht="12.75" customHeight="1">
      <c r="A519" s="190"/>
      <c r="B519" s="190"/>
      <c r="C519" s="190"/>
      <c r="D519" s="190"/>
      <c r="E519" s="190"/>
      <c r="F519" s="190"/>
      <c r="G519" s="190"/>
    </row>
    <row r="520" spans="1:7" ht="12.75" customHeight="1">
      <c r="A520" s="190"/>
      <c r="B520" s="190"/>
      <c r="C520" s="190"/>
      <c r="D520" s="190"/>
      <c r="E520" s="190"/>
      <c r="F520" s="190"/>
      <c r="G520" s="190"/>
    </row>
    <row r="521" spans="1:7" ht="12.75" customHeight="1">
      <c r="A521" s="190"/>
      <c r="B521" s="190"/>
      <c r="C521" s="190"/>
      <c r="D521" s="190"/>
      <c r="E521" s="190"/>
      <c r="F521" s="190"/>
      <c r="G521" s="190"/>
    </row>
    <row r="522" spans="1:7" ht="12.75" customHeight="1">
      <c r="A522" s="190"/>
      <c r="B522" s="190"/>
      <c r="C522" s="190"/>
      <c r="D522" s="190"/>
      <c r="E522" s="190"/>
      <c r="F522" s="190"/>
      <c r="G522" s="190"/>
    </row>
    <row r="523" spans="1:7" ht="12.75" customHeight="1">
      <c r="A523" s="190"/>
      <c r="B523" s="190"/>
      <c r="C523" s="190"/>
      <c r="D523" s="190"/>
      <c r="E523" s="190"/>
      <c r="F523" s="190"/>
      <c r="G523" s="190"/>
    </row>
    <row r="524" spans="1:7" ht="12.75" customHeight="1">
      <c r="A524" s="190"/>
      <c r="B524" s="190"/>
      <c r="C524" s="190"/>
      <c r="D524" s="190"/>
      <c r="E524" s="190"/>
      <c r="F524" s="190"/>
      <c r="G524" s="190"/>
    </row>
    <row r="525" spans="1:7" ht="12.75" customHeight="1">
      <c r="A525" s="190"/>
      <c r="B525" s="190"/>
      <c r="C525" s="190"/>
      <c r="D525" s="190"/>
      <c r="E525" s="190"/>
      <c r="F525" s="190"/>
      <c r="G525" s="190"/>
    </row>
    <row r="526" spans="1:7" ht="12.75" customHeight="1">
      <c r="A526" s="190"/>
      <c r="B526" s="190"/>
      <c r="C526" s="190"/>
      <c r="D526" s="190"/>
      <c r="E526" s="190"/>
      <c r="F526" s="190"/>
      <c r="G526" s="190"/>
    </row>
    <row r="527" spans="1:7" ht="12.75" customHeight="1">
      <c r="A527" s="190"/>
      <c r="B527" s="190"/>
      <c r="C527" s="190"/>
      <c r="D527" s="190"/>
      <c r="E527" s="190"/>
      <c r="F527" s="190"/>
      <c r="G527" s="190"/>
    </row>
    <row r="528" spans="1:7" ht="12.75" customHeight="1">
      <c r="A528" s="190"/>
      <c r="B528" s="190"/>
      <c r="C528" s="190"/>
      <c r="D528" s="190"/>
      <c r="E528" s="190"/>
      <c r="F528" s="190"/>
      <c r="G528" s="190"/>
    </row>
    <row r="529" spans="1:7" ht="12.75" customHeight="1">
      <c r="A529" s="190"/>
      <c r="B529" s="190"/>
      <c r="C529" s="190"/>
      <c r="D529" s="190"/>
      <c r="E529" s="190"/>
      <c r="F529" s="190"/>
      <c r="G529" s="190"/>
    </row>
    <row r="530" spans="1:7" ht="12.75" customHeight="1">
      <c r="A530" s="190"/>
      <c r="B530" s="190"/>
      <c r="C530" s="190"/>
      <c r="D530" s="190"/>
      <c r="E530" s="190"/>
      <c r="F530" s="190"/>
      <c r="G530" s="190"/>
    </row>
    <row r="531" spans="1:7" ht="12.75" customHeight="1">
      <c r="A531" s="190"/>
      <c r="B531" s="190"/>
      <c r="C531" s="190"/>
      <c r="D531" s="190"/>
      <c r="E531" s="190"/>
      <c r="F531" s="190"/>
      <c r="G531" s="190"/>
    </row>
    <row r="532" spans="1:7" ht="12.75" customHeight="1">
      <c r="A532" s="190"/>
      <c r="B532" s="190"/>
      <c r="C532" s="190"/>
      <c r="D532" s="190"/>
      <c r="E532" s="190"/>
      <c r="F532" s="190"/>
      <c r="G532" s="190"/>
    </row>
    <row r="533" spans="1:7" ht="12.75" customHeight="1">
      <c r="A533" s="190"/>
      <c r="B533" s="190"/>
      <c r="C533" s="190"/>
      <c r="D533" s="190"/>
      <c r="E533" s="190"/>
      <c r="F533" s="190"/>
      <c r="G533" s="190"/>
    </row>
    <row r="534" spans="1:7" ht="12.75" customHeight="1">
      <c r="A534" s="190"/>
      <c r="B534" s="190"/>
      <c r="C534" s="190"/>
      <c r="D534" s="190"/>
      <c r="E534" s="190"/>
      <c r="F534" s="190"/>
      <c r="G534" s="190"/>
    </row>
    <row r="535" spans="1:7" ht="12.75" customHeight="1">
      <c r="A535" s="190"/>
      <c r="B535" s="190"/>
      <c r="C535" s="190"/>
      <c r="D535" s="190"/>
      <c r="E535" s="190"/>
      <c r="F535" s="190"/>
      <c r="G535" s="190"/>
    </row>
    <row r="536" spans="1:7" ht="12.75" customHeight="1">
      <c r="A536" s="190"/>
      <c r="B536" s="190"/>
      <c r="C536" s="190"/>
      <c r="D536" s="190"/>
      <c r="E536" s="190"/>
      <c r="F536" s="190"/>
      <c r="G536" s="190"/>
    </row>
    <row r="537" spans="1:7" ht="12.75" customHeight="1">
      <c r="A537" s="190"/>
      <c r="B537" s="190"/>
      <c r="C537" s="190"/>
      <c r="D537" s="190"/>
      <c r="E537" s="190"/>
      <c r="F537" s="190"/>
      <c r="G537" s="190"/>
    </row>
    <row r="538" spans="1:7" ht="12.75" customHeight="1">
      <c r="A538" s="190"/>
      <c r="B538" s="190"/>
      <c r="C538" s="190"/>
      <c r="D538" s="190"/>
      <c r="E538" s="190"/>
      <c r="F538" s="190"/>
      <c r="G538" s="190"/>
    </row>
    <row r="539" spans="1:7" ht="12.75" customHeight="1">
      <c r="A539" s="190"/>
      <c r="B539" s="190"/>
      <c r="C539" s="190"/>
      <c r="D539" s="190"/>
      <c r="E539" s="190"/>
      <c r="F539" s="190"/>
      <c r="G539" s="190"/>
    </row>
    <row r="540" spans="1:7" ht="12.75" customHeight="1">
      <c r="A540" s="190"/>
      <c r="B540" s="190"/>
      <c r="C540" s="190"/>
      <c r="D540" s="190"/>
      <c r="E540" s="190"/>
      <c r="F540" s="190"/>
      <c r="G540" s="190"/>
    </row>
    <row r="541" spans="1:7" ht="12.75" customHeight="1">
      <c r="A541" s="190"/>
      <c r="B541" s="190"/>
      <c r="C541" s="190"/>
      <c r="D541" s="190"/>
      <c r="E541" s="190"/>
      <c r="F541" s="190"/>
      <c r="G541" s="190"/>
    </row>
    <row r="542" spans="1:7" ht="12.75" customHeight="1">
      <c r="A542" s="190"/>
      <c r="B542" s="190"/>
      <c r="C542" s="190"/>
      <c r="D542" s="190"/>
      <c r="E542" s="190"/>
      <c r="F542" s="190"/>
      <c r="G542" s="190"/>
    </row>
    <row r="543" spans="1:7" ht="12.75" customHeight="1">
      <c r="A543" s="190"/>
      <c r="B543" s="190"/>
      <c r="C543" s="190"/>
      <c r="D543" s="190"/>
      <c r="E543" s="190"/>
      <c r="F543" s="190"/>
      <c r="G543" s="190"/>
    </row>
    <row r="544" spans="1:7" ht="12.75" customHeight="1">
      <c r="A544" s="190"/>
      <c r="B544" s="190"/>
      <c r="C544" s="190"/>
      <c r="D544" s="190"/>
      <c r="E544" s="190"/>
      <c r="F544" s="190"/>
      <c r="G544" s="190"/>
    </row>
    <row r="545" spans="1:7" ht="12.75" customHeight="1">
      <c r="A545" s="190"/>
      <c r="B545" s="190"/>
      <c r="C545" s="190"/>
      <c r="D545" s="190"/>
      <c r="E545" s="190"/>
      <c r="F545" s="190"/>
      <c r="G545" s="190"/>
    </row>
    <row r="546" spans="1:7" ht="12.75" customHeight="1">
      <c r="A546" s="190"/>
      <c r="B546" s="190"/>
      <c r="C546" s="190"/>
      <c r="D546" s="190"/>
      <c r="E546" s="190"/>
      <c r="F546" s="190"/>
      <c r="G546" s="190"/>
    </row>
    <row r="547" spans="1:7" ht="12.75" customHeight="1">
      <c r="A547" s="190"/>
      <c r="B547" s="190"/>
      <c r="C547" s="190"/>
      <c r="D547" s="190"/>
      <c r="E547" s="190"/>
      <c r="F547" s="190"/>
      <c r="G547" s="190"/>
    </row>
    <row r="548" spans="1:7" ht="12.75" customHeight="1">
      <c r="A548" s="190"/>
      <c r="B548" s="190"/>
      <c r="C548" s="190"/>
      <c r="D548" s="190"/>
      <c r="E548" s="190"/>
      <c r="F548" s="190"/>
      <c r="G548" s="190"/>
    </row>
    <row r="549" spans="1:7" ht="12.75" customHeight="1">
      <c r="A549" s="190"/>
      <c r="B549" s="190"/>
      <c r="C549" s="190"/>
      <c r="D549" s="190"/>
      <c r="E549" s="190"/>
      <c r="F549" s="190"/>
      <c r="G549" s="190"/>
    </row>
    <row r="550" spans="1:7" ht="12.75" customHeight="1">
      <c r="A550" s="190"/>
      <c r="B550" s="190"/>
      <c r="C550" s="190"/>
      <c r="D550" s="190"/>
      <c r="E550" s="190"/>
      <c r="F550" s="190"/>
      <c r="G550" s="190"/>
    </row>
    <row r="551" spans="1:7" ht="12.75" customHeight="1">
      <c r="A551" s="190"/>
      <c r="B551" s="190"/>
      <c r="C551" s="190"/>
      <c r="D551" s="190"/>
      <c r="E551" s="190"/>
      <c r="F551" s="190"/>
      <c r="G551" s="190"/>
    </row>
    <row r="552" spans="1:7" ht="12.75" customHeight="1">
      <c r="A552" s="190"/>
      <c r="B552" s="190"/>
      <c r="C552" s="190"/>
      <c r="D552" s="190"/>
      <c r="E552" s="190"/>
      <c r="F552" s="190"/>
      <c r="G552" s="190"/>
    </row>
    <row r="553" spans="1:7" ht="12.75" customHeight="1">
      <c r="A553" s="190"/>
      <c r="B553" s="190"/>
      <c r="C553" s="190"/>
      <c r="D553" s="190"/>
      <c r="E553" s="190"/>
      <c r="F553" s="190"/>
      <c r="G553" s="190"/>
    </row>
    <row r="554" spans="1:7" ht="12.75" customHeight="1">
      <c r="A554" s="190"/>
      <c r="B554" s="190"/>
      <c r="C554" s="190"/>
      <c r="D554" s="190"/>
      <c r="E554" s="190"/>
      <c r="F554" s="190"/>
      <c r="G554" s="190"/>
    </row>
    <row r="555" spans="1:7" ht="12.75" customHeight="1">
      <c r="A555" s="190"/>
      <c r="B555" s="190"/>
      <c r="C555" s="190"/>
      <c r="D555" s="190"/>
      <c r="E555" s="190"/>
      <c r="F555" s="190"/>
      <c r="G555" s="190"/>
    </row>
    <row r="556" spans="1:7" ht="12.75" customHeight="1">
      <c r="A556" s="190"/>
      <c r="B556" s="190"/>
      <c r="C556" s="190"/>
      <c r="D556" s="190"/>
      <c r="E556" s="190"/>
      <c r="F556" s="190"/>
      <c r="G556" s="190"/>
    </row>
    <row r="557" spans="1:7" ht="12.75" customHeight="1">
      <c r="A557" s="190"/>
      <c r="B557" s="190"/>
      <c r="C557" s="190"/>
      <c r="D557" s="190"/>
      <c r="E557" s="190"/>
      <c r="F557" s="190"/>
      <c r="G557" s="190"/>
    </row>
    <row r="558" spans="1:7" ht="12.75" customHeight="1">
      <c r="A558" s="190"/>
      <c r="B558" s="190"/>
      <c r="C558" s="190"/>
      <c r="D558" s="190"/>
      <c r="E558" s="190"/>
      <c r="F558" s="190"/>
      <c r="G558" s="190"/>
    </row>
    <row r="559" spans="1:7" ht="12.75" customHeight="1">
      <c r="A559" s="190"/>
      <c r="B559" s="190"/>
      <c r="C559" s="190"/>
      <c r="D559" s="190"/>
      <c r="E559" s="190"/>
      <c r="F559" s="190"/>
      <c r="G559" s="190"/>
    </row>
    <row r="560" spans="1:7" ht="12.75" customHeight="1">
      <c r="A560" s="190"/>
      <c r="B560" s="190"/>
      <c r="C560" s="190"/>
      <c r="D560" s="190"/>
      <c r="E560" s="190"/>
      <c r="F560" s="190"/>
      <c r="G560" s="190"/>
    </row>
    <row r="561" spans="1:7" ht="12.75" customHeight="1">
      <c r="A561" s="190"/>
      <c r="B561" s="190"/>
      <c r="C561" s="190"/>
      <c r="D561" s="190"/>
      <c r="E561" s="190"/>
      <c r="F561" s="190"/>
      <c r="G561" s="190"/>
    </row>
    <row r="562" spans="1:7" ht="12.75" customHeight="1">
      <c r="A562" s="190"/>
      <c r="B562" s="190"/>
      <c r="C562" s="190"/>
      <c r="D562" s="190"/>
      <c r="E562" s="190"/>
      <c r="F562" s="190"/>
      <c r="G562" s="190"/>
    </row>
    <row r="563" spans="1:7" ht="12.75" customHeight="1">
      <c r="A563" s="190"/>
      <c r="B563" s="190"/>
      <c r="C563" s="190"/>
      <c r="D563" s="190"/>
      <c r="E563" s="190"/>
      <c r="F563" s="190"/>
      <c r="G563" s="190"/>
    </row>
    <row r="564" spans="1:7" ht="12.75" customHeight="1">
      <c r="A564" s="190"/>
      <c r="B564" s="190"/>
      <c r="C564" s="190"/>
      <c r="D564" s="190"/>
      <c r="E564" s="190"/>
      <c r="F564" s="190"/>
      <c r="G564" s="190"/>
    </row>
    <row r="565" spans="1:7" ht="12.75" customHeight="1">
      <c r="A565" s="190"/>
      <c r="B565" s="190"/>
      <c r="C565" s="190"/>
      <c r="D565" s="190"/>
      <c r="E565" s="190"/>
      <c r="F565" s="190"/>
      <c r="G565" s="190"/>
    </row>
    <row r="566" spans="1:7" ht="12.75" customHeight="1">
      <c r="A566" s="190"/>
      <c r="B566" s="190"/>
      <c r="C566" s="190"/>
      <c r="D566" s="190"/>
      <c r="E566" s="190"/>
      <c r="F566" s="190"/>
      <c r="G566" s="190"/>
    </row>
    <row r="567" spans="1:7" ht="12.75" customHeight="1">
      <c r="A567" s="190"/>
      <c r="B567" s="190"/>
      <c r="C567" s="190"/>
      <c r="D567" s="190"/>
      <c r="E567" s="190"/>
      <c r="F567" s="190"/>
      <c r="G567" s="190"/>
    </row>
    <row r="568" spans="1:7" ht="12.75" customHeight="1">
      <c r="A568" s="190"/>
      <c r="B568" s="190"/>
      <c r="C568" s="190"/>
      <c r="D568" s="190"/>
      <c r="E568" s="190"/>
      <c r="F568" s="190"/>
      <c r="G568" s="190"/>
    </row>
    <row r="569" spans="1:7" ht="12.75" customHeight="1">
      <c r="A569" s="190"/>
      <c r="B569" s="190"/>
      <c r="C569" s="190"/>
      <c r="D569" s="190"/>
      <c r="E569" s="190"/>
      <c r="F569" s="190"/>
      <c r="G569" s="190"/>
    </row>
    <row r="570" spans="1:7" ht="12.75" customHeight="1">
      <c r="A570" s="190"/>
      <c r="B570" s="190"/>
      <c r="C570" s="190"/>
      <c r="D570" s="190"/>
      <c r="E570" s="190"/>
      <c r="F570" s="190"/>
      <c r="G570" s="190"/>
    </row>
    <row r="571" spans="1:7" ht="12.75" customHeight="1">
      <c r="A571" s="190"/>
      <c r="B571" s="190"/>
      <c r="C571" s="190"/>
      <c r="D571" s="190"/>
      <c r="E571" s="190"/>
      <c r="F571" s="190"/>
      <c r="G571" s="190"/>
    </row>
    <row r="572" spans="1:7" ht="12.75" customHeight="1">
      <c r="A572" s="190"/>
      <c r="B572" s="190"/>
      <c r="C572" s="190"/>
      <c r="D572" s="190"/>
      <c r="E572" s="190"/>
      <c r="F572" s="190"/>
      <c r="G572" s="190"/>
    </row>
    <row r="573" spans="1:7" ht="12.75" customHeight="1">
      <c r="A573" s="190"/>
      <c r="B573" s="190"/>
      <c r="C573" s="190"/>
      <c r="D573" s="190"/>
      <c r="E573" s="190"/>
      <c r="F573" s="190"/>
      <c r="G573" s="190"/>
    </row>
    <row r="574" spans="1:7" ht="12.75" customHeight="1">
      <c r="A574" s="190"/>
      <c r="B574" s="190"/>
      <c r="C574" s="190"/>
      <c r="D574" s="190"/>
      <c r="E574" s="190"/>
      <c r="F574" s="190"/>
      <c r="G574" s="190"/>
    </row>
    <row r="575" spans="1:7" ht="12.75" customHeight="1">
      <c r="A575" s="190"/>
      <c r="B575" s="190"/>
      <c r="C575" s="190"/>
      <c r="D575" s="190"/>
      <c r="E575" s="190"/>
      <c r="F575" s="190"/>
      <c r="G575" s="190"/>
    </row>
    <row r="576" spans="1:7" ht="12.75" customHeight="1">
      <c r="A576" s="190"/>
      <c r="B576" s="190"/>
      <c r="C576" s="190"/>
      <c r="D576" s="190"/>
      <c r="E576" s="190"/>
      <c r="F576" s="190"/>
      <c r="G576" s="190"/>
    </row>
    <row r="577" spans="1:7" ht="12.75" customHeight="1">
      <c r="A577" s="190"/>
      <c r="B577" s="190"/>
      <c r="C577" s="190"/>
      <c r="D577" s="190"/>
      <c r="E577" s="190"/>
      <c r="F577" s="190"/>
      <c r="G577" s="190"/>
    </row>
    <row r="578" spans="1:7" ht="12.75" customHeight="1">
      <c r="A578" s="190"/>
      <c r="B578" s="190"/>
      <c r="C578" s="190"/>
      <c r="D578" s="190"/>
      <c r="E578" s="190"/>
      <c r="F578" s="190"/>
      <c r="G578" s="190"/>
    </row>
    <row r="579" spans="1:7" ht="12.75" customHeight="1">
      <c r="A579" s="190"/>
      <c r="B579" s="190"/>
      <c r="C579" s="190"/>
      <c r="D579" s="190"/>
      <c r="E579" s="190"/>
      <c r="F579" s="190"/>
      <c r="G579" s="190"/>
    </row>
    <row r="580" spans="1:7" ht="12.75" customHeight="1">
      <c r="A580" s="190"/>
      <c r="B580" s="190"/>
      <c r="C580" s="190"/>
      <c r="D580" s="190"/>
      <c r="E580" s="190"/>
      <c r="F580" s="190"/>
      <c r="G580" s="190"/>
    </row>
    <row r="581" spans="1:7" ht="12.75" customHeight="1">
      <c r="A581" s="190"/>
      <c r="B581" s="190"/>
      <c r="C581" s="190"/>
      <c r="D581" s="190"/>
      <c r="E581" s="190"/>
      <c r="F581" s="190"/>
      <c r="G581" s="190"/>
    </row>
    <row r="582" spans="1:7" ht="12.75" customHeight="1">
      <c r="A582" s="190"/>
      <c r="B582" s="190"/>
      <c r="C582" s="190"/>
      <c r="D582" s="190"/>
      <c r="E582" s="190"/>
      <c r="F582" s="190"/>
      <c r="G582" s="190"/>
    </row>
    <row r="583" spans="1:7" ht="12.75" customHeight="1">
      <c r="A583" s="190"/>
      <c r="B583" s="190"/>
      <c r="C583" s="190"/>
      <c r="D583" s="190"/>
      <c r="E583" s="190"/>
      <c r="F583" s="190"/>
      <c r="G583" s="190"/>
    </row>
    <row r="584" spans="1:7" ht="12.75" customHeight="1">
      <c r="A584" s="190"/>
      <c r="B584" s="190"/>
      <c r="C584" s="190"/>
      <c r="D584" s="190"/>
      <c r="E584" s="190"/>
      <c r="F584" s="190"/>
      <c r="G584" s="190"/>
    </row>
    <row r="585" spans="1:7" ht="12.75" customHeight="1">
      <c r="A585" s="190"/>
      <c r="B585" s="190"/>
      <c r="C585" s="190"/>
      <c r="D585" s="190"/>
      <c r="E585" s="190"/>
      <c r="F585" s="190"/>
      <c r="G585" s="190"/>
    </row>
    <row r="586" spans="1:7" ht="12.75" customHeight="1">
      <c r="A586" s="190"/>
      <c r="B586" s="190"/>
      <c r="C586" s="190"/>
      <c r="D586" s="190"/>
      <c r="E586" s="190"/>
      <c r="F586" s="190"/>
      <c r="G586" s="190"/>
    </row>
    <row r="587" spans="1:7" ht="12.75" customHeight="1">
      <c r="A587" s="190"/>
      <c r="B587" s="190"/>
      <c r="C587" s="190"/>
      <c r="D587" s="190"/>
      <c r="E587" s="190"/>
      <c r="F587" s="190"/>
      <c r="G587" s="190"/>
    </row>
    <row r="588" spans="1:7" ht="12.75" customHeight="1">
      <c r="A588" s="190"/>
      <c r="B588" s="190"/>
      <c r="C588" s="190"/>
      <c r="D588" s="190"/>
      <c r="E588" s="190"/>
      <c r="F588" s="190"/>
      <c r="G588" s="190"/>
    </row>
    <row r="589" spans="1:7" ht="12.75" customHeight="1">
      <c r="A589" s="190"/>
      <c r="B589" s="190"/>
      <c r="C589" s="190"/>
      <c r="D589" s="190"/>
      <c r="E589" s="190"/>
      <c r="F589" s="190"/>
      <c r="G589" s="190"/>
    </row>
    <row r="590" spans="1:7" ht="12.75" customHeight="1">
      <c r="A590" s="190"/>
      <c r="B590" s="190"/>
      <c r="C590" s="190"/>
      <c r="D590" s="190"/>
      <c r="E590" s="190"/>
      <c r="F590" s="190"/>
      <c r="G590" s="190"/>
    </row>
    <row r="591" spans="1:7" ht="12.75" customHeight="1">
      <c r="A591" s="190"/>
      <c r="B591" s="190"/>
      <c r="C591" s="190"/>
      <c r="D591" s="190"/>
      <c r="E591" s="190"/>
      <c r="F591" s="190"/>
      <c r="G591" s="190"/>
    </row>
    <row r="592" spans="1:7" ht="12.75" customHeight="1">
      <c r="A592" s="190"/>
      <c r="B592" s="190"/>
      <c r="C592" s="190"/>
      <c r="D592" s="190"/>
      <c r="E592" s="190"/>
      <c r="F592" s="190"/>
      <c r="G592" s="190"/>
    </row>
    <row r="593" spans="1:7" ht="12.75" customHeight="1">
      <c r="A593" s="190"/>
      <c r="B593" s="190"/>
      <c r="C593" s="190"/>
      <c r="D593" s="190"/>
      <c r="E593" s="190"/>
      <c r="F593" s="190"/>
      <c r="G593" s="190"/>
    </row>
    <row r="594" spans="1:7" ht="12.75" customHeight="1">
      <c r="A594" s="190"/>
      <c r="B594" s="190"/>
      <c r="C594" s="190"/>
      <c r="D594" s="190"/>
      <c r="E594" s="190"/>
      <c r="F594" s="190"/>
      <c r="G594" s="190"/>
    </row>
    <row r="595" spans="1:7" ht="12.75" customHeight="1">
      <c r="A595" s="190"/>
      <c r="B595" s="190"/>
      <c r="C595" s="190"/>
      <c r="D595" s="190"/>
      <c r="E595" s="190"/>
      <c r="F595" s="190"/>
      <c r="G595" s="190"/>
    </row>
    <row r="596" spans="1:7" ht="12.75" customHeight="1">
      <c r="A596" s="190"/>
      <c r="B596" s="190"/>
      <c r="C596" s="190"/>
      <c r="D596" s="190"/>
      <c r="E596" s="190"/>
      <c r="F596" s="190"/>
      <c r="G596" s="190"/>
    </row>
    <row r="597" spans="1:7" ht="12.75" customHeight="1">
      <c r="A597" s="190"/>
      <c r="B597" s="190"/>
      <c r="C597" s="190"/>
      <c r="D597" s="190"/>
      <c r="E597" s="190"/>
      <c r="F597" s="190"/>
      <c r="G597" s="190"/>
    </row>
    <row r="598" spans="1:7" ht="12.75" customHeight="1">
      <c r="A598" s="190"/>
      <c r="B598" s="190"/>
      <c r="C598" s="190"/>
      <c r="D598" s="190"/>
      <c r="E598" s="190"/>
      <c r="F598" s="190"/>
      <c r="G598" s="190"/>
    </row>
    <row r="599" spans="1:7" ht="12.75" customHeight="1">
      <c r="A599" s="190"/>
      <c r="B599" s="190"/>
      <c r="C599" s="190"/>
      <c r="D599" s="190"/>
      <c r="E599" s="190"/>
      <c r="F599" s="190"/>
      <c r="G599" s="190"/>
    </row>
    <row r="600" spans="1:7" ht="12.75" customHeight="1">
      <c r="A600" s="190"/>
      <c r="B600" s="190"/>
      <c r="C600" s="190"/>
      <c r="D600" s="190"/>
      <c r="E600" s="190"/>
      <c r="F600" s="190"/>
      <c r="G600" s="190"/>
    </row>
    <row r="601" spans="1:7" ht="12.75" customHeight="1">
      <c r="A601" s="190"/>
      <c r="B601" s="190"/>
      <c r="C601" s="190"/>
      <c r="D601" s="190"/>
      <c r="E601" s="190"/>
      <c r="F601" s="190"/>
      <c r="G601" s="190"/>
    </row>
    <row r="602" spans="1:7" ht="12.75" customHeight="1">
      <c r="A602" s="190"/>
      <c r="B602" s="190"/>
      <c r="C602" s="190"/>
      <c r="D602" s="190"/>
      <c r="E602" s="190"/>
      <c r="F602" s="190"/>
      <c r="G602" s="190"/>
    </row>
    <row r="603" spans="1:7" ht="12.75" customHeight="1">
      <c r="A603" s="190"/>
      <c r="B603" s="190"/>
      <c r="C603" s="190"/>
      <c r="D603" s="190"/>
      <c r="E603" s="190"/>
      <c r="F603" s="190"/>
      <c r="G603" s="190"/>
    </row>
    <row r="604" spans="1:7" ht="12.75" customHeight="1">
      <c r="A604" s="190"/>
      <c r="B604" s="190"/>
      <c r="C604" s="190"/>
      <c r="D604" s="190"/>
      <c r="E604" s="190"/>
      <c r="F604" s="190"/>
      <c r="G604" s="190"/>
    </row>
    <row r="605" spans="1:7" ht="12.75" customHeight="1">
      <c r="A605" s="190"/>
      <c r="B605" s="190"/>
      <c r="C605" s="190"/>
      <c r="D605" s="190"/>
      <c r="E605" s="190"/>
      <c r="F605" s="190"/>
      <c r="G605" s="190"/>
    </row>
    <row r="606" spans="1:7" ht="12.75" customHeight="1">
      <c r="A606" s="190"/>
      <c r="B606" s="190"/>
      <c r="C606" s="190"/>
      <c r="D606" s="190"/>
      <c r="E606" s="190"/>
      <c r="F606" s="190"/>
      <c r="G606" s="190"/>
    </row>
    <row r="607" spans="1:7" ht="12.75" customHeight="1">
      <c r="A607" s="190"/>
      <c r="B607" s="190"/>
      <c r="C607" s="190"/>
      <c r="D607" s="190"/>
      <c r="E607" s="190"/>
      <c r="F607" s="190"/>
      <c r="G607" s="190"/>
    </row>
    <row r="608" spans="1:7" ht="12.75" customHeight="1">
      <c r="A608" s="190"/>
      <c r="B608" s="190"/>
      <c r="C608" s="190"/>
      <c r="D608" s="190"/>
      <c r="E608" s="190"/>
      <c r="F608" s="190"/>
      <c r="G608" s="190"/>
    </row>
    <row r="609" spans="1:7" ht="12.75" customHeight="1">
      <c r="A609" s="190"/>
      <c r="B609" s="190"/>
      <c r="C609" s="190"/>
      <c r="D609" s="190"/>
      <c r="E609" s="190"/>
      <c r="F609" s="190"/>
      <c r="G609" s="190"/>
    </row>
    <row r="610" spans="1:7" ht="12.75" customHeight="1">
      <c r="A610" s="190"/>
      <c r="B610" s="190"/>
      <c r="C610" s="190"/>
      <c r="D610" s="190"/>
      <c r="E610" s="190"/>
      <c r="F610" s="190"/>
      <c r="G610" s="190"/>
    </row>
    <row r="611" spans="1:7" ht="12.75" customHeight="1">
      <c r="A611" s="190"/>
      <c r="B611" s="190"/>
      <c r="C611" s="190"/>
      <c r="D611" s="190"/>
      <c r="E611" s="190"/>
      <c r="F611" s="190"/>
      <c r="G611" s="190"/>
    </row>
    <row r="612" spans="1:7" ht="12.75" customHeight="1">
      <c r="A612" s="190"/>
      <c r="B612" s="190"/>
      <c r="C612" s="190"/>
      <c r="D612" s="190"/>
      <c r="E612" s="190"/>
      <c r="F612" s="190"/>
      <c r="G612" s="190"/>
    </row>
    <row r="613" spans="1:7" ht="12.75" customHeight="1">
      <c r="A613" s="190"/>
      <c r="B613" s="190"/>
      <c r="C613" s="190"/>
      <c r="D613" s="190"/>
      <c r="E613" s="190"/>
      <c r="F613" s="190"/>
      <c r="G613" s="190"/>
    </row>
    <row r="614" spans="1:7" ht="12.75" customHeight="1">
      <c r="A614" s="190"/>
      <c r="B614" s="190"/>
      <c r="C614" s="190"/>
      <c r="D614" s="190"/>
      <c r="E614" s="190"/>
      <c r="F614" s="190"/>
      <c r="G614" s="190"/>
    </row>
    <row r="615" spans="1:7" ht="12.75" customHeight="1">
      <c r="A615" s="190"/>
      <c r="B615" s="190"/>
      <c r="C615" s="190"/>
      <c r="D615" s="190"/>
      <c r="E615" s="190"/>
      <c r="F615" s="190"/>
      <c r="G615" s="190"/>
    </row>
    <row r="616" spans="1:7" ht="12.75" customHeight="1">
      <c r="A616" s="190"/>
      <c r="B616" s="190"/>
      <c r="C616" s="190"/>
      <c r="D616" s="190"/>
      <c r="E616" s="190"/>
      <c r="F616" s="190"/>
      <c r="G616" s="190"/>
    </row>
    <row r="617" spans="1:7" ht="12.75" customHeight="1">
      <c r="A617" s="190"/>
      <c r="B617" s="190"/>
      <c r="C617" s="190"/>
      <c r="D617" s="190"/>
      <c r="E617" s="190"/>
      <c r="F617" s="190"/>
      <c r="G617" s="190"/>
    </row>
    <row r="618" spans="1:7" ht="12.75" customHeight="1">
      <c r="A618" s="190"/>
      <c r="B618" s="190"/>
      <c r="C618" s="190"/>
      <c r="D618" s="190"/>
      <c r="E618" s="190"/>
      <c r="F618" s="190"/>
      <c r="G618" s="190"/>
    </row>
    <row r="619" spans="1:7" ht="12.75" customHeight="1">
      <c r="A619" s="190"/>
      <c r="B619" s="190"/>
      <c r="C619" s="190"/>
      <c r="D619" s="190"/>
      <c r="E619" s="190"/>
      <c r="F619" s="190"/>
      <c r="G619" s="190"/>
    </row>
    <row r="620" spans="1:7" ht="12.75" customHeight="1">
      <c r="A620" s="190"/>
      <c r="B620" s="190"/>
      <c r="C620" s="190"/>
      <c r="D620" s="190"/>
      <c r="E620" s="190"/>
      <c r="F620" s="190"/>
      <c r="G620" s="190"/>
    </row>
    <row r="621" spans="1:7" ht="12.75" customHeight="1">
      <c r="A621" s="190"/>
      <c r="B621" s="190"/>
      <c r="C621" s="190"/>
      <c r="D621" s="190"/>
      <c r="E621" s="190"/>
      <c r="F621" s="190"/>
      <c r="G621" s="190"/>
    </row>
    <row r="622" spans="1:7" ht="12.75" customHeight="1">
      <c r="A622" s="190"/>
      <c r="B622" s="190"/>
      <c r="C622" s="190"/>
      <c r="D622" s="190"/>
      <c r="E622" s="190"/>
      <c r="F622" s="190"/>
      <c r="G622" s="190"/>
    </row>
    <row r="623" spans="1:7" ht="12.75" customHeight="1">
      <c r="A623" s="190"/>
      <c r="B623" s="190"/>
      <c r="C623" s="190"/>
      <c r="D623" s="190"/>
      <c r="E623" s="190"/>
      <c r="F623" s="190"/>
      <c r="G623" s="190"/>
    </row>
    <row r="624" spans="1:7" ht="12.75" customHeight="1">
      <c r="A624" s="190"/>
      <c r="B624" s="190"/>
      <c r="C624" s="190"/>
      <c r="D624" s="190"/>
      <c r="E624" s="190"/>
      <c r="F624" s="190"/>
      <c r="G624" s="190"/>
    </row>
    <row r="625" spans="1:7" ht="12.75" customHeight="1">
      <c r="A625" s="190"/>
      <c r="B625" s="190"/>
      <c r="C625" s="190"/>
      <c r="D625" s="190"/>
      <c r="E625" s="190"/>
      <c r="F625" s="190"/>
      <c r="G625" s="190"/>
    </row>
    <row r="626" spans="1:7" ht="12.75" customHeight="1">
      <c r="A626" s="190"/>
      <c r="B626" s="190"/>
      <c r="C626" s="190"/>
      <c r="D626" s="190"/>
      <c r="E626" s="190"/>
      <c r="F626" s="190"/>
      <c r="G626" s="190"/>
    </row>
    <row r="627" spans="1:7" ht="12.75" customHeight="1">
      <c r="A627" s="190"/>
      <c r="B627" s="190"/>
      <c r="C627" s="190"/>
      <c r="D627" s="190"/>
      <c r="E627" s="190"/>
      <c r="F627" s="190"/>
      <c r="G627" s="190"/>
    </row>
    <row r="628" spans="1:7" ht="12.75" customHeight="1">
      <c r="A628" s="190"/>
      <c r="B628" s="190"/>
      <c r="C628" s="190"/>
      <c r="D628" s="190"/>
      <c r="E628" s="190"/>
      <c r="F628" s="190"/>
      <c r="G628" s="190"/>
    </row>
    <row r="629" spans="1:7" ht="12.75" customHeight="1">
      <c r="A629" s="190"/>
      <c r="B629" s="190"/>
      <c r="C629" s="190"/>
      <c r="D629" s="190"/>
      <c r="E629" s="190"/>
      <c r="F629" s="190"/>
      <c r="G629" s="190"/>
    </row>
    <row r="630" spans="1:7" ht="12.75" customHeight="1">
      <c r="A630" s="190"/>
      <c r="B630" s="190"/>
      <c r="C630" s="190"/>
      <c r="D630" s="190"/>
      <c r="E630" s="190"/>
      <c r="F630" s="190"/>
      <c r="G630" s="190"/>
    </row>
    <row r="631" spans="1:7" ht="12.75" customHeight="1">
      <c r="A631" s="190"/>
      <c r="B631" s="190"/>
      <c r="C631" s="190"/>
      <c r="D631" s="190"/>
      <c r="E631" s="190"/>
      <c r="F631" s="190"/>
      <c r="G631" s="190"/>
    </row>
    <row r="632" spans="1:7" ht="12.75" customHeight="1">
      <c r="A632" s="190"/>
      <c r="B632" s="190"/>
      <c r="C632" s="190"/>
      <c r="D632" s="190"/>
      <c r="E632" s="190"/>
      <c r="F632" s="190"/>
      <c r="G632" s="190"/>
    </row>
    <row r="633" spans="1:7" ht="12.75" customHeight="1">
      <c r="A633" s="190"/>
      <c r="B633" s="190"/>
      <c r="C633" s="190"/>
      <c r="D633" s="190"/>
      <c r="E633" s="190"/>
      <c r="F633" s="190"/>
      <c r="G633" s="190"/>
    </row>
    <row r="634" spans="1:7" ht="12.75" customHeight="1">
      <c r="A634" s="190"/>
      <c r="B634" s="190"/>
      <c r="C634" s="190"/>
      <c r="D634" s="190"/>
      <c r="E634" s="190"/>
      <c r="F634" s="190"/>
      <c r="G634" s="190"/>
    </row>
    <row r="635" spans="1:7" ht="12.75" customHeight="1">
      <c r="A635" s="190"/>
      <c r="B635" s="190"/>
      <c r="C635" s="190"/>
      <c r="D635" s="190"/>
      <c r="E635" s="190"/>
      <c r="F635" s="190"/>
      <c r="G635" s="190"/>
    </row>
    <row r="636" spans="1:7" ht="12.75" customHeight="1">
      <c r="A636" s="190"/>
      <c r="B636" s="190"/>
      <c r="C636" s="190"/>
      <c r="D636" s="190"/>
      <c r="E636" s="190"/>
      <c r="F636" s="190"/>
      <c r="G636" s="190"/>
    </row>
    <row r="637" spans="1:7" ht="12.75" customHeight="1">
      <c r="A637" s="190"/>
      <c r="B637" s="190"/>
      <c r="C637" s="190"/>
      <c r="D637" s="190"/>
      <c r="E637" s="190"/>
      <c r="F637" s="190"/>
      <c r="G637" s="190"/>
    </row>
    <row r="638" spans="1:7" ht="12.75" customHeight="1">
      <c r="A638" s="190"/>
      <c r="B638" s="190"/>
      <c r="C638" s="190"/>
      <c r="D638" s="190"/>
      <c r="E638" s="190"/>
      <c r="F638" s="190"/>
      <c r="G638" s="190"/>
    </row>
    <row r="639" spans="1:7" ht="12.75" customHeight="1">
      <c r="A639" s="190"/>
      <c r="B639" s="190"/>
      <c r="C639" s="190"/>
      <c r="D639" s="190"/>
      <c r="E639" s="190"/>
      <c r="F639" s="190"/>
      <c r="G639" s="190"/>
    </row>
    <row r="640" spans="1:7" ht="12.75" customHeight="1">
      <c r="A640" s="190"/>
      <c r="B640" s="190"/>
      <c r="C640" s="190"/>
      <c r="D640" s="190"/>
      <c r="E640" s="190"/>
      <c r="F640" s="190"/>
      <c r="G640" s="190"/>
    </row>
    <row r="641" spans="1:7" ht="12.75" customHeight="1">
      <c r="A641" s="190"/>
      <c r="B641" s="190"/>
      <c r="C641" s="190"/>
      <c r="D641" s="190"/>
      <c r="E641" s="190"/>
      <c r="F641" s="190"/>
      <c r="G641" s="190"/>
    </row>
    <row r="642" spans="1:7" ht="12.75" customHeight="1">
      <c r="A642" s="190"/>
      <c r="B642" s="190"/>
      <c r="C642" s="190"/>
      <c r="D642" s="190"/>
      <c r="E642" s="190"/>
      <c r="F642" s="190"/>
      <c r="G642" s="190"/>
    </row>
    <row r="643" spans="1:7" ht="12.75" customHeight="1">
      <c r="A643" s="190"/>
      <c r="B643" s="190"/>
      <c r="C643" s="190"/>
      <c r="D643" s="190"/>
      <c r="E643" s="190"/>
      <c r="F643" s="190"/>
      <c r="G643" s="190"/>
    </row>
    <row r="644" spans="1:7" ht="12.75" customHeight="1">
      <c r="A644" s="190"/>
      <c r="B644" s="190"/>
      <c r="C644" s="190"/>
      <c r="D644" s="190"/>
      <c r="E644" s="190"/>
      <c r="F644" s="190"/>
      <c r="G644" s="190"/>
    </row>
    <row r="645" spans="1:7" ht="12.75" customHeight="1">
      <c r="A645" s="190"/>
      <c r="B645" s="190"/>
      <c r="C645" s="190"/>
      <c r="D645" s="190"/>
      <c r="E645" s="190"/>
      <c r="F645" s="190"/>
      <c r="G645" s="190"/>
    </row>
    <row r="646" spans="1:7" ht="12.75" customHeight="1">
      <c r="A646" s="190"/>
      <c r="B646" s="190"/>
      <c r="C646" s="190"/>
      <c r="D646" s="190"/>
      <c r="E646" s="190"/>
      <c r="F646" s="190"/>
      <c r="G646" s="190"/>
    </row>
    <row r="647" spans="1:7" ht="12.75" customHeight="1">
      <c r="A647" s="190"/>
      <c r="B647" s="190"/>
      <c r="C647" s="190"/>
      <c r="D647" s="190"/>
      <c r="E647" s="190"/>
      <c r="F647" s="190"/>
      <c r="G647" s="190"/>
    </row>
    <row r="648" spans="1:7" ht="12.75" customHeight="1">
      <c r="A648" s="190"/>
      <c r="B648" s="190"/>
      <c r="C648" s="190"/>
      <c r="D648" s="190"/>
      <c r="E648" s="190"/>
      <c r="F648" s="190"/>
      <c r="G648" s="190"/>
    </row>
    <row r="649" spans="1:7" ht="12.75" customHeight="1">
      <c r="A649" s="190"/>
      <c r="B649" s="190"/>
      <c r="C649" s="190"/>
      <c r="D649" s="190"/>
      <c r="E649" s="190"/>
      <c r="F649" s="190"/>
      <c r="G649" s="190"/>
    </row>
    <row r="650" spans="1:7" ht="12.75" customHeight="1">
      <c r="A650" s="190"/>
      <c r="B650" s="190"/>
      <c r="C650" s="190"/>
      <c r="D650" s="190"/>
      <c r="E650" s="190"/>
      <c r="F650" s="190"/>
      <c r="G650" s="190"/>
    </row>
    <row r="651" spans="1:7" ht="12.75" customHeight="1">
      <c r="A651" s="190"/>
      <c r="B651" s="190"/>
      <c r="C651" s="190"/>
      <c r="D651" s="190"/>
      <c r="E651" s="190"/>
      <c r="F651" s="190"/>
      <c r="G651" s="190"/>
    </row>
    <row r="652" spans="1:7" ht="12.75" customHeight="1">
      <c r="A652" s="190"/>
      <c r="B652" s="190"/>
      <c r="C652" s="190"/>
      <c r="D652" s="190"/>
      <c r="E652" s="190"/>
      <c r="F652" s="190"/>
      <c r="G652" s="190"/>
    </row>
    <row r="653" spans="1:7" ht="12.75" customHeight="1">
      <c r="A653" s="190"/>
      <c r="B653" s="190"/>
      <c r="C653" s="190"/>
      <c r="D653" s="190"/>
      <c r="E653" s="190"/>
      <c r="F653" s="190"/>
      <c r="G653" s="190"/>
    </row>
    <row r="654" spans="1:7" ht="12.75" customHeight="1">
      <c r="A654" s="190"/>
      <c r="B654" s="190"/>
      <c r="C654" s="190"/>
      <c r="D654" s="190"/>
      <c r="E654" s="190"/>
      <c r="F654" s="190"/>
      <c r="G654" s="190"/>
    </row>
    <row r="655" spans="1:7" ht="12.75" customHeight="1">
      <c r="A655" s="190"/>
      <c r="B655" s="190"/>
      <c r="C655" s="190"/>
      <c r="D655" s="190"/>
      <c r="E655" s="190"/>
      <c r="F655" s="190"/>
      <c r="G655" s="190"/>
    </row>
    <row r="656" spans="1:7" ht="12.75" customHeight="1">
      <c r="A656" s="190"/>
      <c r="B656" s="190"/>
      <c r="C656" s="190"/>
      <c r="D656" s="190"/>
      <c r="E656" s="190"/>
      <c r="F656" s="190"/>
      <c r="G656" s="190"/>
    </row>
    <row r="657" spans="1:7" ht="12.75" customHeight="1">
      <c r="A657" s="190"/>
      <c r="B657" s="190"/>
      <c r="C657" s="190"/>
      <c r="D657" s="190"/>
      <c r="E657" s="190"/>
      <c r="F657" s="190"/>
      <c r="G657" s="190"/>
    </row>
    <row r="658" spans="1:7" ht="12.75" customHeight="1">
      <c r="A658" s="190"/>
      <c r="B658" s="190"/>
      <c r="C658" s="190"/>
      <c r="D658" s="190"/>
      <c r="E658" s="190"/>
      <c r="F658" s="190"/>
      <c r="G658" s="190"/>
    </row>
    <row r="659" spans="1:7" ht="12.75" customHeight="1">
      <c r="A659" s="190"/>
      <c r="B659" s="190"/>
      <c r="C659" s="190"/>
      <c r="D659" s="190"/>
      <c r="E659" s="190"/>
      <c r="F659" s="190"/>
      <c r="G659" s="190"/>
    </row>
    <row r="660" spans="1:7" ht="12.75" customHeight="1">
      <c r="A660" s="190"/>
      <c r="B660" s="190"/>
      <c r="C660" s="190"/>
      <c r="D660" s="190"/>
      <c r="E660" s="190"/>
      <c r="F660" s="190"/>
      <c r="G660" s="190"/>
    </row>
    <row r="661" spans="1:7" ht="12.75" customHeight="1">
      <c r="A661" s="190"/>
      <c r="B661" s="190"/>
      <c r="C661" s="190"/>
      <c r="D661" s="190"/>
      <c r="E661" s="190"/>
      <c r="F661" s="190"/>
      <c r="G661" s="190"/>
    </row>
    <row r="662" spans="1:7" ht="12.75" customHeight="1">
      <c r="A662" s="190"/>
      <c r="B662" s="190"/>
      <c r="C662" s="190"/>
      <c r="D662" s="190"/>
      <c r="E662" s="190"/>
      <c r="F662" s="190"/>
      <c r="G662" s="190"/>
    </row>
    <row r="663" spans="1:7" ht="12.75" customHeight="1">
      <c r="A663" s="190"/>
      <c r="B663" s="190"/>
      <c r="C663" s="190"/>
      <c r="D663" s="190"/>
      <c r="E663" s="190"/>
      <c r="F663" s="190"/>
      <c r="G663" s="190"/>
    </row>
    <row r="664" spans="1:7" ht="12.75" customHeight="1">
      <c r="A664" s="190"/>
      <c r="B664" s="190"/>
      <c r="C664" s="190"/>
      <c r="D664" s="190"/>
      <c r="E664" s="190"/>
      <c r="F664" s="190"/>
      <c r="G664" s="190"/>
    </row>
    <row r="665" spans="1:7" ht="12.75" customHeight="1">
      <c r="A665" s="190"/>
      <c r="B665" s="190"/>
      <c r="C665" s="190"/>
      <c r="D665" s="190"/>
      <c r="E665" s="190"/>
      <c r="F665" s="190"/>
      <c r="G665" s="190"/>
    </row>
    <row r="666" spans="1:7" ht="12.75" customHeight="1">
      <c r="A666" s="190"/>
      <c r="B666" s="190"/>
      <c r="C666" s="190"/>
      <c r="D666" s="190"/>
      <c r="E666" s="190"/>
      <c r="F666" s="190"/>
      <c r="G666" s="190"/>
    </row>
    <row r="667" spans="1:7" ht="12.75" customHeight="1">
      <c r="A667" s="190"/>
      <c r="B667" s="190"/>
      <c r="C667" s="190"/>
      <c r="D667" s="190"/>
      <c r="E667" s="190"/>
      <c r="F667" s="190"/>
      <c r="G667" s="190"/>
    </row>
    <row r="668" spans="1:7" ht="12.75" customHeight="1">
      <c r="A668" s="190"/>
      <c r="B668" s="190"/>
      <c r="C668" s="190"/>
      <c r="D668" s="190"/>
      <c r="E668" s="190"/>
      <c r="F668" s="190"/>
      <c r="G668" s="190"/>
    </row>
    <row r="669" spans="1:7" ht="12.75" customHeight="1">
      <c r="A669" s="190"/>
      <c r="B669" s="190"/>
      <c r="C669" s="190"/>
      <c r="D669" s="190"/>
      <c r="E669" s="190"/>
      <c r="F669" s="190"/>
      <c r="G669" s="190"/>
    </row>
    <row r="670" spans="1:7" ht="12.75" customHeight="1">
      <c r="A670" s="190"/>
      <c r="B670" s="190"/>
      <c r="C670" s="190"/>
      <c r="D670" s="190"/>
      <c r="E670" s="190"/>
      <c r="F670" s="190"/>
      <c r="G670" s="190"/>
    </row>
    <row r="671" spans="1:7" ht="12.75" customHeight="1">
      <c r="A671" s="190"/>
      <c r="B671" s="190"/>
      <c r="C671" s="190"/>
      <c r="D671" s="190"/>
      <c r="E671" s="190"/>
      <c r="F671" s="190"/>
      <c r="G671" s="190"/>
    </row>
    <row r="672" spans="1:7" ht="12.75" customHeight="1">
      <c r="A672" s="190"/>
      <c r="B672" s="190"/>
      <c r="C672" s="190"/>
      <c r="D672" s="190"/>
      <c r="E672" s="190"/>
      <c r="F672" s="190"/>
      <c r="G672" s="190"/>
    </row>
    <row r="673" spans="1:7" ht="12.75" customHeight="1">
      <c r="A673" s="190"/>
      <c r="B673" s="190"/>
      <c r="C673" s="190"/>
      <c r="D673" s="190"/>
      <c r="E673" s="190"/>
      <c r="F673" s="190"/>
      <c r="G673" s="190"/>
    </row>
    <row r="674" spans="1:7" ht="12.75" customHeight="1">
      <c r="A674" s="190"/>
      <c r="B674" s="190"/>
      <c r="C674" s="190"/>
      <c r="D674" s="190"/>
      <c r="E674" s="190"/>
      <c r="F674" s="190"/>
      <c r="G674" s="190"/>
    </row>
    <row r="675" spans="1:7" ht="12.75" customHeight="1">
      <c r="A675" s="190"/>
      <c r="B675" s="190"/>
      <c r="C675" s="190"/>
      <c r="D675" s="190"/>
      <c r="E675" s="190"/>
      <c r="F675" s="190"/>
      <c r="G675" s="190"/>
    </row>
    <row r="676" spans="1:7" ht="12.75" customHeight="1">
      <c r="A676" s="190"/>
      <c r="B676" s="190"/>
      <c r="C676" s="190"/>
      <c r="D676" s="190"/>
      <c r="E676" s="190"/>
      <c r="F676" s="190"/>
      <c r="G676" s="190"/>
    </row>
    <row r="677" spans="1:7" ht="12.75" customHeight="1">
      <c r="A677" s="190"/>
      <c r="B677" s="190"/>
      <c r="C677" s="190"/>
      <c r="D677" s="190"/>
      <c r="E677" s="190"/>
      <c r="F677" s="190"/>
      <c r="G677" s="190"/>
    </row>
    <row r="678" spans="1:7" ht="12.75" customHeight="1">
      <c r="A678" s="190"/>
      <c r="B678" s="190"/>
      <c r="C678" s="190"/>
      <c r="D678" s="190"/>
      <c r="E678" s="190"/>
      <c r="F678" s="190"/>
      <c r="G678" s="190"/>
    </row>
    <row r="679" spans="1:7" ht="12.75" customHeight="1">
      <c r="A679" s="190"/>
      <c r="B679" s="190"/>
      <c r="C679" s="190"/>
      <c r="D679" s="190"/>
      <c r="E679" s="190"/>
      <c r="F679" s="190"/>
      <c r="G679" s="190"/>
    </row>
    <row r="680" spans="1:7" ht="12.75" customHeight="1">
      <c r="A680" s="190"/>
      <c r="B680" s="190"/>
      <c r="C680" s="190"/>
      <c r="D680" s="190"/>
      <c r="E680" s="190"/>
      <c r="F680" s="190"/>
      <c r="G680" s="190"/>
    </row>
    <row r="681" spans="1:7" ht="12.75" customHeight="1">
      <c r="A681" s="190"/>
      <c r="B681" s="190"/>
      <c r="C681" s="190"/>
      <c r="D681" s="190"/>
      <c r="E681" s="190"/>
      <c r="F681" s="190"/>
      <c r="G681" s="190"/>
    </row>
    <row r="682" spans="1:7" ht="12.75" customHeight="1">
      <c r="A682" s="190"/>
      <c r="B682" s="190"/>
      <c r="C682" s="190"/>
      <c r="D682" s="190"/>
      <c r="E682" s="190"/>
      <c r="F682" s="190"/>
      <c r="G682" s="190"/>
    </row>
    <row r="683" spans="1:7" ht="12.75" customHeight="1">
      <c r="A683" s="190"/>
      <c r="B683" s="190"/>
      <c r="C683" s="190"/>
      <c r="D683" s="190"/>
      <c r="E683" s="190"/>
      <c r="F683" s="190"/>
      <c r="G683" s="190"/>
    </row>
    <row r="684" spans="1:7" ht="12.75" customHeight="1">
      <c r="A684" s="190"/>
      <c r="B684" s="190"/>
      <c r="C684" s="190"/>
      <c r="D684" s="190"/>
      <c r="E684" s="190"/>
      <c r="F684" s="190"/>
      <c r="G684" s="190"/>
    </row>
    <row r="685" spans="1:7" ht="12.75" customHeight="1">
      <c r="A685" s="190"/>
      <c r="B685" s="190"/>
      <c r="C685" s="190"/>
      <c r="D685" s="190"/>
      <c r="E685" s="190"/>
      <c r="F685" s="190"/>
      <c r="G685" s="190"/>
    </row>
    <row r="686" spans="1:7" ht="12.75" customHeight="1">
      <c r="A686" s="190"/>
      <c r="B686" s="190"/>
      <c r="C686" s="190"/>
      <c r="D686" s="190"/>
      <c r="E686" s="190"/>
      <c r="F686" s="190"/>
      <c r="G686" s="190"/>
    </row>
    <row r="687" spans="1:7" ht="12.75" customHeight="1">
      <c r="A687" s="190"/>
      <c r="B687" s="190"/>
      <c r="C687" s="190"/>
      <c r="D687" s="190"/>
      <c r="E687" s="190"/>
      <c r="F687" s="190"/>
      <c r="G687" s="190"/>
    </row>
    <row r="688" spans="1:7" ht="12.75" customHeight="1">
      <c r="A688" s="190"/>
      <c r="B688" s="190"/>
      <c r="C688" s="190"/>
      <c r="D688" s="190"/>
      <c r="E688" s="190"/>
      <c r="F688" s="190"/>
      <c r="G688" s="190"/>
    </row>
    <row r="689" spans="1:7" ht="12.75" customHeight="1">
      <c r="A689" s="190"/>
      <c r="B689" s="190"/>
      <c r="C689" s="190"/>
      <c r="D689" s="190"/>
      <c r="E689" s="190"/>
      <c r="F689" s="190"/>
      <c r="G689" s="190"/>
    </row>
    <row r="690" spans="1:7" ht="12.75" customHeight="1">
      <c r="A690" s="190"/>
      <c r="B690" s="190"/>
      <c r="C690" s="190"/>
      <c r="D690" s="190"/>
      <c r="E690" s="190"/>
      <c r="F690" s="190"/>
      <c r="G690" s="190"/>
    </row>
    <row r="691" spans="1:7" ht="12.75" customHeight="1">
      <c r="A691" s="190"/>
      <c r="B691" s="190"/>
      <c r="C691" s="190"/>
      <c r="D691" s="190"/>
      <c r="E691" s="190"/>
      <c r="F691" s="190"/>
      <c r="G691" s="190"/>
    </row>
    <row r="692" spans="1:7" ht="12.75" customHeight="1">
      <c r="A692" s="190"/>
      <c r="B692" s="190"/>
      <c r="C692" s="190"/>
      <c r="D692" s="190"/>
      <c r="E692" s="190"/>
      <c r="F692" s="190"/>
      <c r="G692" s="190"/>
    </row>
    <row r="693" spans="1:7" ht="12.75" customHeight="1">
      <c r="A693" s="190"/>
      <c r="B693" s="190"/>
      <c r="C693" s="190"/>
      <c r="D693" s="190"/>
      <c r="E693" s="190"/>
      <c r="F693" s="190"/>
      <c r="G693" s="190"/>
    </row>
    <row r="694" spans="1:7" ht="12.75" customHeight="1">
      <c r="A694" s="190"/>
      <c r="B694" s="190"/>
      <c r="C694" s="190"/>
      <c r="D694" s="190"/>
      <c r="E694" s="190"/>
      <c r="F694" s="190"/>
      <c r="G694" s="190"/>
    </row>
    <row r="695" spans="1:7" ht="12.75" customHeight="1">
      <c r="A695" s="190"/>
      <c r="B695" s="190"/>
      <c r="C695" s="190"/>
      <c r="D695" s="190"/>
      <c r="E695" s="190"/>
      <c r="F695" s="190"/>
      <c r="G695" s="190"/>
    </row>
    <row r="696" spans="1:7" ht="12.75" customHeight="1">
      <c r="A696" s="190"/>
      <c r="B696" s="190"/>
      <c r="C696" s="190"/>
      <c r="D696" s="190"/>
      <c r="E696" s="190"/>
      <c r="F696" s="190"/>
      <c r="G696" s="190"/>
    </row>
    <row r="697" spans="1:7" ht="12.75" customHeight="1">
      <c r="A697" s="190"/>
      <c r="B697" s="190"/>
      <c r="C697" s="190"/>
      <c r="D697" s="190"/>
      <c r="E697" s="190"/>
      <c r="F697" s="190"/>
      <c r="G697" s="190"/>
    </row>
    <row r="698" spans="1:7" ht="12.75" customHeight="1">
      <c r="A698" s="190"/>
      <c r="B698" s="190"/>
      <c r="C698" s="190"/>
      <c r="D698" s="190"/>
      <c r="E698" s="190"/>
      <c r="F698" s="190"/>
      <c r="G698" s="190"/>
    </row>
    <row r="699" spans="1:7" ht="12.75" customHeight="1">
      <c r="A699" s="190"/>
      <c r="B699" s="190"/>
      <c r="C699" s="190"/>
      <c r="D699" s="190"/>
      <c r="E699" s="190"/>
      <c r="F699" s="190"/>
      <c r="G699" s="190"/>
    </row>
    <row r="700" spans="1:7" ht="12.75" customHeight="1">
      <c r="A700" s="190"/>
      <c r="B700" s="190"/>
      <c r="C700" s="190"/>
      <c r="D700" s="190"/>
      <c r="E700" s="190"/>
      <c r="F700" s="190"/>
      <c r="G700" s="190"/>
    </row>
    <row r="701" spans="1:7" ht="12.75" customHeight="1">
      <c r="A701" s="190"/>
      <c r="B701" s="190"/>
      <c r="C701" s="190"/>
      <c r="D701" s="190"/>
      <c r="E701" s="190"/>
      <c r="F701" s="190"/>
      <c r="G701" s="190"/>
    </row>
    <row r="702" spans="1:7" ht="12.75" customHeight="1">
      <c r="A702" s="190"/>
      <c r="B702" s="190"/>
      <c r="C702" s="190"/>
      <c r="D702" s="190"/>
      <c r="E702" s="190"/>
      <c r="F702" s="190"/>
      <c r="G702" s="190"/>
    </row>
    <row r="703" spans="1:7" ht="12.75" customHeight="1">
      <c r="A703" s="190"/>
      <c r="B703" s="190"/>
      <c r="C703" s="190"/>
      <c r="D703" s="190"/>
      <c r="E703" s="190"/>
      <c r="F703" s="190"/>
      <c r="G703" s="190"/>
    </row>
    <row r="704" spans="1:7" ht="12.75" customHeight="1">
      <c r="A704" s="190"/>
      <c r="B704" s="190"/>
      <c r="C704" s="190"/>
      <c r="D704" s="190"/>
      <c r="E704" s="190"/>
      <c r="F704" s="190"/>
      <c r="G704" s="190"/>
    </row>
    <row r="705" spans="1:7" ht="12.75" customHeight="1">
      <c r="A705" s="190"/>
      <c r="B705" s="190"/>
      <c r="C705" s="190"/>
      <c r="D705" s="190"/>
      <c r="E705" s="190"/>
      <c r="F705" s="190"/>
      <c r="G705" s="190"/>
    </row>
    <row r="706" spans="1:7" ht="12.75" customHeight="1">
      <c r="A706" s="190"/>
      <c r="B706" s="190"/>
      <c r="C706" s="190"/>
      <c r="D706" s="190"/>
      <c r="E706" s="190"/>
      <c r="F706" s="190"/>
      <c r="G706" s="190"/>
    </row>
    <row r="707" spans="1:7" ht="12.75" customHeight="1">
      <c r="A707" s="190"/>
      <c r="B707" s="190"/>
      <c r="C707" s="190"/>
      <c r="D707" s="190"/>
      <c r="E707" s="190"/>
      <c r="F707" s="190"/>
      <c r="G707" s="190"/>
    </row>
    <row r="708" spans="1:7" ht="12.75" customHeight="1">
      <c r="A708" s="190"/>
      <c r="B708" s="190"/>
      <c r="C708" s="190"/>
      <c r="D708" s="190"/>
      <c r="E708" s="190"/>
      <c r="F708" s="190"/>
      <c r="G708" s="190"/>
    </row>
    <row r="709" spans="1:7" ht="12.75" customHeight="1">
      <c r="A709" s="190"/>
      <c r="B709" s="190"/>
      <c r="C709" s="190"/>
      <c r="D709" s="190"/>
      <c r="E709" s="190"/>
      <c r="F709" s="190"/>
      <c r="G709" s="190"/>
    </row>
    <row r="710" spans="1:7" ht="12.75" customHeight="1">
      <c r="A710" s="190"/>
      <c r="B710" s="190"/>
      <c r="C710" s="190"/>
      <c r="D710" s="190"/>
      <c r="E710" s="190"/>
      <c r="F710" s="190"/>
      <c r="G710" s="190"/>
    </row>
    <row r="711" spans="1:7" ht="12.75" customHeight="1">
      <c r="A711" s="190"/>
      <c r="B711" s="190"/>
      <c r="C711" s="190"/>
      <c r="D711" s="190"/>
      <c r="E711" s="190"/>
      <c r="F711" s="190"/>
      <c r="G711" s="190"/>
    </row>
    <row r="712" spans="1:7" ht="12.75" customHeight="1">
      <c r="A712" s="190"/>
      <c r="B712" s="190"/>
      <c r="C712" s="190"/>
      <c r="D712" s="190"/>
      <c r="E712" s="190"/>
      <c r="F712" s="190"/>
      <c r="G712" s="190"/>
    </row>
    <row r="713" spans="1:7" ht="12.75" customHeight="1">
      <c r="A713" s="190"/>
      <c r="B713" s="190"/>
      <c r="C713" s="190"/>
      <c r="D713" s="190"/>
      <c r="E713" s="190"/>
      <c r="F713" s="190"/>
      <c r="G713" s="190"/>
    </row>
    <row r="714" spans="1:7" ht="12.75" customHeight="1">
      <c r="A714" s="190"/>
      <c r="B714" s="190"/>
      <c r="C714" s="190"/>
      <c r="D714" s="190"/>
      <c r="E714" s="190"/>
      <c r="F714" s="190"/>
      <c r="G714" s="190"/>
    </row>
    <row r="715" spans="1:7" ht="12.75" customHeight="1">
      <c r="A715" s="190"/>
      <c r="B715" s="190"/>
      <c r="C715" s="190"/>
      <c r="D715" s="190"/>
      <c r="E715" s="190"/>
      <c r="F715" s="190"/>
      <c r="G715" s="190"/>
    </row>
    <row r="716" spans="1:7" ht="12.75" customHeight="1">
      <c r="A716" s="190"/>
      <c r="B716" s="190"/>
      <c r="C716" s="190"/>
      <c r="D716" s="190"/>
      <c r="E716" s="190"/>
      <c r="F716" s="190"/>
      <c r="G716" s="190"/>
    </row>
    <row r="717" spans="1:7" ht="12.75" customHeight="1">
      <c r="A717" s="190"/>
      <c r="B717" s="190"/>
      <c r="C717" s="190"/>
      <c r="D717" s="190"/>
      <c r="E717" s="190"/>
      <c r="F717" s="190"/>
      <c r="G717" s="190"/>
    </row>
    <row r="718" spans="1:7" ht="12.75" customHeight="1">
      <c r="A718" s="190"/>
      <c r="B718" s="190"/>
      <c r="C718" s="190"/>
      <c r="D718" s="190"/>
      <c r="E718" s="190"/>
      <c r="F718" s="190"/>
      <c r="G718" s="190"/>
    </row>
    <row r="719" spans="1:7" ht="12.75" customHeight="1">
      <c r="A719" s="190"/>
      <c r="B719" s="190"/>
      <c r="C719" s="190"/>
      <c r="D719" s="190"/>
      <c r="E719" s="190"/>
      <c r="F719" s="190"/>
      <c r="G719" s="190"/>
    </row>
    <row r="720" spans="1:7" ht="12.75" customHeight="1">
      <c r="A720" s="190"/>
      <c r="B720" s="190"/>
      <c r="C720" s="190"/>
      <c r="D720" s="190"/>
      <c r="E720" s="190"/>
      <c r="F720" s="190"/>
      <c r="G720" s="190"/>
    </row>
    <row r="721" spans="1:7" ht="12.75" customHeight="1">
      <c r="A721" s="190"/>
      <c r="B721" s="190"/>
      <c r="C721" s="190"/>
      <c r="D721" s="190"/>
      <c r="E721" s="190"/>
      <c r="F721" s="190"/>
      <c r="G721" s="190"/>
    </row>
    <row r="722" spans="1:7" ht="12.75" customHeight="1">
      <c r="A722" s="190"/>
      <c r="B722" s="190"/>
      <c r="C722" s="190"/>
      <c r="D722" s="190"/>
      <c r="E722" s="190"/>
      <c r="F722" s="190"/>
      <c r="G722" s="190"/>
    </row>
    <row r="723" spans="1:7" ht="12.75" customHeight="1">
      <c r="A723" s="190"/>
      <c r="B723" s="190"/>
      <c r="C723" s="190"/>
      <c r="D723" s="190"/>
      <c r="E723" s="190"/>
      <c r="F723" s="190"/>
      <c r="G723" s="190"/>
    </row>
    <row r="724" spans="1:7" ht="12.75" customHeight="1">
      <c r="A724" s="190"/>
      <c r="B724" s="190"/>
      <c r="C724" s="190"/>
      <c r="D724" s="190"/>
      <c r="E724" s="190"/>
      <c r="F724" s="190"/>
      <c r="G724" s="190"/>
    </row>
    <row r="725" spans="1:7" ht="12.75" customHeight="1">
      <c r="A725" s="190"/>
      <c r="B725" s="190"/>
      <c r="C725" s="190"/>
      <c r="D725" s="190"/>
      <c r="E725" s="190"/>
      <c r="F725" s="190"/>
      <c r="G725" s="190"/>
    </row>
    <row r="726" spans="1:7" ht="12.75" customHeight="1">
      <c r="A726" s="190"/>
      <c r="B726" s="190"/>
      <c r="C726" s="190"/>
      <c r="D726" s="190"/>
      <c r="E726" s="190"/>
      <c r="F726" s="190"/>
      <c r="G726" s="190"/>
    </row>
    <row r="727" spans="1:7" ht="12.75" customHeight="1">
      <c r="A727" s="190"/>
      <c r="B727" s="190"/>
      <c r="C727" s="190"/>
      <c r="D727" s="190"/>
      <c r="E727" s="190"/>
      <c r="F727" s="190"/>
      <c r="G727" s="190"/>
    </row>
    <row r="728" spans="1:7" ht="12.75" customHeight="1">
      <c r="A728" s="190"/>
      <c r="B728" s="190"/>
      <c r="C728" s="190"/>
      <c r="D728" s="190"/>
      <c r="E728" s="190"/>
      <c r="F728" s="190"/>
      <c r="G728" s="190"/>
    </row>
    <row r="729" spans="1:7" ht="12.75" customHeight="1">
      <c r="A729" s="190"/>
      <c r="B729" s="190"/>
      <c r="C729" s="190"/>
      <c r="D729" s="190"/>
      <c r="E729" s="190"/>
      <c r="F729" s="190"/>
      <c r="G729" s="190"/>
    </row>
    <row r="730" spans="1:7" ht="12.75" customHeight="1">
      <c r="A730" s="190"/>
      <c r="B730" s="190"/>
      <c r="C730" s="190"/>
      <c r="D730" s="190"/>
      <c r="E730" s="190"/>
      <c r="F730" s="190"/>
      <c r="G730" s="190"/>
    </row>
    <row r="731" spans="1:7" ht="12.75" customHeight="1">
      <c r="A731" s="190"/>
      <c r="B731" s="190"/>
      <c r="C731" s="190"/>
      <c r="D731" s="190"/>
      <c r="E731" s="190"/>
      <c r="F731" s="190"/>
      <c r="G731" s="190"/>
    </row>
    <row r="732" spans="1:7" ht="12.75" customHeight="1">
      <c r="A732" s="190"/>
      <c r="B732" s="190"/>
      <c r="C732" s="190"/>
      <c r="D732" s="190"/>
      <c r="E732" s="190"/>
      <c r="F732" s="190"/>
      <c r="G732" s="190"/>
    </row>
    <row r="733" spans="1:7" ht="12.75" customHeight="1">
      <c r="A733" s="190"/>
      <c r="B733" s="190"/>
      <c r="C733" s="190"/>
      <c r="D733" s="190"/>
      <c r="E733" s="190"/>
      <c r="F733" s="190"/>
      <c r="G733" s="190"/>
    </row>
    <row r="734" spans="1:7" ht="12.75" customHeight="1">
      <c r="A734" s="190"/>
      <c r="B734" s="190"/>
      <c r="C734" s="190"/>
      <c r="D734" s="190"/>
      <c r="E734" s="190"/>
      <c r="F734" s="190"/>
      <c r="G734" s="190"/>
    </row>
    <row r="735" spans="1:7" ht="12.75" customHeight="1">
      <c r="A735" s="190"/>
      <c r="B735" s="190"/>
      <c r="C735" s="190"/>
      <c r="D735" s="190"/>
      <c r="E735" s="190"/>
      <c r="F735" s="190"/>
      <c r="G735" s="190"/>
    </row>
    <row r="736" spans="1:7" ht="12.75" customHeight="1">
      <c r="A736" s="190"/>
      <c r="B736" s="190"/>
      <c r="C736" s="190"/>
      <c r="D736" s="190"/>
      <c r="E736" s="190"/>
      <c r="F736" s="190"/>
      <c r="G736" s="190"/>
    </row>
    <row r="737" spans="1:7" ht="12.75" customHeight="1">
      <c r="A737" s="190"/>
      <c r="B737" s="190"/>
      <c r="C737" s="190"/>
      <c r="D737" s="190"/>
      <c r="E737" s="190"/>
      <c r="F737" s="190"/>
      <c r="G737" s="190"/>
    </row>
    <row r="738" spans="1:7" ht="12.75" customHeight="1">
      <c r="A738" s="190"/>
      <c r="B738" s="190"/>
      <c r="C738" s="190"/>
      <c r="D738" s="190"/>
      <c r="E738" s="190"/>
      <c r="F738" s="190"/>
      <c r="G738" s="190"/>
    </row>
    <row r="739" spans="1:7" ht="12.75" customHeight="1">
      <c r="A739" s="190"/>
      <c r="B739" s="190"/>
      <c r="C739" s="190"/>
      <c r="D739" s="190"/>
      <c r="E739" s="190"/>
      <c r="F739" s="190"/>
      <c r="G739" s="190"/>
    </row>
    <row r="740" spans="1:7" ht="12.75" customHeight="1">
      <c r="A740" s="190"/>
      <c r="B740" s="190"/>
      <c r="C740" s="190"/>
      <c r="D740" s="190"/>
      <c r="E740" s="190"/>
      <c r="F740" s="190"/>
      <c r="G740" s="190"/>
    </row>
    <row r="741" spans="1:7" ht="12.75" customHeight="1">
      <c r="A741" s="190"/>
      <c r="B741" s="190"/>
      <c r="C741" s="190"/>
      <c r="D741" s="190"/>
      <c r="E741" s="190"/>
      <c r="F741" s="190"/>
      <c r="G741" s="190"/>
    </row>
    <row r="742" spans="1:7" ht="12.75" customHeight="1">
      <c r="A742" s="190"/>
      <c r="B742" s="190"/>
      <c r="C742" s="190"/>
      <c r="D742" s="190"/>
      <c r="E742" s="190"/>
      <c r="F742" s="190"/>
      <c r="G742" s="190"/>
    </row>
    <row r="743" spans="1:7" ht="12.75" customHeight="1">
      <c r="A743" s="190"/>
      <c r="B743" s="190"/>
      <c r="C743" s="190"/>
      <c r="D743" s="190"/>
      <c r="E743" s="190"/>
      <c r="F743" s="190"/>
      <c r="G743" s="190"/>
    </row>
    <row r="744" spans="1:7" ht="12.75" customHeight="1">
      <c r="A744" s="190"/>
      <c r="B744" s="190"/>
      <c r="C744" s="190"/>
      <c r="D744" s="190"/>
      <c r="E744" s="190"/>
      <c r="F744" s="190"/>
      <c r="G744" s="190"/>
    </row>
    <row r="745" spans="1:7" ht="12.75" customHeight="1">
      <c r="A745" s="190"/>
      <c r="B745" s="190"/>
      <c r="C745" s="190"/>
      <c r="D745" s="190"/>
      <c r="E745" s="190"/>
      <c r="F745" s="190"/>
      <c r="G745" s="190"/>
    </row>
    <row r="746" spans="1:7" ht="12.75" customHeight="1">
      <c r="A746" s="190"/>
      <c r="B746" s="190"/>
      <c r="C746" s="190"/>
      <c r="D746" s="190"/>
      <c r="E746" s="190"/>
      <c r="F746" s="190"/>
      <c r="G746" s="190"/>
    </row>
    <row r="747" spans="1:7" ht="12.75" customHeight="1">
      <c r="A747" s="190"/>
      <c r="B747" s="190"/>
      <c r="C747" s="190"/>
      <c r="D747" s="190"/>
      <c r="E747" s="190"/>
      <c r="F747" s="190"/>
      <c r="G747" s="190"/>
    </row>
    <row r="748" spans="1:7" ht="12.75" customHeight="1">
      <c r="A748" s="190"/>
      <c r="B748" s="190"/>
      <c r="C748" s="190"/>
      <c r="D748" s="190"/>
      <c r="E748" s="190"/>
      <c r="F748" s="190"/>
      <c r="G748" s="190"/>
    </row>
    <row r="749" spans="1:7" ht="12.75" customHeight="1">
      <c r="A749" s="190"/>
      <c r="B749" s="190"/>
      <c r="C749" s="190"/>
      <c r="D749" s="190"/>
      <c r="E749" s="190"/>
      <c r="F749" s="190"/>
      <c r="G749" s="190"/>
    </row>
    <row r="750" spans="1:7" ht="12.75" customHeight="1">
      <c r="A750" s="190"/>
      <c r="B750" s="190"/>
      <c r="C750" s="190"/>
      <c r="D750" s="190"/>
      <c r="E750" s="190"/>
      <c r="F750" s="190"/>
      <c r="G750" s="190"/>
    </row>
    <row r="751" spans="1:7" ht="12.75" customHeight="1">
      <c r="A751" s="190"/>
      <c r="B751" s="190"/>
      <c r="C751" s="190"/>
      <c r="D751" s="190"/>
      <c r="E751" s="190"/>
      <c r="F751" s="190"/>
      <c r="G751" s="190"/>
    </row>
    <row r="752" spans="1:7" ht="12.75" customHeight="1">
      <c r="A752" s="190"/>
      <c r="B752" s="190"/>
      <c r="C752" s="190"/>
      <c r="D752" s="190"/>
      <c r="E752" s="190"/>
      <c r="F752" s="190"/>
      <c r="G752" s="190"/>
    </row>
    <row r="753" spans="1:7" ht="12.75" customHeight="1">
      <c r="A753" s="190"/>
      <c r="B753" s="190"/>
      <c r="C753" s="190"/>
      <c r="D753" s="190"/>
      <c r="E753" s="190"/>
      <c r="F753" s="190"/>
      <c r="G753" s="190"/>
    </row>
    <row r="754" spans="1:7" ht="12.75" customHeight="1">
      <c r="A754" s="190"/>
      <c r="B754" s="190"/>
      <c r="C754" s="190"/>
      <c r="D754" s="190"/>
      <c r="E754" s="190"/>
      <c r="F754" s="190"/>
      <c r="G754" s="190"/>
    </row>
    <row r="755" spans="1:7" ht="12.75" customHeight="1">
      <c r="A755" s="190"/>
      <c r="B755" s="190"/>
      <c r="C755" s="190"/>
      <c r="D755" s="190"/>
      <c r="E755" s="190"/>
      <c r="F755" s="190"/>
      <c r="G755" s="190"/>
    </row>
    <row r="756" spans="1:7" ht="12.75" customHeight="1">
      <c r="A756" s="190"/>
      <c r="B756" s="190"/>
      <c r="C756" s="190"/>
      <c r="D756" s="190"/>
      <c r="E756" s="190"/>
      <c r="F756" s="190"/>
      <c r="G756" s="190"/>
    </row>
    <row r="757" spans="1:7" ht="12.75" customHeight="1">
      <c r="A757" s="190"/>
      <c r="B757" s="190"/>
      <c r="C757" s="190"/>
      <c r="D757" s="190"/>
      <c r="E757" s="190"/>
      <c r="F757" s="190"/>
      <c r="G757" s="190"/>
    </row>
    <row r="758" spans="1:7" ht="12.75" customHeight="1">
      <c r="A758" s="190"/>
      <c r="B758" s="190"/>
      <c r="C758" s="190"/>
      <c r="D758" s="190"/>
      <c r="E758" s="190"/>
      <c r="F758" s="190"/>
      <c r="G758" s="190"/>
    </row>
    <row r="759" spans="1:7" ht="12.75" customHeight="1">
      <c r="A759" s="190"/>
      <c r="B759" s="190"/>
      <c r="C759" s="190"/>
      <c r="D759" s="190"/>
      <c r="E759" s="190"/>
      <c r="F759" s="190"/>
      <c r="G759" s="190"/>
    </row>
    <row r="760" spans="1:7" ht="12.75" customHeight="1">
      <c r="A760" s="190"/>
      <c r="B760" s="190"/>
      <c r="C760" s="190"/>
      <c r="D760" s="190"/>
      <c r="E760" s="190"/>
      <c r="F760" s="190"/>
      <c r="G760" s="190"/>
    </row>
    <row r="761" spans="1:7" ht="12.75" customHeight="1">
      <c r="A761" s="190"/>
      <c r="B761" s="190"/>
      <c r="C761" s="190"/>
      <c r="D761" s="190"/>
      <c r="E761" s="190"/>
      <c r="F761" s="190"/>
      <c r="G761" s="190"/>
    </row>
    <row r="762" spans="1:7" ht="12.75" customHeight="1">
      <c r="A762" s="190"/>
      <c r="B762" s="190"/>
      <c r="C762" s="190"/>
      <c r="D762" s="190"/>
      <c r="E762" s="190"/>
      <c r="F762" s="190"/>
      <c r="G762" s="190"/>
    </row>
    <row r="763" spans="1:7" ht="12.75" customHeight="1">
      <c r="A763" s="190"/>
      <c r="B763" s="190"/>
      <c r="C763" s="190"/>
      <c r="D763" s="190"/>
      <c r="E763" s="190"/>
      <c r="F763" s="190"/>
      <c r="G763" s="190"/>
    </row>
    <row r="764" spans="1:7" ht="12.75" customHeight="1">
      <c r="A764" s="190"/>
      <c r="B764" s="190"/>
      <c r="C764" s="190"/>
      <c r="D764" s="190"/>
      <c r="E764" s="190"/>
      <c r="F764" s="190"/>
      <c r="G764" s="190"/>
    </row>
    <row r="765" spans="1:7" ht="12.75" customHeight="1">
      <c r="A765" s="190"/>
      <c r="B765" s="190"/>
      <c r="C765" s="190"/>
      <c r="D765" s="190"/>
      <c r="E765" s="190"/>
      <c r="F765" s="190"/>
      <c r="G765" s="190"/>
    </row>
    <row r="766" spans="1:7" ht="12.75" customHeight="1">
      <c r="A766" s="190"/>
      <c r="B766" s="190"/>
      <c r="C766" s="190"/>
      <c r="D766" s="190"/>
      <c r="E766" s="190"/>
      <c r="F766" s="190"/>
      <c r="G766" s="190"/>
    </row>
    <row r="767" spans="1:7" ht="12.75" customHeight="1">
      <c r="A767" s="190"/>
      <c r="B767" s="190"/>
      <c r="C767" s="190"/>
      <c r="D767" s="190"/>
      <c r="E767" s="190"/>
      <c r="F767" s="190"/>
      <c r="G767" s="190"/>
    </row>
    <row r="768" spans="1:7" ht="12.75" customHeight="1">
      <c r="A768" s="190"/>
      <c r="B768" s="190"/>
      <c r="C768" s="190"/>
      <c r="D768" s="190"/>
      <c r="E768" s="190"/>
      <c r="F768" s="190"/>
      <c r="G768" s="190"/>
    </row>
    <row r="769" spans="1:7" ht="12.75" customHeight="1">
      <c r="A769" s="190"/>
      <c r="B769" s="190"/>
      <c r="C769" s="190"/>
      <c r="D769" s="190"/>
      <c r="E769" s="190"/>
      <c r="F769" s="190"/>
      <c r="G769" s="190"/>
    </row>
    <row r="770" spans="1:7" ht="12.75" customHeight="1">
      <c r="A770" s="190"/>
      <c r="B770" s="190"/>
      <c r="C770" s="190"/>
      <c r="D770" s="190"/>
      <c r="E770" s="190"/>
      <c r="F770" s="190"/>
      <c r="G770" s="190"/>
    </row>
    <row r="771" spans="1:7" ht="12.75" customHeight="1">
      <c r="A771" s="190"/>
      <c r="B771" s="190"/>
      <c r="C771" s="190"/>
      <c r="D771" s="190"/>
      <c r="E771" s="190"/>
      <c r="F771" s="190"/>
      <c r="G771" s="190"/>
    </row>
    <row r="772" spans="1:7" ht="12.75" customHeight="1">
      <c r="A772" s="190"/>
      <c r="B772" s="190"/>
      <c r="C772" s="190"/>
      <c r="D772" s="190"/>
      <c r="E772" s="190"/>
      <c r="F772" s="190"/>
      <c r="G772" s="190"/>
    </row>
    <row r="773" spans="1:7" ht="12.75" customHeight="1">
      <c r="A773" s="190"/>
      <c r="B773" s="190"/>
      <c r="C773" s="190"/>
      <c r="D773" s="190"/>
      <c r="E773" s="190"/>
      <c r="F773" s="190"/>
      <c r="G773" s="190"/>
    </row>
    <row r="774" spans="1:7" ht="12.75" customHeight="1">
      <c r="A774" s="190"/>
      <c r="B774" s="190"/>
      <c r="C774" s="190"/>
      <c r="D774" s="190"/>
      <c r="E774" s="190"/>
      <c r="F774" s="190"/>
      <c r="G774" s="190"/>
    </row>
    <row r="775" spans="1:7" ht="12.75" customHeight="1">
      <c r="A775" s="190"/>
      <c r="B775" s="190"/>
      <c r="C775" s="190"/>
      <c r="D775" s="190"/>
      <c r="E775" s="190"/>
      <c r="F775" s="190"/>
      <c r="G775" s="190"/>
    </row>
    <row r="776" spans="1:7" ht="12.75" customHeight="1">
      <c r="A776" s="190"/>
      <c r="B776" s="190"/>
      <c r="C776" s="190"/>
      <c r="D776" s="190"/>
      <c r="E776" s="190"/>
      <c r="F776" s="190"/>
      <c r="G776" s="190"/>
    </row>
    <row r="777" spans="1:7" ht="12.75" customHeight="1">
      <c r="A777" s="190"/>
      <c r="B777" s="190"/>
      <c r="C777" s="190"/>
      <c r="D777" s="190"/>
      <c r="E777" s="190"/>
      <c r="F777" s="190"/>
      <c r="G777" s="190"/>
    </row>
    <row r="778" spans="1:7" ht="12.75" customHeight="1">
      <c r="A778" s="190"/>
      <c r="B778" s="190"/>
      <c r="C778" s="190"/>
      <c r="D778" s="190"/>
      <c r="E778" s="190"/>
      <c r="F778" s="190"/>
      <c r="G778" s="190"/>
    </row>
    <row r="779" spans="1:7" ht="12.75" customHeight="1">
      <c r="A779" s="190"/>
      <c r="B779" s="190"/>
      <c r="C779" s="190"/>
      <c r="D779" s="190"/>
      <c r="E779" s="190"/>
      <c r="F779" s="190"/>
      <c r="G779" s="190"/>
    </row>
    <row r="780" spans="1:7" ht="12.75" customHeight="1">
      <c r="A780" s="190"/>
      <c r="B780" s="190"/>
      <c r="C780" s="190"/>
      <c r="D780" s="190"/>
      <c r="E780" s="190"/>
      <c r="F780" s="190"/>
      <c r="G780" s="190"/>
    </row>
    <row r="781" spans="1:7" ht="12.75" customHeight="1">
      <c r="A781" s="190"/>
      <c r="B781" s="190"/>
      <c r="C781" s="190"/>
      <c r="D781" s="190"/>
      <c r="E781" s="190"/>
      <c r="F781" s="190"/>
      <c r="G781" s="190"/>
    </row>
    <row r="782" spans="1:7" ht="12.75" customHeight="1">
      <c r="A782" s="190"/>
      <c r="B782" s="190"/>
      <c r="C782" s="190"/>
      <c r="D782" s="190"/>
      <c r="E782" s="190"/>
      <c r="F782" s="190"/>
      <c r="G782" s="190"/>
    </row>
    <row r="783" spans="1:7" ht="12.75" customHeight="1">
      <c r="A783" s="190"/>
      <c r="B783" s="190"/>
      <c r="C783" s="190"/>
      <c r="D783" s="190"/>
      <c r="E783" s="190"/>
      <c r="F783" s="190"/>
      <c r="G783" s="190"/>
    </row>
    <row r="784" spans="1:7" ht="12.75" customHeight="1">
      <c r="A784" s="190"/>
      <c r="B784" s="190"/>
      <c r="C784" s="190"/>
      <c r="D784" s="190"/>
      <c r="E784" s="190"/>
      <c r="F784" s="190"/>
      <c r="G784" s="190"/>
    </row>
    <row r="785" spans="1:7" ht="12.75" customHeight="1">
      <c r="A785" s="190"/>
      <c r="B785" s="190"/>
      <c r="C785" s="190"/>
      <c r="D785" s="190"/>
      <c r="E785" s="190"/>
      <c r="F785" s="190"/>
      <c r="G785" s="190"/>
    </row>
    <row r="786" spans="1:7" ht="12.75" customHeight="1">
      <c r="A786" s="190"/>
      <c r="B786" s="190"/>
      <c r="C786" s="190"/>
      <c r="D786" s="190"/>
      <c r="E786" s="190"/>
      <c r="F786" s="190"/>
      <c r="G786" s="190"/>
    </row>
    <row r="787" spans="1:7" ht="12.75" customHeight="1">
      <c r="A787" s="190"/>
      <c r="B787" s="190"/>
      <c r="C787" s="190"/>
      <c r="D787" s="190"/>
      <c r="E787" s="190"/>
      <c r="F787" s="190"/>
      <c r="G787" s="190"/>
    </row>
    <row r="788" spans="1:7" ht="12.75" customHeight="1">
      <c r="A788" s="190"/>
      <c r="B788" s="190"/>
      <c r="C788" s="190"/>
      <c r="D788" s="190"/>
      <c r="E788" s="190"/>
      <c r="F788" s="190"/>
      <c r="G788" s="190"/>
    </row>
    <row r="789" spans="1:7" ht="12.75" customHeight="1">
      <c r="A789" s="190"/>
      <c r="B789" s="190"/>
      <c r="C789" s="190"/>
      <c r="D789" s="190"/>
      <c r="E789" s="190"/>
      <c r="F789" s="190"/>
      <c r="G789" s="190"/>
    </row>
    <row r="790" spans="1:7" ht="12.75" customHeight="1">
      <c r="A790" s="190"/>
      <c r="B790" s="190"/>
      <c r="C790" s="190"/>
      <c r="D790" s="190"/>
      <c r="E790" s="190"/>
      <c r="F790" s="190"/>
      <c r="G790" s="190"/>
    </row>
    <row r="791" spans="1:7" ht="12.75" customHeight="1">
      <c r="A791" s="190"/>
      <c r="B791" s="190"/>
      <c r="C791" s="190"/>
      <c r="D791" s="190"/>
      <c r="E791" s="190"/>
      <c r="F791" s="190"/>
      <c r="G791" s="190"/>
    </row>
    <row r="792" spans="1:7" ht="12.75" customHeight="1">
      <c r="A792" s="190"/>
      <c r="B792" s="190"/>
      <c r="C792" s="190"/>
      <c r="D792" s="190"/>
      <c r="E792" s="190"/>
      <c r="F792" s="190"/>
      <c r="G792" s="190"/>
    </row>
    <row r="793" spans="1:7" ht="12.75" customHeight="1">
      <c r="A793" s="190"/>
      <c r="B793" s="190"/>
      <c r="C793" s="190"/>
      <c r="D793" s="190"/>
      <c r="E793" s="190"/>
      <c r="F793" s="190"/>
      <c r="G793" s="190"/>
    </row>
    <row r="794" spans="1:7" ht="12.75" customHeight="1">
      <c r="A794" s="190"/>
      <c r="B794" s="190"/>
      <c r="C794" s="190"/>
      <c r="D794" s="190"/>
      <c r="E794" s="190"/>
      <c r="F794" s="190"/>
      <c r="G794" s="190"/>
    </row>
    <row r="795" spans="1:7" ht="12.75" customHeight="1">
      <c r="A795" s="190"/>
      <c r="B795" s="190"/>
      <c r="C795" s="190"/>
      <c r="D795" s="190"/>
      <c r="E795" s="190"/>
      <c r="F795" s="190"/>
      <c r="G795" s="190"/>
    </row>
    <row r="796" spans="1:7" ht="12.75" customHeight="1">
      <c r="A796" s="190"/>
      <c r="B796" s="190"/>
      <c r="C796" s="190"/>
      <c r="D796" s="190"/>
      <c r="E796" s="190"/>
      <c r="F796" s="190"/>
      <c r="G796" s="190"/>
    </row>
    <row r="797" spans="1:7" ht="12.75" customHeight="1">
      <c r="A797" s="190"/>
      <c r="B797" s="190"/>
      <c r="C797" s="190"/>
      <c r="D797" s="190"/>
      <c r="E797" s="190"/>
      <c r="F797" s="190"/>
      <c r="G797" s="190"/>
    </row>
    <row r="798" spans="1:7" ht="12.75" customHeight="1">
      <c r="A798" s="190"/>
      <c r="B798" s="190"/>
      <c r="C798" s="190"/>
      <c r="D798" s="190"/>
      <c r="E798" s="190"/>
      <c r="F798" s="190"/>
      <c r="G798" s="190"/>
    </row>
    <row r="799" spans="1:7" ht="12.75" customHeight="1">
      <c r="A799" s="190"/>
      <c r="B799" s="190"/>
      <c r="C799" s="190"/>
      <c r="D799" s="190"/>
      <c r="E799" s="190"/>
      <c r="F799" s="190"/>
      <c r="G799" s="190"/>
    </row>
    <row r="800" spans="1:7" ht="12.75" customHeight="1">
      <c r="A800" s="190"/>
      <c r="B800" s="190"/>
      <c r="C800" s="190"/>
      <c r="D800" s="190"/>
      <c r="E800" s="190"/>
      <c r="F800" s="190"/>
      <c r="G800" s="190"/>
    </row>
    <row r="801" spans="1:7" ht="12.75" customHeight="1">
      <c r="A801" s="190"/>
      <c r="B801" s="190"/>
      <c r="C801" s="190"/>
      <c r="D801" s="190"/>
      <c r="E801" s="190"/>
      <c r="F801" s="190"/>
      <c r="G801" s="190"/>
    </row>
    <row r="802" spans="1:7" ht="12.75" customHeight="1">
      <c r="A802" s="190"/>
      <c r="B802" s="190"/>
      <c r="C802" s="190"/>
      <c r="D802" s="190"/>
      <c r="E802" s="190"/>
      <c r="F802" s="190"/>
      <c r="G802" s="190"/>
    </row>
    <row r="803" spans="1:7" ht="12.75" customHeight="1">
      <c r="A803" s="190"/>
      <c r="B803" s="190"/>
      <c r="C803" s="190"/>
      <c r="D803" s="190"/>
      <c r="E803" s="190"/>
      <c r="F803" s="190"/>
      <c r="G803" s="190"/>
    </row>
    <row r="804" spans="1:7" ht="12.75" customHeight="1">
      <c r="A804" s="190"/>
      <c r="B804" s="190"/>
      <c r="C804" s="190"/>
      <c r="D804" s="190"/>
      <c r="E804" s="190"/>
      <c r="F804" s="190"/>
      <c r="G804" s="190"/>
    </row>
    <row r="805" spans="1:7" ht="12.75" customHeight="1">
      <c r="A805" s="190"/>
      <c r="B805" s="190"/>
      <c r="C805" s="190"/>
      <c r="D805" s="190"/>
      <c r="E805" s="190"/>
      <c r="F805" s="190"/>
      <c r="G805" s="190"/>
    </row>
    <row r="806" spans="1:7" ht="12.75" customHeight="1">
      <c r="A806" s="190"/>
      <c r="B806" s="190"/>
      <c r="C806" s="190"/>
      <c r="D806" s="190"/>
      <c r="E806" s="190"/>
      <c r="F806" s="190"/>
      <c r="G806" s="190"/>
    </row>
    <row r="807" spans="1:7" ht="12.75" customHeight="1">
      <c r="A807" s="190"/>
      <c r="B807" s="190"/>
      <c r="C807" s="190"/>
      <c r="D807" s="190"/>
      <c r="E807" s="190"/>
      <c r="F807" s="190"/>
      <c r="G807" s="190"/>
    </row>
    <row r="808" spans="1:7" ht="12.75" customHeight="1">
      <c r="A808" s="190"/>
      <c r="B808" s="190"/>
      <c r="C808" s="190"/>
      <c r="D808" s="190"/>
      <c r="E808" s="190"/>
      <c r="F808" s="190"/>
      <c r="G808" s="190"/>
    </row>
    <row r="809" spans="1:7" ht="12.75" customHeight="1">
      <c r="A809" s="190"/>
      <c r="B809" s="190"/>
      <c r="C809" s="190"/>
      <c r="D809" s="190"/>
      <c r="E809" s="190"/>
      <c r="F809" s="190"/>
      <c r="G809" s="190"/>
    </row>
    <row r="810" spans="1:7" ht="12.75" customHeight="1">
      <c r="A810" s="190"/>
      <c r="B810" s="190"/>
      <c r="C810" s="190"/>
      <c r="D810" s="190"/>
      <c r="E810" s="190"/>
      <c r="F810" s="190"/>
      <c r="G810" s="190"/>
    </row>
    <row r="811" spans="1:7" ht="12.75" customHeight="1">
      <c r="A811" s="190"/>
      <c r="B811" s="190"/>
      <c r="C811" s="190"/>
      <c r="D811" s="190"/>
      <c r="E811" s="190"/>
      <c r="F811" s="190"/>
      <c r="G811" s="190"/>
    </row>
    <row r="812" spans="1:7" ht="12.75" customHeight="1">
      <c r="A812" s="190"/>
      <c r="B812" s="190"/>
      <c r="C812" s="190"/>
      <c r="D812" s="190"/>
      <c r="E812" s="190"/>
      <c r="F812" s="190"/>
      <c r="G812" s="190"/>
    </row>
    <row r="813" spans="1:7" ht="12.75" customHeight="1">
      <c r="A813" s="190"/>
      <c r="B813" s="190"/>
      <c r="C813" s="190"/>
      <c r="D813" s="190"/>
      <c r="E813" s="190"/>
      <c r="F813" s="190"/>
      <c r="G813" s="190"/>
    </row>
    <row r="814" spans="1:7" ht="12.75" customHeight="1">
      <c r="A814" s="190"/>
      <c r="B814" s="190"/>
      <c r="C814" s="190"/>
      <c r="D814" s="190"/>
      <c r="E814" s="190"/>
      <c r="F814" s="190"/>
      <c r="G814" s="190"/>
    </row>
    <row r="815" spans="1:7" ht="12.75" customHeight="1">
      <c r="A815" s="190"/>
      <c r="B815" s="190"/>
      <c r="C815" s="190"/>
      <c r="D815" s="190"/>
      <c r="E815" s="190"/>
      <c r="F815" s="190"/>
      <c r="G815" s="190"/>
    </row>
    <row r="816" spans="1:7" ht="12.75" customHeight="1">
      <c r="A816" s="190"/>
      <c r="B816" s="190"/>
      <c r="C816" s="190"/>
      <c r="D816" s="190"/>
      <c r="E816" s="190"/>
      <c r="F816" s="190"/>
      <c r="G816" s="190"/>
    </row>
    <row r="817" spans="1:7" ht="12.75" customHeight="1">
      <c r="A817" s="190"/>
      <c r="B817" s="190"/>
      <c r="C817" s="190"/>
      <c r="D817" s="190"/>
      <c r="E817" s="190"/>
      <c r="F817" s="190"/>
      <c r="G817" s="190"/>
    </row>
    <row r="818" spans="1:7" ht="12.75" customHeight="1">
      <c r="A818" s="190"/>
      <c r="B818" s="190"/>
      <c r="C818" s="190"/>
      <c r="D818" s="190"/>
      <c r="E818" s="190"/>
      <c r="F818" s="190"/>
      <c r="G818" s="190"/>
    </row>
    <row r="819" spans="1:7" ht="12.75" customHeight="1">
      <c r="A819" s="190"/>
      <c r="B819" s="190"/>
      <c r="C819" s="190"/>
      <c r="D819" s="190"/>
      <c r="E819" s="190"/>
      <c r="F819" s="190"/>
      <c r="G819" s="190"/>
    </row>
    <row r="820" spans="1:7" ht="12.75" customHeight="1">
      <c r="A820" s="190"/>
      <c r="B820" s="190"/>
      <c r="C820" s="190"/>
      <c r="D820" s="190"/>
      <c r="E820" s="190"/>
      <c r="F820" s="190"/>
      <c r="G820" s="190"/>
    </row>
    <row r="821" spans="1:7" ht="12.75" customHeight="1">
      <c r="A821" s="190"/>
      <c r="B821" s="190"/>
      <c r="C821" s="190"/>
      <c r="D821" s="190"/>
      <c r="E821" s="190"/>
      <c r="F821" s="190"/>
      <c r="G821" s="190"/>
    </row>
    <row r="822" spans="1:7" ht="12.75" customHeight="1">
      <c r="A822" s="190"/>
      <c r="B822" s="190"/>
      <c r="C822" s="190"/>
      <c r="D822" s="190"/>
      <c r="E822" s="190"/>
      <c r="F822" s="190"/>
      <c r="G822" s="190"/>
    </row>
    <row r="823" spans="1:7" ht="12.75" customHeight="1">
      <c r="A823" s="190"/>
      <c r="B823" s="190"/>
      <c r="C823" s="190"/>
      <c r="D823" s="190"/>
      <c r="E823" s="190"/>
      <c r="F823" s="190"/>
      <c r="G823" s="190"/>
    </row>
    <row r="824" spans="1:7" ht="12.75" customHeight="1">
      <c r="A824" s="190"/>
      <c r="B824" s="190"/>
      <c r="C824" s="190"/>
      <c r="D824" s="190"/>
      <c r="E824" s="190"/>
      <c r="F824" s="190"/>
      <c r="G824" s="190"/>
    </row>
    <row r="825" spans="1:7" ht="12.75" customHeight="1">
      <c r="A825" s="190"/>
      <c r="B825" s="190"/>
      <c r="C825" s="190"/>
      <c r="D825" s="190"/>
      <c r="E825" s="190"/>
      <c r="F825" s="190"/>
      <c r="G825" s="190"/>
    </row>
    <row r="826" spans="1:7" ht="12.75" customHeight="1">
      <c r="A826" s="190"/>
      <c r="B826" s="190"/>
      <c r="C826" s="190"/>
      <c r="D826" s="190"/>
      <c r="E826" s="190"/>
      <c r="F826" s="190"/>
      <c r="G826" s="190"/>
    </row>
    <row r="827" spans="1:7" ht="12.75" customHeight="1">
      <c r="A827" s="190"/>
      <c r="B827" s="190"/>
      <c r="C827" s="190"/>
      <c r="D827" s="190"/>
      <c r="E827" s="190"/>
      <c r="F827" s="190"/>
      <c r="G827" s="190"/>
    </row>
    <row r="828" spans="1:7" ht="12.75" customHeight="1">
      <c r="A828" s="190"/>
      <c r="B828" s="190"/>
      <c r="C828" s="190"/>
      <c r="D828" s="190"/>
      <c r="E828" s="190"/>
      <c r="F828" s="190"/>
      <c r="G828" s="190"/>
    </row>
    <row r="829" spans="1:7" ht="12.75" customHeight="1">
      <c r="A829" s="190"/>
      <c r="B829" s="190"/>
      <c r="C829" s="190"/>
      <c r="D829" s="190"/>
      <c r="E829" s="190"/>
      <c r="F829" s="190"/>
      <c r="G829" s="190"/>
    </row>
    <row r="830" spans="1:7" ht="12.75" customHeight="1">
      <c r="A830" s="190"/>
      <c r="B830" s="190"/>
      <c r="C830" s="190"/>
      <c r="D830" s="190"/>
      <c r="E830" s="190"/>
      <c r="F830" s="190"/>
      <c r="G830" s="190"/>
    </row>
    <row r="831" spans="1:7" ht="12.75" customHeight="1">
      <c r="A831" s="190"/>
      <c r="B831" s="190"/>
      <c r="C831" s="190"/>
      <c r="D831" s="190"/>
      <c r="E831" s="190"/>
      <c r="F831" s="190"/>
      <c r="G831" s="190"/>
    </row>
    <row r="832" spans="1:7" ht="12.75" customHeight="1">
      <c r="A832" s="190"/>
      <c r="B832" s="190"/>
      <c r="C832" s="190"/>
      <c r="D832" s="190"/>
      <c r="E832" s="190"/>
      <c r="F832" s="190"/>
      <c r="G832" s="190"/>
    </row>
    <row r="833" spans="1:7" ht="12.75" customHeight="1">
      <c r="A833" s="190"/>
      <c r="B833" s="190"/>
      <c r="C833" s="190"/>
      <c r="D833" s="190"/>
      <c r="E833" s="190"/>
      <c r="F833" s="190"/>
      <c r="G833" s="190"/>
    </row>
    <row r="834" spans="1:7" ht="12.75" customHeight="1">
      <c r="A834" s="190"/>
      <c r="B834" s="190"/>
      <c r="C834" s="190"/>
      <c r="D834" s="190"/>
      <c r="E834" s="190"/>
      <c r="F834" s="190"/>
      <c r="G834" s="190"/>
    </row>
    <row r="835" spans="1:7" ht="12.75" customHeight="1">
      <c r="A835" s="190"/>
      <c r="B835" s="190"/>
      <c r="C835" s="190"/>
      <c r="D835" s="190"/>
      <c r="E835" s="190"/>
      <c r="F835" s="190"/>
      <c r="G835" s="190"/>
    </row>
    <row r="836" spans="1:7" ht="12.75" customHeight="1">
      <c r="A836" s="190"/>
      <c r="B836" s="190"/>
      <c r="C836" s="190"/>
      <c r="D836" s="190"/>
      <c r="E836" s="190"/>
      <c r="F836" s="190"/>
      <c r="G836" s="190"/>
    </row>
    <row r="837" spans="1:7" ht="12.75" customHeight="1">
      <c r="A837" s="190"/>
      <c r="B837" s="190"/>
      <c r="C837" s="190"/>
      <c r="D837" s="190"/>
      <c r="E837" s="190"/>
      <c r="F837" s="190"/>
      <c r="G837" s="190"/>
    </row>
    <row r="838" spans="1:7" ht="12.75" customHeight="1">
      <c r="A838" s="190"/>
      <c r="B838" s="190"/>
      <c r="C838" s="190"/>
      <c r="D838" s="190"/>
      <c r="E838" s="190"/>
      <c r="F838" s="190"/>
      <c r="G838" s="190"/>
    </row>
    <row r="839" spans="1:7" ht="12.75" customHeight="1">
      <c r="A839" s="190"/>
      <c r="B839" s="190"/>
      <c r="C839" s="190"/>
      <c r="D839" s="190"/>
      <c r="E839" s="190"/>
      <c r="F839" s="190"/>
      <c r="G839" s="190"/>
    </row>
    <row r="840" spans="1:7" ht="12.75" customHeight="1">
      <c r="A840" s="190"/>
      <c r="B840" s="190"/>
      <c r="C840" s="190"/>
      <c r="D840" s="190"/>
      <c r="E840" s="190"/>
      <c r="F840" s="190"/>
      <c r="G840" s="190"/>
    </row>
    <row r="841" spans="1:7" ht="12.75" customHeight="1">
      <c r="A841" s="190"/>
      <c r="B841" s="190"/>
      <c r="C841" s="190"/>
      <c r="D841" s="190"/>
      <c r="E841" s="190"/>
      <c r="F841" s="190"/>
      <c r="G841" s="190"/>
    </row>
    <row r="842" spans="1:7" ht="12.75" customHeight="1">
      <c r="A842" s="190"/>
      <c r="B842" s="190"/>
      <c r="C842" s="190"/>
      <c r="D842" s="190"/>
      <c r="E842" s="190"/>
      <c r="F842" s="190"/>
      <c r="G842" s="190"/>
    </row>
    <row r="843" spans="1:7" ht="12.75" customHeight="1">
      <c r="A843" s="190"/>
      <c r="B843" s="190"/>
      <c r="C843" s="190"/>
      <c r="D843" s="190"/>
      <c r="E843" s="190"/>
      <c r="F843" s="190"/>
      <c r="G843" s="190"/>
    </row>
    <row r="844" spans="1:7" ht="12.75" customHeight="1">
      <c r="A844" s="190"/>
      <c r="B844" s="190"/>
      <c r="C844" s="190"/>
      <c r="D844" s="190"/>
      <c r="E844" s="190"/>
      <c r="F844" s="190"/>
      <c r="G844" s="190"/>
    </row>
    <row r="845" spans="1:7" ht="12.75" customHeight="1">
      <c r="A845" s="190"/>
      <c r="B845" s="190"/>
      <c r="C845" s="190"/>
      <c r="D845" s="190"/>
      <c r="E845" s="190"/>
      <c r="F845" s="190"/>
      <c r="G845" s="190"/>
    </row>
    <row r="846" spans="1:7" ht="12.75" customHeight="1">
      <c r="A846" s="190"/>
      <c r="B846" s="190"/>
      <c r="C846" s="190"/>
      <c r="D846" s="190"/>
      <c r="E846" s="190"/>
      <c r="F846" s="190"/>
      <c r="G846" s="190"/>
    </row>
    <row r="847" spans="1:7" ht="12.75" customHeight="1">
      <c r="A847" s="190"/>
      <c r="B847" s="190"/>
      <c r="C847" s="190"/>
      <c r="D847" s="190"/>
      <c r="E847" s="190"/>
      <c r="F847" s="190"/>
      <c r="G847" s="190"/>
    </row>
    <row r="848" spans="1:7" ht="12.75" customHeight="1">
      <c r="A848" s="190"/>
      <c r="B848" s="190"/>
      <c r="C848" s="190"/>
      <c r="D848" s="190"/>
      <c r="E848" s="190"/>
      <c r="F848" s="190"/>
      <c r="G848" s="190"/>
    </row>
    <row r="849" spans="1:7" ht="12.75" customHeight="1">
      <c r="A849" s="190"/>
      <c r="B849" s="190"/>
      <c r="C849" s="190"/>
      <c r="D849" s="190"/>
      <c r="E849" s="190"/>
      <c r="F849" s="190"/>
      <c r="G849" s="190"/>
    </row>
    <row r="850" spans="1:7" ht="12.75" customHeight="1">
      <c r="A850" s="190"/>
      <c r="B850" s="190"/>
      <c r="C850" s="190"/>
      <c r="D850" s="190"/>
      <c r="E850" s="190"/>
      <c r="F850" s="190"/>
      <c r="G850" s="190"/>
    </row>
    <row r="851" spans="1:7" ht="12.75" customHeight="1">
      <c r="A851" s="190"/>
      <c r="B851" s="190"/>
      <c r="C851" s="190"/>
      <c r="D851" s="190"/>
      <c r="E851" s="190"/>
      <c r="F851" s="190"/>
      <c r="G851" s="190"/>
    </row>
    <row r="852" spans="1:7" ht="12.75" customHeight="1">
      <c r="A852" s="190"/>
      <c r="B852" s="190"/>
      <c r="C852" s="190"/>
      <c r="D852" s="190"/>
      <c r="E852" s="190"/>
      <c r="F852" s="190"/>
      <c r="G852" s="190"/>
    </row>
    <row r="853" spans="1:7" ht="12.75" customHeight="1">
      <c r="A853" s="190"/>
      <c r="B853" s="190"/>
      <c r="C853" s="190"/>
      <c r="D853" s="190"/>
      <c r="E853" s="190"/>
      <c r="F853" s="190"/>
      <c r="G853" s="190"/>
    </row>
    <row r="854" spans="1:7" ht="12.75" customHeight="1">
      <c r="A854" s="190"/>
      <c r="B854" s="190"/>
      <c r="C854" s="190"/>
      <c r="D854" s="190"/>
      <c r="E854" s="190"/>
      <c r="F854" s="190"/>
      <c r="G854" s="190"/>
    </row>
    <row r="855" spans="1:7" ht="12.75" customHeight="1">
      <c r="A855" s="190"/>
      <c r="B855" s="190"/>
      <c r="C855" s="190"/>
      <c r="D855" s="190"/>
      <c r="E855" s="190"/>
      <c r="F855" s="190"/>
      <c r="G855" s="190"/>
    </row>
    <row r="856" spans="1:7" ht="12.75" customHeight="1">
      <c r="A856" s="190"/>
      <c r="B856" s="190"/>
      <c r="C856" s="190"/>
      <c r="D856" s="190"/>
      <c r="E856" s="190"/>
      <c r="F856" s="190"/>
      <c r="G856" s="190"/>
    </row>
    <row r="857" spans="1:7" ht="12.75" customHeight="1">
      <c r="A857" s="190"/>
      <c r="B857" s="190"/>
      <c r="C857" s="190"/>
      <c r="D857" s="190"/>
      <c r="E857" s="190"/>
      <c r="F857" s="190"/>
      <c r="G857" s="190"/>
    </row>
    <row r="858" spans="1:7" ht="12.75" customHeight="1">
      <c r="A858" s="190"/>
      <c r="B858" s="190"/>
      <c r="C858" s="190"/>
      <c r="D858" s="190"/>
      <c r="E858" s="190"/>
      <c r="F858" s="190"/>
      <c r="G858" s="190"/>
    </row>
    <row r="859" spans="1:7" ht="12.75" customHeight="1">
      <c r="A859" s="190"/>
      <c r="B859" s="190"/>
      <c r="C859" s="190"/>
      <c r="D859" s="190"/>
      <c r="E859" s="190"/>
      <c r="F859" s="190"/>
      <c r="G859" s="190"/>
    </row>
    <row r="860" spans="1:7" ht="12.75" customHeight="1">
      <c r="A860" s="190"/>
      <c r="B860" s="190"/>
      <c r="C860" s="190"/>
      <c r="D860" s="190"/>
      <c r="E860" s="190"/>
      <c r="F860" s="190"/>
      <c r="G860" s="190"/>
    </row>
    <row r="861" spans="1:7" ht="12.75" customHeight="1">
      <c r="A861" s="190"/>
      <c r="B861" s="190"/>
      <c r="C861" s="190"/>
      <c r="D861" s="190"/>
      <c r="E861" s="190"/>
      <c r="F861" s="190"/>
      <c r="G861" s="190"/>
    </row>
    <row r="862" spans="1:7" ht="12.75" customHeight="1">
      <c r="A862" s="190"/>
      <c r="B862" s="190"/>
      <c r="C862" s="190"/>
      <c r="D862" s="190"/>
      <c r="E862" s="190"/>
      <c r="F862" s="190"/>
      <c r="G862" s="190"/>
    </row>
    <row r="863" spans="1:7" ht="12.75" customHeight="1">
      <c r="A863" s="190"/>
      <c r="B863" s="190"/>
      <c r="C863" s="190"/>
      <c r="D863" s="190"/>
      <c r="E863" s="190"/>
      <c r="F863" s="190"/>
      <c r="G863" s="190"/>
    </row>
    <row r="864" spans="1:7" ht="12.75" customHeight="1">
      <c r="A864" s="190"/>
      <c r="B864" s="190"/>
      <c r="C864" s="190"/>
      <c r="D864" s="190"/>
      <c r="E864" s="190"/>
      <c r="F864" s="190"/>
      <c r="G864" s="190"/>
    </row>
    <row r="865" spans="1:7" ht="12.75" customHeight="1">
      <c r="A865" s="190"/>
      <c r="B865" s="190"/>
      <c r="C865" s="190"/>
      <c r="D865" s="190"/>
      <c r="E865" s="190"/>
      <c r="F865" s="190"/>
      <c r="G865" s="190"/>
    </row>
    <row r="866" spans="1:7" ht="12.75" customHeight="1">
      <c r="A866" s="190"/>
      <c r="B866" s="190"/>
      <c r="C866" s="190"/>
      <c r="D866" s="190"/>
      <c r="E866" s="190"/>
      <c r="F866" s="190"/>
      <c r="G866" s="190"/>
    </row>
    <row r="867" spans="1:7" ht="12.75" customHeight="1">
      <c r="A867" s="190"/>
      <c r="B867" s="190"/>
      <c r="C867" s="190"/>
      <c r="D867" s="190"/>
      <c r="E867" s="190"/>
      <c r="F867" s="190"/>
      <c r="G867" s="190"/>
    </row>
    <row r="868" spans="1:7" ht="12.75" customHeight="1">
      <c r="A868" s="190"/>
      <c r="B868" s="190"/>
      <c r="C868" s="190"/>
      <c r="D868" s="190"/>
      <c r="E868" s="190"/>
      <c r="F868" s="190"/>
      <c r="G868" s="190"/>
    </row>
    <row r="869" spans="1:7" ht="12.75" customHeight="1">
      <c r="A869" s="190"/>
      <c r="B869" s="190"/>
      <c r="C869" s="190"/>
      <c r="D869" s="190"/>
      <c r="E869" s="190"/>
      <c r="F869" s="190"/>
      <c r="G869" s="190"/>
    </row>
    <row r="870" spans="1:7" ht="12.75" customHeight="1">
      <c r="A870" s="190"/>
      <c r="B870" s="190"/>
      <c r="C870" s="190"/>
      <c r="D870" s="190"/>
      <c r="E870" s="190"/>
      <c r="F870" s="190"/>
      <c r="G870" s="190"/>
    </row>
    <row r="871" spans="1:7" ht="12.75" customHeight="1">
      <c r="A871" s="190"/>
      <c r="B871" s="190"/>
      <c r="C871" s="190"/>
      <c r="D871" s="190"/>
      <c r="E871" s="190"/>
      <c r="F871" s="190"/>
      <c r="G871" s="190"/>
    </row>
    <row r="872" spans="1:7" ht="12.75" customHeight="1">
      <c r="A872" s="190"/>
      <c r="B872" s="190"/>
      <c r="C872" s="190"/>
      <c r="D872" s="190"/>
      <c r="E872" s="190"/>
      <c r="F872" s="190"/>
      <c r="G872" s="190"/>
    </row>
    <row r="873" spans="1:7" ht="12.75" customHeight="1">
      <c r="A873" s="190"/>
      <c r="B873" s="190"/>
      <c r="C873" s="190"/>
      <c r="D873" s="190"/>
      <c r="E873" s="190"/>
      <c r="F873" s="190"/>
      <c r="G873" s="190"/>
    </row>
    <row r="874" spans="1:7" ht="12.75" customHeight="1">
      <c r="A874" s="190"/>
      <c r="B874" s="190"/>
      <c r="C874" s="190"/>
      <c r="D874" s="190"/>
      <c r="E874" s="190"/>
      <c r="F874" s="190"/>
      <c r="G874" s="190"/>
    </row>
    <row r="875" spans="1:7" ht="12.75" customHeight="1">
      <c r="A875" s="190"/>
      <c r="B875" s="190"/>
      <c r="C875" s="190"/>
      <c r="D875" s="190"/>
      <c r="E875" s="190"/>
      <c r="F875" s="190"/>
      <c r="G875" s="190"/>
    </row>
    <row r="876" spans="1:7" ht="12.75" customHeight="1">
      <c r="A876" s="190"/>
      <c r="B876" s="190"/>
      <c r="C876" s="190"/>
      <c r="D876" s="190"/>
      <c r="E876" s="190"/>
      <c r="F876" s="190"/>
      <c r="G876" s="190"/>
    </row>
    <row r="877" spans="1:7" ht="12.75" customHeight="1">
      <c r="A877" s="190"/>
      <c r="B877" s="190"/>
      <c r="C877" s="190"/>
      <c r="D877" s="190"/>
      <c r="E877" s="190"/>
      <c r="F877" s="190"/>
      <c r="G877" s="190"/>
    </row>
    <row r="878" spans="1:7" ht="12.75" customHeight="1">
      <c r="A878" s="190"/>
      <c r="B878" s="190"/>
      <c r="C878" s="190"/>
      <c r="D878" s="190"/>
      <c r="E878" s="190"/>
      <c r="F878" s="190"/>
      <c r="G878" s="190"/>
    </row>
    <row r="879" spans="1:7" ht="12.75" customHeight="1">
      <c r="A879" s="190"/>
      <c r="B879" s="190"/>
      <c r="C879" s="190"/>
      <c r="D879" s="190"/>
      <c r="E879" s="190"/>
      <c r="F879" s="190"/>
      <c r="G879" s="190"/>
    </row>
    <row r="880" spans="1:7" ht="12.75" customHeight="1">
      <c r="A880" s="190"/>
      <c r="B880" s="190"/>
      <c r="C880" s="190"/>
      <c r="D880" s="190"/>
      <c r="E880" s="190"/>
      <c r="F880" s="190"/>
      <c r="G880" s="190"/>
    </row>
    <row r="881" spans="1:7" ht="12.75" customHeight="1">
      <c r="A881" s="190"/>
      <c r="B881" s="190"/>
      <c r="C881" s="190"/>
      <c r="D881" s="190"/>
      <c r="E881" s="190"/>
      <c r="F881" s="190"/>
      <c r="G881" s="190"/>
    </row>
    <row r="882" spans="1:7" ht="12.75" customHeight="1">
      <c r="A882" s="190"/>
      <c r="B882" s="190"/>
      <c r="C882" s="190"/>
      <c r="D882" s="190"/>
      <c r="E882" s="190"/>
      <c r="F882" s="190"/>
      <c r="G882" s="190"/>
    </row>
    <row r="883" spans="1:7" ht="12.75" customHeight="1">
      <c r="A883" s="190"/>
      <c r="B883" s="190"/>
      <c r="C883" s="190"/>
      <c r="D883" s="190"/>
      <c r="E883" s="190"/>
      <c r="F883" s="190"/>
      <c r="G883" s="190"/>
    </row>
    <row r="884" spans="1:7" ht="12.75" customHeight="1">
      <c r="A884" s="190"/>
      <c r="B884" s="190"/>
      <c r="C884" s="190"/>
      <c r="D884" s="190"/>
      <c r="E884" s="190"/>
      <c r="F884" s="190"/>
      <c r="G884" s="190"/>
    </row>
    <row r="885" spans="1:7" ht="12.75" customHeight="1">
      <c r="A885" s="190"/>
      <c r="B885" s="190"/>
      <c r="C885" s="190"/>
      <c r="D885" s="190"/>
      <c r="E885" s="190"/>
      <c r="F885" s="190"/>
      <c r="G885" s="190"/>
    </row>
    <row r="886" spans="1:7" ht="12.75" customHeight="1">
      <c r="A886" s="190"/>
      <c r="B886" s="190"/>
      <c r="C886" s="190"/>
      <c r="D886" s="190"/>
      <c r="E886" s="190"/>
      <c r="F886" s="190"/>
      <c r="G886" s="190"/>
    </row>
    <row r="887" spans="1:7" ht="12.75" customHeight="1">
      <c r="A887" s="190"/>
      <c r="B887" s="190"/>
      <c r="C887" s="190"/>
      <c r="D887" s="190"/>
      <c r="E887" s="190"/>
      <c r="F887" s="190"/>
      <c r="G887" s="190"/>
    </row>
    <row r="888" spans="1:7" ht="12.75" customHeight="1">
      <c r="A888" s="190"/>
      <c r="B888" s="190"/>
      <c r="C888" s="190"/>
      <c r="D888" s="190"/>
      <c r="E888" s="190"/>
      <c r="F888" s="190"/>
      <c r="G888" s="190"/>
    </row>
    <row r="889" spans="1:7" ht="12.75" customHeight="1">
      <c r="A889" s="190"/>
      <c r="B889" s="190"/>
      <c r="C889" s="190"/>
      <c r="D889" s="190"/>
      <c r="E889" s="190"/>
      <c r="F889" s="190"/>
      <c r="G889" s="190"/>
    </row>
    <row r="890" spans="1:7" ht="12.75" customHeight="1">
      <c r="A890" s="190"/>
      <c r="B890" s="190"/>
      <c r="C890" s="190"/>
      <c r="D890" s="190"/>
      <c r="E890" s="190"/>
      <c r="F890" s="190"/>
      <c r="G890" s="190"/>
    </row>
    <row r="891" spans="1:7" ht="12.75" customHeight="1">
      <c r="A891" s="190"/>
      <c r="B891" s="190"/>
      <c r="C891" s="190"/>
      <c r="D891" s="190"/>
      <c r="E891" s="190"/>
      <c r="F891" s="190"/>
      <c r="G891" s="190"/>
    </row>
    <row r="892" spans="1:7" ht="12.75" customHeight="1">
      <c r="A892" s="190"/>
      <c r="B892" s="190"/>
      <c r="C892" s="190"/>
      <c r="D892" s="190"/>
      <c r="E892" s="190"/>
      <c r="F892" s="190"/>
      <c r="G892" s="190"/>
    </row>
    <row r="893" spans="1:7" ht="12.75" customHeight="1">
      <c r="A893" s="190"/>
      <c r="B893" s="190"/>
      <c r="C893" s="190"/>
      <c r="D893" s="190"/>
      <c r="E893" s="190"/>
      <c r="F893" s="190"/>
      <c r="G893" s="190"/>
    </row>
    <row r="894" spans="1:7" ht="12.75" customHeight="1">
      <c r="A894" s="190"/>
      <c r="B894" s="190"/>
      <c r="C894" s="190"/>
      <c r="D894" s="190"/>
      <c r="E894" s="190"/>
      <c r="F894" s="190"/>
      <c r="G894" s="190"/>
    </row>
    <row r="895" spans="1:7" ht="12.75" customHeight="1">
      <c r="A895" s="190"/>
      <c r="B895" s="190"/>
      <c r="C895" s="190"/>
      <c r="D895" s="190"/>
      <c r="E895" s="190"/>
      <c r="F895" s="190"/>
      <c r="G895" s="190"/>
    </row>
    <row r="896" spans="1:7" ht="12.75" customHeight="1">
      <c r="A896" s="190"/>
      <c r="B896" s="190"/>
      <c r="C896" s="190"/>
      <c r="D896" s="190"/>
      <c r="E896" s="190"/>
      <c r="F896" s="190"/>
      <c r="G896" s="190"/>
    </row>
    <row r="897" spans="1:7" ht="12.75" customHeight="1">
      <c r="A897" s="190"/>
      <c r="B897" s="190"/>
      <c r="C897" s="190"/>
      <c r="D897" s="190"/>
      <c r="E897" s="190"/>
      <c r="F897" s="190"/>
      <c r="G897" s="190"/>
    </row>
    <row r="898" spans="1:7" ht="12.75" customHeight="1">
      <c r="A898" s="190"/>
      <c r="B898" s="190"/>
      <c r="C898" s="190"/>
      <c r="D898" s="190"/>
      <c r="E898" s="190"/>
      <c r="F898" s="190"/>
      <c r="G898" s="190"/>
    </row>
    <row r="899" spans="1:7" ht="12.75" customHeight="1">
      <c r="A899" s="190"/>
      <c r="B899" s="190"/>
      <c r="C899" s="190"/>
      <c r="D899" s="190"/>
      <c r="E899" s="190"/>
      <c r="F899" s="190"/>
      <c r="G899" s="190"/>
    </row>
    <row r="900" spans="1:7" ht="12.75" customHeight="1">
      <c r="A900" s="190"/>
      <c r="B900" s="190"/>
      <c r="C900" s="190"/>
      <c r="D900" s="190"/>
      <c r="E900" s="190"/>
      <c r="F900" s="190"/>
      <c r="G900" s="190"/>
    </row>
    <row r="901" spans="1:7" ht="12.75" customHeight="1">
      <c r="A901" s="190"/>
      <c r="B901" s="190"/>
      <c r="C901" s="190"/>
      <c r="D901" s="190"/>
      <c r="E901" s="190"/>
      <c r="F901" s="190"/>
      <c r="G901" s="190"/>
    </row>
    <row r="902" spans="1:7" ht="12.75" customHeight="1">
      <c r="A902" s="190"/>
      <c r="B902" s="190"/>
      <c r="C902" s="190"/>
      <c r="D902" s="190"/>
      <c r="E902" s="190"/>
      <c r="F902" s="190"/>
      <c r="G902" s="190"/>
    </row>
    <row r="903" spans="1:7" ht="12.75" customHeight="1">
      <c r="A903" s="190"/>
      <c r="B903" s="190"/>
      <c r="C903" s="190"/>
      <c r="D903" s="190"/>
      <c r="E903" s="190"/>
      <c r="F903" s="190"/>
      <c r="G903" s="190"/>
    </row>
    <row r="904" spans="1:7" ht="12.75" customHeight="1">
      <c r="A904" s="190"/>
      <c r="B904" s="190"/>
      <c r="C904" s="190"/>
      <c r="D904" s="190"/>
      <c r="E904" s="190"/>
      <c r="F904" s="190"/>
      <c r="G904" s="190"/>
    </row>
    <row r="905" spans="1:7" ht="12.75" customHeight="1">
      <c r="A905" s="190"/>
      <c r="B905" s="190"/>
      <c r="C905" s="190"/>
      <c r="D905" s="190"/>
      <c r="E905" s="190"/>
      <c r="F905" s="190"/>
      <c r="G905" s="190"/>
    </row>
    <row r="906" spans="1:7" ht="12.75" customHeight="1">
      <c r="A906" s="190"/>
      <c r="B906" s="190"/>
      <c r="C906" s="190"/>
      <c r="D906" s="190"/>
      <c r="E906" s="190"/>
      <c r="F906" s="190"/>
      <c r="G906" s="190"/>
    </row>
    <row r="907" spans="1:7" ht="12.75" customHeight="1">
      <c r="A907" s="190"/>
      <c r="B907" s="190"/>
      <c r="C907" s="190"/>
      <c r="D907" s="190"/>
      <c r="E907" s="190"/>
      <c r="F907" s="190"/>
      <c r="G907" s="190"/>
    </row>
    <row r="908" spans="1:7" ht="12.75" customHeight="1">
      <c r="A908" s="190"/>
      <c r="B908" s="190"/>
      <c r="C908" s="190"/>
      <c r="D908" s="190"/>
      <c r="E908" s="190"/>
      <c r="F908" s="190"/>
      <c r="G908" s="190"/>
    </row>
    <row r="909" spans="1:7" ht="12.75" customHeight="1">
      <c r="A909" s="190"/>
      <c r="B909" s="190"/>
      <c r="C909" s="190"/>
      <c r="D909" s="190"/>
      <c r="E909" s="190"/>
      <c r="F909" s="190"/>
      <c r="G909" s="190"/>
    </row>
    <row r="910" spans="1:7" ht="12.75" customHeight="1">
      <c r="A910" s="190"/>
      <c r="B910" s="190"/>
      <c r="C910" s="190"/>
      <c r="D910" s="190"/>
      <c r="E910" s="190"/>
      <c r="F910" s="190"/>
      <c r="G910" s="190"/>
    </row>
    <row r="911" spans="1:7" ht="12.75" customHeight="1">
      <c r="A911" s="190"/>
      <c r="B911" s="190"/>
      <c r="C911" s="190"/>
      <c r="D911" s="190"/>
      <c r="E911" s="190"/>
      <c r="F911" s="190"/>
      <c r="G911" s="190"/>
    </row>
    <row r="912" spans="1:7" ht="12.75" customHeight="1">
      <c r="A912" s="190"/>
      <c r="B912" s="190"/>
      <c r="C912" s="190"/>
      <c r="D912" s="190"/>
      <c r="E912" s="190"/>
      <c r="F912" s="190"/>
      <c r="G912" s="190"/>
    </row>
    <row r="913" spans="1:7" ht="12.75" customHeight="1">
      <c r="A913" s="190"/>
      <c r="B913" s="190"/>
      <c r="C913" s="190"/>
      <c r="D913" s="190"/>
      <c r="E913" s="190"/>
      <c r="F913" s="190"/>
      <c r="G913" s="190"/>
    </row>
    <row r="914" spans="1:7" ht="12.75" customHeight="1">
      <c r="A914" s="190"/>
      <c r="B914" s="190"/>
      <c r="C914" s="190"/>
      <c r="D914" s="190"/>
      <c r="E914" s="190"/>
      <c r="F914" s="190"/>
      <c r="G914" s="190"/>
    </row>
    <row r="915" spans="1:7" ht="12.75" customHeight="1">
      <c r="A915" s="190"/>
      <c r="B915" s="190"/>
      <c r="C915" s="190"/>
      <c r="D915" s="190"/>
      <c r="E915" s="190"/>
      <c r="F915" s="190"/>
      <c r="G915" s="190"/>
    </row>
    <row r="916" spans="1:7" ht="12.75" customHeight="1">
      <c r="A916" s="190"/>
      <c r="B916" s="190"/>
      <c r="C916" s="190"/>
      <c r="D916" s="190"/>
      <c r="E916" s="190"/>
      <c r="F916" s="190"/>
      <c r="G916" s="190"/>
    </row>
    <row r="917" spans="1:7" ht="12.75" customHeight="1">
      <c r="A917" s="190"/>
      <c r="B917" s="190"/>
      <c r="C917" s="190"/>
      <c r="D917" s="190"/>
      <c r="E917" s="190"/>
      <c r="F917" s="190"/>
      <c r="G917" s="190"/>
    </row>
    <row r="918" spans="1:7" ht="12.75" customHeight="1">
      <c r="A918" s="190"/>
      <c r="B918" s="190"/>
      <c r="C918" s="190"/>
      <c r="D918" s="190"/>
      <c r="E918" s="190"/>
      <c r="F918" s="190"/>
      <c r="G918" s="190"/>
    </row>
    <row r="919" spans="1:7" ht="12.75" customHeight="1">
      <c r="A919" s="190"/>
      <c r="B919" s="190"/>
      <c r="C919" s="190"/>
      <c r="D919" s="190"/>
      <c r="E919" s="190"/>
      <c r="F919" s="190"/>
      <c r="G919" s="190"/>
    </row>
    <row r="920" spans="1:7" ht="12.75" customHeight="1">
      <c r="A920" s="190"/>
      <c r="B920" s="190"/>
      <c r="C920" s="190"/>
      <c r="D920" s="190"/>
      <c r="E920" s="190"/>
      <c r="F920" s="190"/>
      <c r="G920" s="190"/>
    </row>
    <row r="921" spans="1:7" ht="12.75" customHeight="1">
      <c r="A921" s="190"/>
      <c r="B921" s="190"/>
      <c r="C921" s="190"/>
      <c r="D921" s="190"/>
      <c r="E921" s="190"/>
      <c r="F921" s="190"/>
      <c r="G921" s="190"/>
    </row>
    <row r="922" spans="1:7" ht="12.75" customHeight="1">
      <c r="A922" s="190"/>
      <c r="B922" s="190"/>
      <c r="C922" s="190"/>
      <c r="D922" s="190"/>
      <c r="E922" s="190"/>
      <c r="F922" s="190"/>
      <c r="G922" s="190"/>
    </row>
    <row r="923" spans="1:7" ht="12.75" customHeight="1">
      <c r="A923" s="190"/>
      <c r="B923" s="190"/>
      <c r="C923" s="190"/>
      <c r="D923" s="190"/>
      <c r="E923" s="190"/>
      <c r="F923" s="190"/>
      <c r="G923" s="190"/>
    </row>
    <row r="924" spans="1:7" ht="12.75" customHeight="1">
      <c r="A924" s="190"/>
      <c r="B924" s="190"/>
      <c r="C924" s="190"/>
      <c r="D924" s="190"/>
      <c r="E924" s="190"/>
      <c r="F924" s="190"/>
      <c r="G924" s="190"/>
    </row>
    <row r="925" spans="1:7" ht="12.75" customHeight="1">
      <c r="A925" s="190"/>
      <c r="B925" s="190"/>
      <c r="C925" s="190"/>
      <c r="D925" s="190"/>
      <c r="E925" s="190"/>
      <c r="F925" s="190"/>
      <c r="G925" s="190"/>
    </row>
    <row r="926" spans="1:7" ht="12.75" customHeight="1">
      <c r="A926" s="190"/>
      <c r="B926" s="190"/>
      <c r="C926" s="190"/>
      <c r="D926" s="190"/>
      <c r="E926" s="190"/>
      <c r="F926" s="190"/>
      <c r="G926" s="190"/>
    </row>
    <row r="927" spans="1:7" ht="12.75" customHeight="1">
      <c r="A927" s="190"/>
      <c r="B927" s="190"/>
      <c r="C927" s="190"/>
      <c r="D927" s="190"/>
      <c r="E927" s="190"/>
      <c r="F927" s="190"/>
      <c r="G927" s="190"/>
    </row>
    <row r="928" spans="1:7" ht="12.75" customHeight="1">
      <c r="A928" s="190"/>
      <c r="B928" s="190"/>
      <c r="C928" s="190"/>
      <c r="D928" s="190"/>
      <c r="E928" s="190"/>
      <c r="F928" s="190"/>
      <c r="G928" s="190"/>
    </row>
    <row r="929" spans="1:7" ht="12.75" customHeight="1">
      <c r="A929" s="190"/>
      <c r="B929" s="190"/>
      <c r="C929" s="190"/>
      <c r="D929" s="190"/>
      <c r="E929" s="190"/>
      <c r="F929" s="190"/>
      <c r="G929" s="190"/>
    </row>
    <row r="930" spans="1:7" ht="12.75" customHeight="1">
      <c r="A930" s="190"/>
      <c r="B930" s="190"/>
      <c r="C930" s="190"/>
      <c r="D930" s="190"/>
      <c r="E930" s="190"/>
      <c r="F930" s="190"/>
      <c r="G930" s="190"/>
    </row>
    <row r="931" spans="1:7" ht="12.75" customHeight="1">
      <c r="A931" s="190"/>
      <c r="B931" s="190"/>
      <c r="C931" s="190"/>
      <c r="D931" s="190"/>
      <c r="E931" s="190"/>
      <c r="F931" s="190"/>
      <c r="G931" s="190"/>
    </row>
    <row r="932" spans="1:7" ht="12.75" customHeight="1">
      <c r="A932" s="190"/>
      <c r="B932" s="190"/>
      <c r="C932" s="190"/>
      <c r="D932" s="190"/>
      <c r="E932" s="190"/>
      <c r="F932" s="190"/>
      <c r="G932" s="190"/>
    </row>
    <row r="933" spans="1:7" ht="12.75" customHeight="1">
      <c r="A933" s="190"/>
      <c r="B933" s="190"/>
      <c r="C933" s="190"/>
      <c r="D933" s="190"/>
      <c r="E933" s="190"/>
      <c r="F933" s="190"/>
      <c r="G933" s="190"/>
    </row>
    <row r="934" spans="1:7" ht="12.75" customHeight="1">
      <c r="A934" s="190"/>
      <c r="B934" s="190"/>
      <c r="C934" s="190"/>
      <c r="D934" s="190"/>
      <c r="E934" s="190"/>
      <c r="F934" s="190"/>
      <c r="G934" s="190"/>
    </row>
    <row r="935" spans="1:7" ht="12.75" customHeight="1">
      <c r="A935" s="190"/>
      <c r="B935" s="190"/>
      <c r="C935" s="190"/>
      <c r="D935" s="190"/>
      <c r="E935" s="190"/>
      <c r="F935" s="190"/>
      <c r="G935" s="190"/>
    </row>
    <row r="936" spans="1:7" ht="12.75" customHeight="1">
      <c r="A936" s="190"/>
      <c r="B936" s="190"/>
      <c r="C936" s="190"/>
      <c r="D936" s="190"/>
      <c r="E936" s="190"/>
      <c r="F936" s="190"/>
      <c r="G936" s="190"/>
    </row>
    <row r="937" spans="1:7" ht="12.75" customHeight="1">
      <c r="A937" s="190"/>
      <c r="B937" s="190"/>
      <c r="C937" s="190"/>
      <c r="D937" s="190"/>
      <c r="E937" s="190"/>
      <c r="F937" s="190"/>
      <c r="G937" s="190"/>
    </row>
    <row r="938" spans="1:7" ht="12.75" customHeight="1">
      <c r="A938" s="190"/>
      <c r="B938" s="190"/>
      <c r="C938" s="190"/>
      <c r="D938" s="190"/>
      <c r="E938" s="190"/>
      <c r="F938" s="190"/>
      <c r="G938" s="190"/>
    </row>
    <row r="939" spans="1:7" ht="12.75" customHeight="1">
      <c r="A939" s="190"/>
      <c r="B939" s="190"/>
      <c r="C939" s="190"/>
      <c r="D939" s="190"/>
      <c r="E939" s="190"/>
      <c r="F939" s="190"/>
      <c r="G939" s="190"/>
    </row>
    <row r="940" spans="1:7" ht="12.75" customHeight="1">
      <c r="A940" s="190"/>
      <c r="B940" s="190"/>
      <c r="C940" s="190"/>
      <c r="D940" s="190"/>
      <c r="E940" s="190"/>
      <c r="F940" s="190"/>
      <c r="G940" s="190"/>
    </row>
    <row r="941" spans="1:7" ht="12.75" customHeight="1">
      <c r="A941" s="190"/>
      <c r="B941" s="190"/>
      <c r="C941" s="190"/>
      <c r="D941" s="190"/>
      <c r="E941" s="190"/>
      <c r="F941" s="190"/>
      <c r="G941" s="190"/>
    </row>
    <row r="942" spans="1:7" ht="12.75" customHeight="1">
      <c r="A942" s="190"/>
      <c r="B942" s="190"/>
      <c r="C942" s="190"/>
      <c r="D942" s="190"/>
      <c r="E942" s="190"/>
      <c r="F942" s="190"/>
      <c r="G942" s="190"/>
    </row>
    <row r="943" spans="1:7" ht="12.75" customHeight="1">
      <c r="A943" s="190"/>
      <c r="B943" s="190"/>
      <c r="C943" s="190"/>
      <c r="D943" s="190"/>
      <c r="E943" s="190"/>
      <c r="F943" s="190"/>
      <c r="G943" s="190"/>
    </row>
    <row r="944" spans="1:7" ht="12.75" customHeight="1">
      <c r="A944" s="190"/>
      <c r="B944" s="190"/>
      <c r="C944" s="190"/>
      <c r="D944" s="190"/>
      <c r="E944" s="190"/>
      <c r="F944" s="190"/>
      <c r="G944" s="190"/>
    </row>
    <row r="945" spans="1:7" ht="12.75" customHeight="1">
      <c r="A945" s="190"/>
      <c r="B945" s="190"/>
      <c r="C945" s="190"/>
      <c r="D945" s="190"/>
      <c r="E945" s="190"/>
      <c r="F945" s="190"/>
      <c r="G945" s="190"/>
    </row>
    <row r="946" spans="1:7" ht="12.75" customHeight="1">
      <c r="A946" s="190"/>
      <c r="B946" s="190"/>
      <c r="C946" s="190"/>
      <c r="D946" s="190"/>
      <c r="E946" s="190"/>
      <c r="F946" s="190"/>
      <c r="G946" s="190"/>
    </row>
    <row r="947" spans="1:7" ht="12.75" customHeight="1">
      <c r="A947" s="190"/>
      <c r="B947" s="190"/>
      <c r="C947" s="190"/>
      <c r="D947" s="190"/>
      <c r="E947" s="190"/>
      <c r="F947" s="190"/>
      <c r="G947" s="190"/>
    </row>
    <row r="948" spans="1:7" ht="12.75" customHeight="1">
      <c r="A948" s="190"/>
      <c r="B948" s="190"/>
      <c r="C948" s="190"/>
      <c r="D948" s="190"/>
      <c r="E948" s="190"/>
      <c r="F948" s="190"/>
      <c r="G948" s="190"/>
    </row>
    <row r="949" spans="1:7" ht="12.75" customHeight="1">
      <c r="A949" s="190"/>
      <c r="B949" s="190"/>
      <c r="C949" s="190"/>
      <c r="D949" s="190"/>
      <c r="E949" s="190"/>
      <c r="F949" s="190"/>
      <c r="G949" s="190"/>
    </row>
    <row r="950" spans="1:7" ht="12.75" customHeight="1">
      <c r="A950" s="190"/>
      <c r="B950" s="190"/>
      <c r="C950" s="190"/>
      <c r="D950" s="190"/>
      <c r="E950" s="190"/>
      <c r="F950" s="190"/>
      <c r="G950" s="190"/>
    </row>
    <row r="951" spans="1:7" ht="12.75" customHeight="1">
      <c r="A951" s="190"/>
      <c r="B951" s="190"/>
      <c r="C951" s="190"/>
      <c r="D951" s="190"/>
      <c r="E951" s="190"/>
      <c r="F951" s="190"/>
      <c r="G951" s="190"/>
    </row>
    <row r="952" spans="1:7" ht="12.75" customHeight="1">
      <c r="A952" s="190"/>
      <c r="B952" s="190"/>
      <c r="C952" s="190"/>
      <c r="D952" s="190"/>
      <c r="E952" s="190"/>
      <c r="F952" s="190"/>
      <c r="G952" s="190"/>
    </row>
    <row r="953" spans="1:7" ht="12.75" customHeight="1">
      <c r="A953" s="190"/>
      <c r="B953" s="190"/>
      <c r="C953" s="190"/>
      <c r="D953" s="190"/>
      <c r="E953" s="190"/>
      <c r="F953" s="190"/>
      <c r="G953" s="190"/>
    </row>
    <row r="954" spans="1:7" ht="12.75" customHeight="1">
      <c r="A954" s="190"/>
      <c r="B954" s="190"/>
      <c r="C954" s="190"/>
      <c r="D954" s="190"/>
      <c r="E954" s="190"/>
      <c r="F954" s="190"/>
      <c r="G954" s="190"/>
    </row>
    <row r="955" spans="1:7" ht="12.75" customHeight="1">
      <c r="A955" s="190"/>
      <c r="B955" s="190"/>
      <c r="C955" s="190"/>
      <c r="D955" s="190"/>
      <c r="E955" s="190"/>
      <c r="F955" s="190"/>
      <c r="G955" s="190"/>
    </row>
    <row r="956" spans="1:7" ht="12.75" customHeight="1">
      <c r="A956" s="190"/>
      <c r="B956" s="190"/>
      <c r="C956" s="190"/>
      <c r="D956" s="190"/>
      <c r="E956" s="190"/>
      <c r="F956" s="190"/>
      <c r="G956" s="190"/>
    </row>
    <row r="957" spans="1:7" ht="12.75" customHeight="1">
      <c r="A957" s="190"/>
      <c r="B957" s="190"/>
      <c r="C957" s="190"/>
      <c r="D957" s="190"/>
      <c r="E957" s="190"/>
      <c r="F957" s="190"/>
      <c r="G957" s="190"/>
    </row>
    <row r="958" spans="1:7" ht="12.75" customHeight="1">
      <c r="A958" s="190"/>
      <c r="B958" s="190"/>
      <c r="C958" s="190"/>
      <c r="D958" s="190"/>
      <c r="E958" s="190"/>
      <c r="F958" s="190"/>
      <c r="G958" s="190"/>
    </row>
    <row r="959" spans="1:7" ht="12.75" customHeight="1">
      <c r="A959" s="190"/>
      <c r="B959" s="190"/>
      <c r="C959" s="190"/>
      <c r="D959" s="190"/>
      <c r="E959" s="190"/>
      <c r="F959" s="190"/>
      <c r="G959" s="190"/>
    </row>
    <row r="960" spans="1:7" ht="12.75" customHeight="1">
      <c r="A960" s="190"/>
      <c r="B960" s="190"/>
      <c r="C960" s="190"/>
      <c r="D960" s="190"/>
      <c r="E960" s="190"/>
      <c r="F960" s="190"/>
      <c r="G960" s="190"/>
    </row>
    <row r="961" spans="1:7" ht="12.75" customHeight="1">
      <c r="A961" s="190"/>
      <c r="B961" s="190"/>
      <c r="C961" s="190"/>
      <c r="D961" s="190"/>
      <c r="E961" s="190"/>
      <c r="F961" s="190"/>
      <c r="G961" s="190"/>
    </row>
    <row r="962" spans="1:7" ht="12.75" customHeight="1">
      <c r="A962" s="190"/>
      <c r="B962" s="190"/>
      <c r="C962" s="190"/>
      <c r="D962" s="190"/>
      <c r="E962" s="190"/>
      <c r="F962" s="190"/>
      <c r="G962" s="190"/>
    </row>
    <row r="963" spans="1:7" ht="12.75" customHeight="1">
      <c r="A963" s="190"/>
      <c r="B963" s="190"/>
      <c r="C963" s="190"/>
      <c r="D963" s="190"/>
      <c r="E963" s="190"/>
      <c r="F963" s="190"/>
      <c r="G963" s="190"/>
    </row>
    <row r="964" spans="1:7" ht="12.75" customHeight="1">
      <c r="A964" s="190"/>
      <c r="B964" s="190"/>
      <c r="C964" s="190"/>
      <c r="D964" s="190"/>
      <c r="E964" s="190"/>
      <c r="F964" s="190"/>
      <c r="G964" s="190"/>
    </row>
    <row r="965" spans="1:7" ht="12.75" customHeight="1">
      <c r="A965" s="190"/>
      <c r="B965" s="190"/>
      <c r="C965" s="190"/>
      <c r="D965" s="190"/>
      <c r="E965" s="190"/>
      <c r="F965" s="190"/>
      <c r="G965" s="190"/>
    </row>
    <row r="966" spans="1:7" ht="12.75" customHeight="1">
      <c r="A966" s="190"/>
      <c r="B966" s="190"/>
      <c r="C966" s="190"/>
      <c r="D966" s="190"/>
      <c r="E966" s="190"/>
      <c r="F966" s="190"/>
      <c r="G966" s="190"/>
    </row>
    <row r="967" spans="1:7" ht="12.75" customHeight="1">
      <c r="A967" s="190"/>
      <c r="B967" s="190"/>
      <c r="C967" s="190"/>
      <c r="D967" s="190"/>
      <c r="E967" s="190"/>
      <c r="F967" s="190"/>
      <c r="G967" s="190"/>
    </row>
    <row r="968" spans="1:7" ht="12.75" customHeight="1">
      <c r="A968" s="190"/>
      <c r="B968" s="190"/>
      <c r="C968" s="190"/>
      <c r="D968" s="190"/>
      <c r="E968" s="190"/>
      <c r="F968" s="190"/>
      <c r="G968" s="190"/>
    </row>
    <row r="969" spans="1:7" ht="12.75" customHeight="1">
      <c r="A969" s="190"/>
      <c r="B969" s="190"/>
      <c r="C969" s="190"/>
      <c r="D969" s="190"/>
      <c r="E969" s="190"/>
      <c r="F969" s="190"/>
      <c r="G969" s="190"/>
    </row>
    <row r="970" spans="1:7" ht="12.75" customHeight="1">
      <c r="A970" s="190"/>
      <c r="B970" s="190"/>
      <c r="C970" s="190"/>
      <c r="D970" s="190"/>
      <c r="E970" s="190"/>
      <c r="F970" s="190"/>
      <c r="G970" s="190"/>
    </row>
    <row r="971" spans="1:7" ht="12.75" customHeight="1">
      <c r="A971" s="190"/>
      <c r="B971" s="190"/>
      <c r="C971" s="190"/>
      <c r="D971" s="190"/>
      <c r="E971" s="190"/>
      <c r="F971" s="190"/>
      <c r="G971" s="190"/>
    </row>
    <row r="972" spans="1:7" ht="12.75" customHeight="1">
      <c r="A972" s="190"/>
      <c r="B972" s="190"/>
      <c r="C972" s="190"/>
      <c r="D972" s="190"/>
      <c r="E972" s="190"/>
      <c r="F972" s="190"/>
      <c r="G972" s="190"/>
    </row>
    <row r="973" spans="1:7" ht="12.75" customHeight="1">
      <c r="A973" s="190"/>
      <c r="B973" s="190"/>
      <c r="C973" s="190"/>
      <c r="D973" s="190"/>
      <c r="E973" s="190"/>
      <c r="F973" s="190"/>
      <c r="G973" s="190"/>
    </row>
    <row r="974" spans="1:7" ht="12.75" customHeight="1">
      <c r="A974" s="190"/>
      <c r="B974" s="190"/>
      <c r="C974" s="190"/>
      <c r="D974" s="190"/>
      <c r="E974" s="190"/>
      <c r="F974" s="190"/>
      <c r="G974" s="190"/>
    </row>
    <row r="975" spans="1:7" ht="12.75" customHeight="1">
      <c r="A975" s="190"/>
      <c r="B975" s="190"/>
      <c r="C975" s="190"/>
      <c r="D975" s="190"/>
      <c r="E975" s="190"/>
      <c r="F975" s="190"/>
      <c r="G975" s="190"/>
    </row>
    <row r="976" spans="1:7" ht="12.75" customHeight="1">
      <c r="A976" s="190"/>
      <c r="B976" s="190"/>
      <c r="C976" s="190"/>
      <c r="D976" s="190"/>
      <c r="E976" s="190"/>
      <c r="F976" s="190"/>
      <c r="G976" s="190"/>
    </row>
    <row r="977" spans="1:7" ht="12.75" customHeight="1">
      <c r="A977" s="190"/>
      <c r="B977" s="190"/>
      <c r="C977" s="190"/>
      <c r="D977" s="190"/>
      <c r="E977" s="190"/>
      <c r="F977" s="190"/>
      <c r="G977" s="190"/>
    </row>
    <row r="978" spans="1:7" ht="12.75" customHeight="1">
      <c r="A978" s="190"/>
      <c r="B978" s="190"/>
      <c r="C978" s="190"/>
      <c r="D978" s="190"/>
      <c r="E978" s="190"/>
      <c r="F978" s="190"/>
      <c r="G978" s="190"/>
    </row>
    <row r="979" spans="1:7" ht="12.75" customHeight="1">
      <c r="A979" s="190"/>
      <c r="B979" s="190"/>
      <c r="C979" s="190"/>
      <c r="D979" s="190"/>
      <c r="E979" s="190"/>
      <c r="F979" s="190"/>
      <c r="G979" s="190"/>
    </row>
    <row r="980" spans="1:7" ht="12.75" customHeight="1">
      <c r="A980" s="190"/>
      <c r="B980" s="190"/>
      <c r="C980" s="190"/>
      <c r="D980" s="190"/>
      <c r="E980" s="190"/>
      <c r="F980" s="190"/>
      <c r="G980" s="190"/>
    </row>
    <row r="981" spans="1:7" ht="12.75" customHeight="1">
      <c r="A981" s="190"/>
      <c r="B981" s="190"/>
      <c r="C981" s="190"/>
      <c r="D981" s="190"/>
      <c r="E981" s="190"/>
      <c r="F981" s="190"/>
      <c r="G981" s="190"/>
    </row>
    <row r="982" spans="1:7" ht="12.75" customHeight="1">
      <c r="A982" s="190"/>
      <c r="B982" s="190"/>
      <c r="C982" s="190"/>
      <c r="D982" s="190"/>
      <c r="E982" s="190"/>
      <c r="F982" s="190"/>
      <c r="G982" s="190"/>
    </row>
    <row r="983" spans="1:7" ht="12.75" customHeight="1">
      <c r="A983" s="190"/>
      <c r="B983" s="190"/>
      <c r="C983" s="190"/>
      <c r="D983" s="190"/>
      <c r="E983" s="190"/>
      <c r="F983" s="190"/>
      <c r="G983" s="190"/>
    </row>
    <row r="984" spans="1:7" ht="12.75" customHeight="1">
      <c r="A984" s="190"/>
      <c r="B984" s="190"/>
      <c r="C984" s="190"/>
      <c r="D984" s="190"/>
      <c r="E984" s="190"/>
      <c r="F984" s="190"/>
      <c r="G984" s="190"/>
    </row>
    <row r="985" spans="1:7" ht="12.75" customHeight="1">
      <c r="A985" s="190"/>
      <c r="B985" s="190"/>
      <c r="C985" s="190"/>
      <c r="D985" s="190"/>
      <c r="E985" s="190"/>
      <c r="F985" s="190"/>
      <c r="G985" s="190"/>
    </row>
    <row r="986" spans="1:7" ht="12.75" customHeight="1">
      <c r="A986" s="190"/>
      <c r="B986" s="190"/>
      <c r="C986" s="190"/>
      <c r="D986" s="190"/>
      <c r="E986" s="190"/>
      <c r="F986" s="190"/>
      <c r="G986" s="190"/>
    </row>
    <row r="987" spans="1:7" ht="12.75" customHeight="1">
      <c r="A987" s="190"/>
      <c r="B987" s="190"/>
      <c r="C987" s="190"/>
      <c r="D987" s="190"/>
      <c r="E987" s="190"/>
      <c r="F987" s="190"/>
      <c r="G987" s="190"/>
    </row>
    <row r="988" spans="1:7" ht="12.75" customHeight="1">
      <c r="A988" s="190"/>
      <c r="B988" s="190"/>
      <c r="C988" s="190"/>
      <c r="D988" s="190"/>
      <c r="E988" s="190"/>
      <c r="F988" s="190"/>
      <c r="G988" s="190"/>
    </row>
    <row r="989" spans="1:7" ht="12.75" customHeight="1">
      <c r="A989" s="190"/>
      <c r="B989" s="190"/>
      <c r="C989" s="190"/>
      <c r="D989" s="190"/>
      <c r="E989" s="190"/>
      <c r="F989" s="190"/>
      <c r="G989" s="190"/>
    </row>
    <row r="990" spans="1:7" ht="12.75" customHeight="1">
      <c r="A990" s="190"/>
      <c r="B990" s="190"/>
      <c r="C990" s="190"/>
      <c r="D990" s="190"/>
      <c r="E990" s="190"/>
      <c r="F990" s="190"/>
      <c r="G990" s="190"/>
    </row>
    <row r="991" spans="1:7" ht="12.75" customHeight="1">
      <c r="A991" s="190"/>
      <c r="B991" s="190"/>
      <c r="C991" s="190"/>
      <c r="D991" s="190"/>
      <c r="E991" s="190"/>
      <c r="F991" s="190"/>
      <c r="G991" s="190"/>
    </row>
    <row r="992" spans="1:7" ht="12.75" customHeight="1">
      <c r="A992" s="190"/>
      <c r="B992" s="190"/>
      <c r="C992" s="190"/>
      <c r="D992" s="190"/>
      <c r="E992" s="190"/>
      <c r="F992" s="190"/>
      <c r="G992" s="190"/>
    </row>
    <row r="993" spans="1:7" ht="12.75" customHeight="1">
      <c r="A993" s="190"/>
      <c r="B993" s="190"/>
      <c r="C993" s="190"/>
      <c r="D993" s="190"/>
      <c r="E993" s="190"/>
      <c r="F993" s="190"/>
      <c r="G993" s="190"/>
    </row>
    <row r="994" spans="1:7" ht="12.75" customHeight="1">
      <c r="A994" s="190"/>
      <c r="B994" s="190"/>
      <c r="C994" s="190"/>
      <c r="D994" s="190"/>
      <c r="E994" s="190"/>
      <c r="F994" s="190"/>
      <c r="G994" s="190"/>
    </row>
    <row r="995" spans="1:7" ht="12.75" customHeight="1">
      <c r="A995" s="190"/>
      <c r="B995" s="190"/>
      <c r="C995" s="190"/>
      <c r="D995" s="190"/>
      <c r="E995" s="190"/>
      <c r="F995" s="190"/>
      <c r="G995" s="190"/>
    </row>
    <row r="996" spans="1:7" ht="12.75" customHeight="1">
      <c r="A996" s="190"/>
      <c r="B996" s="190"/>
      <c r="C996" s="190"/>
      <c r="D996" s="190"/>
      <c r="E996" s="190"/>
      <c r="F996" s="190"/>
      <c r="G996" s="190"/>
    </row>
    <row r="997" spans="1:7" ht="12.75" customHeight="1">
      <c r="A997" s="190"/>
      <c r="B997" s="190"/>
      <c r="C997" s="190"/>
      <c r="D997" s="190"/>
      <c r="E997" s="190"/>
      <c r="F997" s="190"/>
      <c r="G997" s="190"/>
    </row>
    <row r="998" spans="1:7" ht="12.75" customHeight="1">
      <c r="A998" s="190"/>
      <c r="B998" s="190"/>
      <c r="C998" s="190"/>
      <c r="D998" s="190"/>
      <c r="E998" s="190"/>
      <c r="F998" s="190"/>
      <c r="G998" s="190"/>
    </row>
    <row r="999" spans="1:7" ht="12.75" customHeight="1">
      <c r="A999" s="190"/>
      <c r="B999" s="190"/>
      <c r="C999" s="190"/>
      <c r="D999" s="190"/>
      <c r="E999" s="190"/>
      <c r="F999" s="190"/>
      <c r="G999" s="190"/>
    </row>
    <row r="1000" spans="1:7" ht="12.75" customHeight="1">
      <c r="A1000" s="190"/>
      <c r="B1000" s="190"/>
      <c r="C1000" s="190"/>
      <c r="D1000" s="190"/>
      <c r="E1000" s="190"/>
      <c r="F1000" s="190"/>
      <c r="G1000" s="190"/>
    </row>
    <row r="1001" spans="1:28" ht="12.75" customHeight="1">
      <c r="A1001" s="190">
        <f>'2011'!C1</f>
        <v>0</v>
      </c>
      <c r="B1001" s="190" t="str">
        <f>'2011'!D1</f>
        <v>Gemeinde Glarus Süd</v>
      </c>
      <c r="C1001" s="190" t="str">
        <f>'2011'!E1</f>
        <v>Gemeinde Glarus</v>
      </c>
      <c r="D1001" s="190" t="str">
        <f>'2011'!F1</f>
        <v>Gemeinde Glarus Nord</v>
      </c>
      <c r="E1001" s="190" t="str">
        <f>'2011'!G1</f>
        <v>TOTAL GEMEINDEN</v>
      </c>
      <c r="F1001" s="190" t="str">
        <f>'2011'!H1</f>
        <v>Kanton Glarus</v>
      </c>
      <c r="G1001" s="190" t="str">
        <f>'2011'!I1</f>
        <v>TOTAL KANTON U. GEMEINDEN</v>
      </c>
      <c r="H1001" s="302">
        <v>0</v>
      </c>
      <c r="I1001" s="302" t="s">
        <v>946</v>
      </c>
      <c r="J1001" s="302" t="s">
        <v>947</v>
      </c>
      <c r="K1001" s="302" t="s">
        <v>948</v>
      </c>
      <c r="L1001" s="302" t="s">
        <v>949</v>
      </c>
      <c r="M1001" s="302" t="s">
        <v>950</v>
      </c>
      <c r="N1001" s="302" t="s">
        <v>951</v>
      </c>
      <c r="O1001" s="302">
        <v>0</v>
      </c>
      <c r="P1001" s="302" t="s">
        <v>946</v>
      </c>
      <c r="Q1001" s="302" t="s">
        <v>947</v>
      </c>
      <c r="R1001" s="302" t="s">
        <v>948</v>
      </c>
      <c r="S1001" s="302" t="s">
        <v>949</v>
      </c>
      <c r="T1001" s="302" t="s">
        <v>950</v>
      </c>
      <c r="U1001" s="302" t="s">
        <v>951</v>
      </c>
      <c r="V1001" s="302">
        <v>0</v>
      </c>
      <c r="W1001" s="302" t="s">
        <v>946</v>
      </c>
      <c r="X1001" s="302" t="s">
        <v>947</v>
      </c>
      <c r="Y1001" s="302" t="s">
        <v>948</v>
      </c>
      <c r="Z1001" s="302" t="s">
        <v>949</v>
      </c>
      <c r="AA1001" s="302" t="s">
        <v>950</v>
      </c>
      <c r="AB1001" s="302" t="s">
        <v>951</v>
      </c>
    </row>
    <row r="1002" spans="1:28" ht="12.75" customHeight="1">
      <c r="A1002" s="190">
        <f>'2011'!C2</f>
        <v>0</v>
      </c>
      <c r="B1002" s="190">
        <f>'2011'!D2</f>
        <v>0</v>
      </c>
      <c r="C1002" s="190">
        <f>'2011'!E2</f>
        <v>0</v>
      </c>
      <c r="D1002" s="190">
        <f>'2011'!F2</f>
        <v>0</v>
      </c>
      <c r="E1002" s="190">
        <f>'2011'!G2</f>
        <v>0</v>
      </c>
      <c r="F1002" s="190">
        <f>'2011'!H2</f>
        <v>0</v>
      </c>
      <c r="G1002" s="190">
        <f>'2011'!I2</f>
        <v>0</v>
      </c>
      <c r="H1002" s="302">
        <v>0</v>
      </c>
      <c r="I1002" s="302">
        <v>0</v>
      </c>
      <c r="J1002" s="302">
        <v>0</v>
      </c>
      <c r="K1002" s="302">
        <v>0</v>
      </c>
      <c r="L1002" s="302">
        <v>0</v>
      </c>
      <c r="M1002" s="302">
        <v>0</v>
      </c>
      <c r="N1002" s="302">
        <v>0</v>
      </c>
      <c r="O1002" s="302">
        <v>0</v>
      </c>
      <c r="P1002" s="302">
        <v>0</v>
      </c>
      <c r="Q1002" s="302">
        <v>0</v>
      </c>
      <c r="R1002" s="302">
        <v>0</v>
      </c>
      <c r="S1002" s="302">
        <v>0</v>
      </c>
      <c r="T1002" s="302">
        <v>0</v>
      </c>
      <c r="U1002" s="302">
        <v>0</v>
      </c>
      <c r="V1002" s="302">
        <v>0</v>
      </c>
      <c r="W1002" s="302">
        <v>0</v>
      </c>
      <c r="X1002" s="302">
        <v>0</v>
      </c>
      <c r="Y1002" s="302">
        <v>0</v>
      </c>
      <c r="Z1002" s="302">
        <v>0</v>
      </c>
      <c r="AA1002" s="302">
        <v>0</v>
      </c>
      <c r="AB1002" s="302">
        <v>0</v>
      </c>
    </row>
    <row r="1003" spans="1:28" ht="12.75" customHeight="1">
      <c r="A1003" s="303">
        <v>2011</v>
      </c>
      <c r="B1003" s="190"/>
      <c r="C1003" s="190"/>
      <c r="D1003" s="190"/>
      <c r="E1003" s="190"/>
      <c r="F1003" s="190"/>
      <c r="G1003" s="190"/>
      <c r="H1003" s="302">
        <v>2012</v>
      </c>
      <c r="I1003" s="302"/>
      <c r="J1003" s="302"/>
      <c r="K1003" s="302"/>
      <c r="L1003" s="302"/>
      <c r="M1003" s="302"/>
      <c r="N1003" s="302"/>
      <c r="O1003" s="302">
        <v>2013</v>
      </c>
      <c r="P1003" s="302"/>
      <c r="Q1003" s="302"/>
      <c r="R1003" s="302"/>
      <c r="S1003" s="302"/>
      <c r="T1003" s="302"/>
      <c r="U1003" s="302"/>
      <c r="V1003" s="302">
        <v>2014</v>
      </c>
      <c r="W1003" s="302"/>
      <c r="X1003" s="302"/>
      <c r="Y1003" s="302"/>
      <c r="Z1003" s="302"/>
      <c r="AA1003" s="302"/>
      <c r="AB1003" s="302"/>
    </row>
    <row r="1004" spans="1:28" ht="12.75" customHeight="1">
      <c r="A1004" s="190">
        <f>'2011'!C4</f>
        <v>0</v>
      </c>
      <c r="B1004" s="190">
        <f>'2011'!D4</f>
        <v>0</v>
      </c>
      <c r="C1004" s="190">
        <f>'2011'!E4</f>
        <v>0</v>
      </c>
      <c r="D1004" s="190">
        <f>'2011'!F4</f>
        <v>0</v>
      </c>
      <c r="E1004" s="190">
        <f>'2011'!G4</f>
        <v>0</v>
      </c>
      <c r="F1004" s="190">
        <f>'2011'!H4</f>
        <v>0</v>
      </c>
      <c r="G1004" s="190">
        <f>'2011'!I4</f>
        <v>0</v>
      </c>
      <c r="H1004" s="302">
        <v>0</v>
      </c>
      <c r="I1004" s="302">
        <v>0</v>
      </c>
      <c r="J1004" s="302">
        <v>0</v>
      </c>
      <c r="K1004" s="302">
        <v>0</v>
      </c>
      <c r="L1004" s="302">
        <v>0</v>
      </c>
      <c r="M1004" s="302">
        <v>0</v>
      </c>
      <c r="N1004" s="302">
        <v>0</v>
      </c>
      <c r="O1004" s="302">
        <v>0</v>
      </c>
      <c r="P1004" s="302">
        <v>0</v>
      </c>
      <c r="Q1004" s="302">
        <v>0</v>
      </c>
      <c r="R1004" s="302">
        <v>0</v>
      </c>
      <c r="S1004" s="302">
        <v>0</v>
      </c>
      <c r="T1004" s="302">
        <v>0</v>
      </c>
      <c r="U1004" s="302">
        <v>0</v>
      </c>
      <c r="V1004" s="302">
        <v>0</v>
      </c>
      <c r="W1004" s="302">
        <v>0</v>
      </c>
      <c r="X1004" s="302">
        <v>0</v>
      </c>
      <c r="Y1004" s="302">
        <v>0</v>
      </c>
      <c r="Z1004" s="302">
        <v>0</v>
      </c>
      <c r="AA1004" s="302">
        <v>0</v>
      </c>
      <c r="AB1004" s="302">
        <v>0</v>
      </c>
    </row>
    <row r="1005" spans="1:28" ht="12.75" customHeight="1">
      <c r="A1005" s="190" t="str">
        <f>'2011'!C5</f>
        <v>Aktiven</v>
      </c>
      <c r="B1005" s="190">
        <f>'2011'!D5</f>
        <v>0</v>
      </c>
      <c r="C1005" s="190">
        <f>'2011'!E5</f>
        <v>0</v>
      </c>
      <c r="D1005" s="190">
        <f>'2011'!F5</f>
        <v>0</v>
      </c>
      <c r="E1005" s="190">
        <f>'2011'!G5</f>
        <v>0</v>
      </c>
      <c r="F1005" s="190">
        <f>'2011'!H5</f>
        <v>0</v>
      </c>
      <c r="G1005" s="190">
        <f>'2011'!I5</f>
        <v>0</v>
      </c>
      <c r="H1005" s="302" t="s">
        <v>3</v>
      </c>
      <c r="I1005" s="302">
        <v>0</v>
      </c>
      <c r="J1005" s="302">
        <v>0</v>
      </c>
      <c r="K1005" s="302">
        <v>0</v>
      </c>
      <c r="L1005" s="302">
        <v>0</v>
      </c>
      <c r="M1005" s="302">
        <v>0</v>
      </c>
      <c r="N1005" s="302">
        <v>0</v>
      </c>
      <c r="O1005" s="302" t="s">
        <v>3</v>
      </c>
      <c r="P1005" s="302">
        <v>0</v>
      </c>
      <c r="Q1005" s="302">
        <v>0</v>
      </c>
      <c r="R1005" s="302">
        <v>0</v>
      </c>
      <c r="S1005" s="302">
        <v>0</v>
      </c>
      <c r="T1005" s="302">
        <v>0</v>
      </c>
      <c r="U1005" s="302">
        <v>0</v>
      </c>
      <c r="V1005" s="302" t="s">
        <v>3</v>
      </c>
      <c r="W1005" s="302">
        <v>0</v>
      </c>
      <c r="X1005" s="302">
        <v>0</v>
      </c>
      <c r="Y1005" s="302">
        <v>0</v>
      </c>
      <c r="Z1005" s="302">
        <v>0</v>
      </c>
      <c r="AA1005" s="302">
        <v>0</v>
      </c>
      <c r="AB1005" s="302">
        <v>0</v>
      </c>
    </row>
    <row r="1006" spans="1:28" ht="12.75" customHeight="1">
      <c r="A1006" s="190" t="str">
        <f>'2011'!C6</f>
        <v>Flüssige Mittel und kurzfristige Geldanlagen</v>
      </c>
      <c r="B1006" s="190">
        <f>'2011'!D6</f>
        <v>9416975.42</v>
      </c>
      <c r="C1006" s="190">
        <f>'2011'!E6</f>
        <v>5259234.16</v>
      </c>
      <c r="D1006" s="190">
        <f>'2011'!F6</f>
        <v>2542119.82</v>
      </c>
      <c r="E1006" s="190">
        <f>'2011'!G6</f>
        <v>17218329.4</v>
      </c>
      <c r="F1006" s="190">
        <f>'2011'!H6</f>
        <v>19033563.91</v>
      </c>
      <c r="G1006" s="190">
        <f>'2011'!I6</f>
        <v>36251893.31</v>
      </c>
      <c r="H1006" s="302" t="s">
        <v>26</v>
      </c>
      <c r="I1006" s="302">
        <v>8416975.42</v>
      </c>
      <c r="J1006" s="302">
        <v>4259234.16</v>
      </c>
      <c r="K1006" s="302">
        <v>1542119.82</v>
      </c>
      <c r="L1006" s="302">
        <v>14218329.4</v>
      </c>
      <c r="M1006" s="302">
        <v>18033563.91</v>
      </c>
      <c r="N1006" s="302">
        <v>32251893.31</v>
      </c>
      <c r="O1006" s="302" t="s">
        <v>26</v>
      </c>
      <c r="P1006" s="302">
        <v>1000</v>
      </c>
      <c r="Q1006" s="302">
        <v>2000</v>
      </c>
      <c r="R1006" s="302">
        <v>3000</v>
      </c>
      <c r="S1006" s="302">
        <v>5000</v>
      </c>
      <c r="T1006" s="302">
        <v>4000</v>
      </c>
      <c r="U1006" s="302">
        <v>9000</v>
      </c>
      <c r="V1006" s="302" t="s">
        <v>26</v>
      </c>
      <c r="W1006" s="302">
        <v>50000</v>
      </c>
      <c r="X1006" s="302">
        <v>50000</v>
      </c>
      <c r="Y1006" s="302">
        <v>50000</v>
      </c>
      <c r="Z1006" s="302">
        <v>150000</v>
      </c>
      <c r="AA1006" s="302">
        <v>50000</v>
      </c>
      <c r="AB1006" s="302">
        <v>200000</v>
      </c>
    </row>
    <row r="1007" spans="1:7" ht="12.75" customHeight="1">
      <c r="A1007" s="190" t="str">
        <f>'2011'!C7</f>
        <v>Forderungen</v>
      </c>
      <c r="B1007" s="190">
        <f>'2011'!D7</f>
        <v>16131189.49</v>
      </c>
      <c r="C1007" s="190">
        <f>'2011'!E7</f>
        <v>15464621.26</v>
      </c>
      <c r="D1007" s="190">
        <f>'2011'!F7</f>
        <v>30342776.66</v>
      </c>
      <c r="E1007" s="190">
        <f>'2011'!G7</f>
        <v>61938587.41</v>
      </c>
      <c r="F1007" s="190">
        <f>'2011'!H7</f>
        <v>67431523.87</v>
      </c>
      <c r="G1007" s="190">
        <f>'2011'!I7</f>
        <v>129370111.28</v>
      </c>
    </row>
    <row r="1008" spans="1:7" ht="12.75" customHeight="1">
      <c r="A1008" s="190" t="str">
        <f>'2011'!C8</f>
        <v>Kurzfristige Finanzanlagen</v>
      </c>
      <c r="B1008" s="190">
        <f>'2011'!D8</f>
        <v>0</v>
      </c>
      <c r="C1008" s="190">
        <f>'2011'!E8</f>
        <v>97849.9</v>
      </c>
      <c r="D1008" s="190">
        <f>'2011'!F8</f>
        <v>0</v>
      </c>
      <c r="E1008" s="190">
        <f>'2011'!G8</f>
        <v>97849.9</v>
      </c>
      <c r="F1008" s="190">
        <f>'2011'!H8</f>
        <v>0</v>
      </c>
      <c r="G1008" s="190">
        <f>'2011'!I8</f>
        <v>97849.9</v>
      </c>
    </row>
    <row r="1009" spans="1:7" ht="12.75" customHeight="1">
      <c r="A1009" s="190" t="str">
        <f>'2011'!C9</f>
        <v>Aktive Rechnungsabgrenzungen</v>
      </c>
      <c r="B1009" s="190">
        <f>'2011'!D9</f>
        <v>4524345.13</v>
      </c>
      <c r="C1009" s="190">
        <f>'2011'!E9</f>
        <v>998814</v>
      </c>
      <c r="D1009" s="190">
        <f>'2011'!F9</f>
        <v>713047.95</v>
      </c>
      <c r="E1009" s="190">
        <f>'2011'!G9</f>
        <v>6236207.08</v>
      </c>
      <c r="F1009" s="190">
        <f>'2011'!H9</f>
        <v>7186020.53</v>
      </c>
      <c r="G1009" s="190">
        <f>'2011'!I9</f>
        <v>13422227.61</v>
      </c>
    </row>
    <row r="1010" spans="1:7" ht="12.75" customHeight="1">
      <c r="A1010" s="190" t="str">
        <f>'2011'!C10</f>
        <v>Vorräte und angefangene Arbeiten</v>
      </c>
      <c r="B1010" s="190">
        <f>'2011'!D10</f>
        <v>103628.72</v>
      </c>
      <c r="C1010" s="190">
        <f>'2011'!E10</f>
        <v>240000</v>
      </c>
      <c r="D1010" s="190">
        <f>'2011'!F10</f>
        <v>509807.6</v>
      </c>
      <c r="E1010" s="190">
        <f>'2011'!G10</f>
        <v>853436.32</v>
      </c>
      <c r="F1010" s="190">
        <f>'2011'!H10</f>
        <v>0</v>
      </c>
      <c r="G1010" s="190">
        <f>'2011'!I10</f>
        <v>853436.32</v>
      </c>
    </row>
    <row r="1011" spans="1:7" ht="12.75" customHeight="1">
      <c r="A1011" s="190" t="str">
        <f>'2011'!C11</f>
        <v>Finanzanlagen</v>
      </c>
      <c r="B1011" s="190">
        <f>'2011'!D11</f>
        <v>11003348</v>
      </c>
      <c r="C1011" s="190">
        <f>'2011'!E11</f>
        <v>1140024.42</v>
      </c>
      <c r="D1011" s="190">
        <f>'2011'!F11</f>
        <v>2267437.07</v>
      </c>
      <c r="E1011" s="190">
        <f>'2011'!G11</f>
        <v>14410809.49</v>
      </c>
      <c r="F1011" s="190">
        <f>'2011'!H11</f>
        <v>266414618.21</v>
      </c>
      <c r="G1011" s="190">
        <f>'2011'!I11</f>
        <v>280825427.7</v>
      </c>
    </row>
    <row r="1012" spans="1:7" ht="12.75" customHeight="1">
      <c r="A1012" s="190" t="str">
        <f>'2011'!C12</f>
        <v>Sachanlagen FV</v>
      </c>
      <c r="B1012" s="190">
        <f>'2011'!D12</f>
        <v>18248742.7</v>
      </c>
      <c r="C1012" s="190">
        <f>'2011'!E12</f>
        <v>29903000</v>
      </c>
      <c r="D1012" s="190">
        <f>'2011'!F12</f>
        <v>48011343.79</v>
      </c>
      <c r="E1012" s="190">
        <f>'2011'!G12</f>
        <v>96163086.49000001</v>
      </c>
      <c r="F1012" s="190">
        <f>'2011'!H12</f>
        <v>13899225</v>
      </c>
      <c r="G1012" s="190">
        <f>'2011'!I12</f>
        <v>110062311.49000001</v>
      </c>
    </row>
    <row r="1013" spans="1:7" ht="12.75" customHeight="1">
      <c r="A1013" s="190" t="str">
        <f>'2011'!C13</f>
        <v>Forderungen gegenüber SF und Fonds im FK</v>
      </c>
      <c r="B1013" s="190">
        <f>'2011'!D13</f>
        <v>0</v>
      </c>
      <c r="C1013" s="190">
        <f>'2011'!E13</f>
        <v>0</v>
      </c>
      <c r="D1013" s="190">
        <f>'2011'!F13</f>
        <v>0</v>
      </c>
      <c r="E1013" s="190">
        <f>'2011'!G13</f>
        <v>0</v>
      </c>
      <c r="F1013" s="190">
        <f>'2011'!H13</f>
        <v>0</v>
      </c>
      <c r="G1013" s="190">
        <f>'2011'!I13</f>
        <v>0</v>
      </c>
    </row>
    <row r="1014" spans="1:7" ht="12.75" customHeight="1">
      <c r="A1014" s="190" t="str">
        <f>'2011'!C14</f>
        <v>Finanzvermögen</v>
      </c>
      <c r="B1014" s="190">
        <f>'2011'!D14</f>
        <v>59428229.45999999</v>
      </c>
      <c r="C1014" s="190">
        <f>'2011'!E14</f>
        <v>53103543.74</v>
      </c>
      <c r="D1014" s="190">
        <f>'2011'!F14</f>
        <v>84386532.89</v>
      </c>
      <c r="E1014" s="190">
        <f>'2011'!G14</f>
        <v>196918306.09</v>
      </c>
      <c r="F1014" s="190">
        <f>'2011'!H14</f>
        <v>373964951.52</v>
      </c>
      <c r="G1014" s="190">
        <f>'2011'!I14</f>
        <v>570883257.61</v>
      </c>
    </row>
    <row r="1015" spans="1:7" ht="12.75" customHeight="1">
      <c r="A1015" s="190" t="str">
        <f>'2011'!C15</f>
        <v>Sachanlagen VV</v>
      </c>
      <c r="B1015" s="190">
        <f>'2011'!D15</f>
        <v>28301606.44</v>
      </c>
      <c r="C1015" s="190">
        <f>'2011'!E15</f>
        <v>22589001</v>
      </c>
      <c r="D1015" s="190">
        <f>'2011'!F15</f>
        <v>43679800.56</v>
      </c>
      <c r="E1015" s="190">
        <f>'2011'!G15</f>
        <v>94570408</v>
      </c>
      <c r="F1015" s="190">
        <f>'2011'!H15</f>
        <v>20702613.06</v>
      </c>
      <c r="G1015" s="190">
        <f>'2011'!I15</f>
        <v>115273021.06</v>
      </c>
    </row>
    <row r="1016" spans="1:7" ht="12.75" customHeight="1">
      <c r="A1016" s="190" t="str">
        <f>'2011'!C16</f>
        <v>Immaterielle Anlagen</v>
      </c>
      <c r="B1016" s="190">
        <f>'2011'!D16</f>
        <v>360335.36</v>
      </c>
      <c r="C1016" s="190">
        <f>'2011'!E16</f>
        <v>305000</v>
      </c>
      <c r="D1016" s="190">
        <f>'2011'!F16</f>
        <v>262590.05</v>
      </c>
      <c r="E1016" s="190">
        <f>'2011'!G16</f>
        <v>927925.4099999999</v>
      </c>
      <c r="F1016" s="190">
        <f>'2011'!H16</f>
        <v>0</v>
      </c>
      <c r="G1016" s="190">
        <f>'2011'!I16</f>
        <v>927925.4099999999</v>
      </c>
    </row>
    <row r="1017" spans="1:7" ht="12.75" customHeight="1">
      <c r="A1017" s="190" t="str">
        <f>'2011'!C17</f>
        <v>Darlehen</v>
      </c>
      <c r="B1017" s="190">
        <f>'2011'!D17</f>
        <v>17409</v>
      </c>
      <c r="C1017" s="190">
        <f>'2011'!E17</f>
        <v>31001</v>
      </c>
      <c r="D1017" s="190">
        <f>'2011'!F17</f>
        <v>3224000</v>
      </c>
      <c r="E1017" s="190">
        <f>'2011'!G17</f>
        <v>3272410</v>
      </c>
      <c r="F1017" s="190">
        <f>'2011'!H17</f>
        <v>28436436.3</v>
      </c>
      <c r="G1017" s="190">
        <f>'2011'!I17</f>
        <v>31708846.3</v>
      </c>
    </row>
    <row r="1018" spans="1:7" ht="12.75" customHeight="1">
      <c r="A1018" s="190" t="str">
        <f>'2011'!C18</f>
        <v>Beteiligungen, Grundkapitalien</v>
      </c>
      <c r="B1018" s="190">
        <f>'2011'!D18</f>
        <v>8230969.5</v>
      </c>
      <c r="C1018" s="190">
        <f>'2011'!E18</f>
        <v>13283257</v>
      </c>
      <c r="D1018" s="190">
        <f>'2011'!F18</f>
        <v>5191445.8</v>
      </c>
      <c r="E1018" s="190">
        <f>'2011'!G18</f>
        <v>26705672.3</v>
      </c>
      <c r="F1018" s="190">
        <f>'2011'!H18</f>
        <v>79744927.6</v>
      </c>
      <c r="G1018" s="190">
        <f>'2011'!I18</f>
        <v>106450599.89999999</v>
      </c>
    </row>
    <row r="1019" spans="1:7" ht="12.75" customHeight="1">
      <c r="A1019" s="190" t="str">
        <f>'2011'!C19</f>
        <v>Investitionsbeiträge</v>
      </c>
      <c r="B1019" s="190">
        <f>'2011'!D19</f>
        <v>419832</v>
      </c>
      <c r="C1019" s="190">
        <f>'2011'!E19</f>
        <v>1593000</v>
      </c>
      <c r="D1019" s="190">
        <f>'2011'!F19</f>
        <v>8649884.88</v>
      </c>
      <c r="E1019" s="190">
        <f>'2011'!G19</f>
        <v>10662716.88</v>
      </c>
      <c r="F1019" s="190">
        <f>'2011'!H19</f>
        <v>70387993.93</v>
      </c>
      <c r="G1019" s="190">
        <f>'2011'!I19</f>
        <v>81050710.81</v>
      </c>
    </row>
    <row r="1020" spans="1:7" ht="12.75" customHeight="1">
      <c r="A1020" s="190" t="str">
        <f>'2011'!C20</f>
        <v>Kumulierte zusätzliche Abschreibungen</v>
      </c>
      <c r="B1020" s="190">
        <f>'2011'!D20</f>
        <v>0</v>
      </c>
      <c r="C1020" s="190">
        <f>'2011'!E20</f>
        <v>0</v>
      </c>
      <c r="D1020" s="190">
        <f>'2011'!F20</f>
        <v>-372772.3</v>
      </c>
      <c r="E1020" s="190">
        <f>'2011'!G20</f>
        <v>-372772.3</v>
      </c>
      <c r="F1020" s="190">
        <f>'2011'!H20</f>
        <v>0</v>
      </c>
      <c r="G1020" s="190">
        <f>'2011'!I20</f>
        <v>-372772.3</v>
      </c>
    </row>
    <row r="1021" spans="1:7" ht="12.75" customHeight="1">
      <c r="A1021" s="190" t="str">
        <f>'2011'!C21</f>
        <v>Verwaltungsvermögen</v>
      </c>
      <c r="B1021" s="190">
        <f>'2011'!D21</f>
        <v>37330152.3</v>
      </c>
      <c r="C1021" s="190">
        <f>'2011'!E21</f>
        <v>37801259</v>
      </c>
      <c r="D1021" s="190">
        <f>'2011'!F21</f>
        <v>60634948.99</v>
      </c>
      <c r="E1021" s="190">
        <f>'2011'!G21</f>
        <v>135766360.29</v>
      </c>
      <c r="F1021" s="190">
        <f>'2011'!H21</f>
        <v>199271970.89</v>
      </c>
      <c r="G1021" s="190">
        <f>'2011'!I21</f>
        <v>335038331.18</v>
      </c>
    </row>
    <row r="1022" spans="1:7" ht="12.75" customHeight="1">
      <c r="A1022" s="190" t="str">
        <f>'2011'!C22</f>
        <v>Total Aktiven</v>
      </c>
      <c r="B1022" s="190">
        <f>'2011'!D22</f>
        <v>96758381.75999999</v>
      </c>
      <c r="C1022" s="190">
        <f>'2011'!E22</f>
        <v>90904802.74000001</v>
      </c>
      <c r="D1022" s="190">
        <f>'2011'!F22</f>
        <v>145021481.88</v>
      </c>
      <c r="E1022" s="190">
        <f>'2011'!G22</f>
        <v>332684666.38</v>
      </c>
      <c r="F1022" s="190">
        <f>'2011'!H22</f>
        <v>573236922.41</v>
      </c>
      <c r="G1022" s="190">
        <f>'2011'!I22</f>
        <v>905921588.79</v>
      </c>
    </row>
    <row r="1023" spans="1:7" ht="12.75" customHeight="1">
      <c r="A1023" s="190">
        <f>'2011'!C23</f>
        <v>0</v>
      </c>
      <c r="B1023" s="190">
        <f>'2011'!D23</f>
        <v>0</v>
      </c>
      <c r="C1023" s="190">
        <f>'2011'!E23</f>
        <v>0</v>
      </c>
      <c r="D1023" s="190">
        <f>'2011'!F23</f>
        <v>0</v>
      </c>
      <c r="E1023" s="190">
        <f>'2011'!G23</f>
        <v>0</v>
      </c>
      <c r="F1023" s="190">
        <f>'2011'!H23</f>
        <v>0</v>
      </c>
      <c r="G1023" s="190">
        <f>'2011'!I23</f>
        <v>0</v>
      </c>
    </row>
    <row r="1024" spans="1:7" ht="12.75" customHeight="1">
      <c r="A1024" s="190" t="str">
        <f>'2011'!C24</f>
        <v>Passiven</v>
      </c>
      <c r="B1024" s="190">
        <f>'2011'!D24</f>
        <v>0</v>
      </c>
      <c r="C1024" s="190">
        <f>'2011'!E24</f>
        <v>0</v>
      </c>
      <c r="D1024" s="190">
        <f>'2011'!F24</f>
        <v>0</v>
      </c>
      <c r="E1024" s="190">
        <f>'2011'!G24</f>
        <v>0</v>
      </c>
      <c r="F1024" s="190">
        <f>'2011'!H24</f>
        <v>0</v>
      </c>
      <c r="G1024" s="190">
        <f>'2011'!I24</f>
        <v>0</v>
      </c>
    </row>
    <row r="1025" spans="1:7" ht="12.75" customHeight="1">
      <c r="A1025" s="190" t="str">
        <f>'2011'!C25</f>
        <v>Laufende Verbindlichkeiten</v>
      </c>
      <c r="B1025" s="190">
        <f>'2011'!D25</f>
        <v>6181550.44</v>
      </c>
      <c r="C1025" s="190">
        <f>'2011'!E25</f>
        <v>4892078.05</v>
      </c>
      <c r="D1025" s="190">
        <f>'2011'!F25</f>
        <v>7204552.1</v>
      </c>
      <c r="E1025" s="190">
        <f>'2011'!G25</f>
        <v>18278180.59</v>
      </c>
      <c r="F1025" s="190">
        <f>'2011'!H25</f>
        <v>58805076.1</v>
      </c>
      <c r="G1025" s="190">
        <f>'2011'!I25</f>
        <v>77083256.69</v>
      </c>
    </row>
    <row r="1026" spans="1:7" ht="12.75" customHeight="1">
      <c r="A1026" s="190" t="str">
        <f>'2011'!C26</f>
        <v>Kurzfristige Finanzverbindlichkeiten</v>
      </c>
      <c r="B1026" s="190">
        <f>'2011'!D26</f>
        <v>100000</v>
      </c>
      <c r="C1026" s="190">
        <f>'2011'!E26</f>
        <v>5024139.8</v>
      </c>
      <c r="D1026" s="190">
        <f>'2011'!F26</f>
        <v>17251265</v>
      </c>
      <c r="E1026" s="190">
        <f>'2011'!G26</f>
        <v>22375404.8</v>
      </c>
      <c r="F1026" s="190">
        <f>'2011'!H26</f>
        <v>20425000</v>
      </c>
      <c r="G1026" s="190">
        <f>'2011'!I26</f>
        <v>42800404.8</v>
      </c>
    </row>
    <row r="1027" spans="1:7" ht="12.75" customHeight="1">
      <c r="A1027" s="190" t="str">
        <f>'2011'!C27</f>
        <v>Passive Rechnungsabgrenzung</v>
      </c>
      <c r="B1027" s="190">
        <f>'2011'!D27</f>
        <v>601244.6</v>
      </c>
      <c r="C1027" s="190">
        <f>'2011'!E27</f>
        <v>1403447.05</v>
      </c>
      <c r="D1027" s="190">
        <f>'2011'!F27</f>
        <v>857463.59</v>
      </c>
      <c r="E1027" s="190">
        <f>'2011'!G27</f>
        <v>2862155.2399999998</v>
      </c>
      <c r="F1027" s="190">
        <f>'2011'!H27</f>
        <v>10498006.5</v>
      </c>
      <c r="G1027" s="190">
        <f>'2011'!I27</f>
        <v>13360161.74</v>
      </c>
    </row>
    <row r="1028" spans="1:7" ht="12.75" customHeight="1">
      <c r="A1028" s="190" t="str">
        <f>'2011'!C28</f>
        <v>Kurzfristige Rückstellungen</v>
      </c>
      <c r="B1028" s="190">
        <f>'2011'!D28</f>
        <v>301062.3</v>
      </c>
      <c r="C1028" s="190">
        <f>'2011'!E28</f>
        <v>400000</v>
      </c>
      <c r="D1028" s="190">
        <f>'2011'!F28</f>
        <v>0</v>
      </c>
      <c r="E1028" s="190">
        <f>'2011'!G28</f>
        <v>701062.3</v>
      </c>
      <c r="F1028" s="190">
        <f>'2011'!H28</f>
        <v>992700</v>
      </c>
      <c r="G1028" s="190">
        <f>'2011'!I28</f>
        <v>1693762.3</v>
      </c>
    </row>
    <row r="1029" spans="1:7" ht="12.75" customHeight="1">
      <c r="A1029" s="190" t="str">
        <f>'2011'!C29</f>
        <v>Langfristige Finanzverbindlichkeiten</v>
      </c>
      <c r="B1029" s="190">
        <f>'2011'!D29</f>
        <v>24159034.8</v>
      </c>
      <c r="C1029" s="190">
        <f>'2011'!E29</f>
        <v>22520000</v>
      </c>
      <c r="D1029" s="190">
        <f>'2011'!F29</f>
        <v>24392462.25</v>
      </c>
      <c r="E1029" s="190">
        <f>'2011'!G29</f>
        <v>71071497.05</v>
      </c>
      <c r="F1029" s="190">
        <f>'2011'!H29</f>
        <v>82935209.94</v>
      </c>
      <c r="G1029" s="190">
        <f>'2011'!I29</f>
        <v>154006706.99</v>
      </c>
    </row>
    <row r="1030" spans="1:7" ht="12.75" customHeight="1">
      <c r="A1030" s="190" t="str">
        <f>'2011'!C30</f>
        <v>Langfristige Rückstellungen</v>
      </c>
      <c r="B1030" s="190">
        <f>'2011'!D30</f>
        <v>473000</v>
      </c>
      <c r="C1030" s="190">
        <f>'2011'!E30</f>
        <v>0</v>
      </c>
      <c r="D1030" s="190">
        <f>'2011'!F30</f>
        <v>312395.7</v>
      </c>
      <c r="E1030" s="190">
        <f>'2011'!G30</f>
        <v>785395.7</v>
      </c>
      <c r="F1030" s="190">
        <f>'2011'!H30</f>
        <v>0</v>
      </c>
      <c r="G1030" s="190">
        <f>'2011'!I30</f>
        <v>785395.7</v>
      </c>
    </row>
    <row r="1031" spans="1:7" ht="12.75" customHeight="1">
      <c r="A1031" s="190" t="str">
        <f>'2011'!C31</f>
        <v>Vebindlichkeiten gegenüber SF im FK</v>
      </c>
      <c r="B1031" s="190">
        <f>'2011'!D31</f>
        <v>4601416.4</v>
      </c>
      <c r="C1031" s="190">
        <f>'2011'!E31</f>
        <v>582463.25</v>
      </c>
      <c r="D1031" s="190">
        <f>'2011'!F31</f>
        <v>2823734.2</v>
      </c>
      <c r="E1031" s="190">
        <f>'2011'!G31</f>
        <v>8007613.850000001</v>
      </c>
      <c r="F1031" s="190">
        <f>'2011'!H31</f>
        <v>21066053.94</v>
      </c>
      <c r="G1031" s="190">
        <f>'2011'!I31</f>
        <v>29073667.790000003</v>
      </c>
    </row>
    <row r="1032" spans="1:7" ht="12.75" customHeight="1">
      <c r="A1032" s="190" t="str">
        <f>'2011'!C32</f>
        <v>Fremdkapital</v>
      </c>
      <c r="B1032" s="190">
        <f>'2011'!D32</f>
        <v>36417308.54</v>
      </c>
      <c r="C1032" s="190">
        <f>'2011'!E32</f>
        <v>34822128.15</v>
      </c>
      <c r="D1032" s="190">
        <f>'2011'!F32</f>
        <v>52841872.84</v>
      </c>
      <c r="E1032" s="190">
        <f>'2011'!G32</f>
        <v>124081309.52999999</v>
      </c>
      <c r="F1032" s="190">
        <f>'2011'!H32</f>
        <v>194722046.48</v>
      </c>
      <c r="G1032" s="190">
        <f>'2011'!I32</f>
        <v>318803356.01</v>
      </c>
    </row>
    <row r="1033" spans="1:7" ht="12.75" customHeight="1">
      <c r="A1033" s="190" t="str">
        <f>'2011'!C33</f>
        <v>Verpflichtungen/Vorschüsse gegenüber SF</v>
      </c>
      <c r="B1033" s="190">
        <f>'2011'!D33</f>
        <v>4478751.8</v>
      </c>
      <c r="C1033" s="190">
        <f>'2011'!E33</f>
        <v>2027988.06</v>
      </c>
      <c r="D1033" s="190">
        <f>'2011'!F33</f>
        <v>12059098.59</v>
      </c>
      <c r="E1033" s="190">
        <f>'2011'!G33</f>
        <v>18565838.45</v>
      </c>
      <c r="F1033" s="190">
        <f>'2011'!H33</f>
        <v>0</v>
      </c>
      <c r="G1033" s="190">
        <f>'2011'!I33</f>
        <v>18565838.45</v>
      </c>
    </row>
    <row r="1034" spans="1:7" ht="12.75" customHeight="1">
      <c r="A1034" s="190" t="str">
        <f>'2011'!C34</f>
        <v>Fonds im EK</v>
      </c>
      <c r="B1034" s="190">
        <f>'2011'!D34</f>
        <v>10734946.86</v>
      </c>
      <c r="C1034" s="190">
        <f>'2011'!E34</f>
        <v>2857416.08</v>
      </c>
      <c r="D1034" s="190">
        <f>'2011'!F34</f>
        <v>7326194.46</v>
      </c>
      <c r="E1034" s="190">
        <f>'2011'!G34</f>
        <v>20918557.4</v>
      </c>
      <c r="F1034" s="190">
        <f>'2011'!H34</f>
        <v>166011201.3</v>
      </c>
      <c r="G1034" s="190">
        <f>'2011'!I34</f>
        <v>186929758.70000002</v>
      </c>
    </row>
    <row r="1035" spans="1:7" ht="12.75" customHeight="1">
      <c r="A1035" s="190" t="str">
        <f>'2011'!C35</f>
        <v>Rücklagen der Globalbudgetbereiche</v>
      </c>
      <c r="B1035" s="190">
        <f>'2011'!D35</f>
        <v>0</v>
      </c>
      <c r="C1035" s="190">
        <f>'2011'!E35</f>
        <v>0</v>
      </c>
      <c r="D1035" s="190">
        <f>'2011'!F35</f>
        <v>0</v>
      </c>
      <c r="E1035" s="190">
        <f>'2011'!G35</f>
        <v>0</v>
      </c>
      <c r="F1035" s="190">
        <f>'2011'!H35</f>
        <v>0</v>
      </c>
      <c r="G1035" s="190">
        <f>'2011'!I35</f>
        <v>0</v>
      </c>
    </row>
    <row r="1036" spans="1:7" ht="12.75" customHeight="1">
      <c r="A1036" s="190" t="str">
        <f>'2011'!C36</f>
        <v>Vorfinanzierungen</v>
      </c>
      <c r="B1036" s="190">
        <f>'2011'!D36</f>
        <v>1998222.2</v>
      </c>
      <c r="C1036" s="190">
        <f>'2011'!E36</f>
        <v>0</v>
      </c>
      <c r="D1036" s="190">
        <f>'2011'!F36</f>
        <v>1773216.67</v>
      </c>
      <c r="E1036" s="190">
        <f>'2011'!G36</f>
        <v>3771438.87</v>
      </c>
      <c r="F1036" s="190">
        <f>'2011'!H36</f>
        <v>0</v>
      </c>
      <c r="G1036" s="190">
        <f>'2011'!I36</f>
        <v>3771438.87</v>
      </c>
    </row>
    <row r="1037" spans="1:7" ht="12.75" customHeight="1">
      <c r="A1037" s="190" t="str">
        <f>'2011'!C37</f>
        <v>Aufwertungsreserve VV</v>
      </c>
      <c r="B1037" s="190">
        <f>'2011'!D37</f>
        <v>5161587.5</v>
      </c>
      <c r="C1037" s="190">
        <f>'2011'!E37</f>
        <v>11315263.75</v>
      </c>
      <c r="D1037" s="190">
        <f>'2011'!F37</f>
        <v>-1226450.55</v>
      </c>
      <c r="E1037" s="190">
        <f>'2011'!G37</f>
        <v>15250400.7</v>
      </c>
      <c r="F1037" s="190">
        <f>'2011'!H37</f>
        <v>33940732.41</v>
      </c>
      <c r="G1037" s="190">
        <f>'2011'!I37</f>
        <v>49191133.11</v>
      </c>
    </row>
    <row r="1038" spans="1:7" ht="12.75" customHeight="1">
      <c r="A1038" s="190" t="str">
        <f>'2011'!C38</f>
        <v>Neubewertungsreserve Finanzvermögen</v>
      </c>
      <c r="B1038" s="190">
        <f>'2011'!D38</f>
        <v>14971732.6</v>
      </c>
      <c r="C1038" s="190">
        <f>'2011'!E38</f>
        <v>7256876.15</v>
      </c>
      <c r="D1038" s="190">
        <f>'2011'!F38</f>
        <v>23632397.15</v>
      </c>
      <c r="E1038" s="190">
        <f>'2011'!G38</f>
        <v>45861005.9</v>
      </c>
      <c r="F1038" s="190">
        <f>'2011'!H38</f>
        <v>85440376.21</v>
      </c>
      <c r="G1038" s="190">
        <f>'2011'!I38</f>
        <v>131301382.10999998</v>
      </c>
    </row>
    <row r="1039" spans="1:7" ht="12.75" customHeight="1">
      <c r="A1039" s="190" t="str">
        <f>'2011'!C39</f>
        <v>Übriges Eigenkapital</v>
      </c>
      <c r="B1039" s="190">
        <f>'2011'!D39</f>
        <v>0</v>
      </c>
      <c r="C1039" s="190">
        <f>'2011'!E39</f>
        <v>29110673.4</v>
      </c>
      <c r="D1039" s="190">
        <f>'2011'!F39</f>
        <v>48142882.46</v>
      </c>
      <c r="E1039" s="190">
        <f>'2011'!G39</f>
        <v>77253555.86</v>
      </c>
      <c r="F1039" s="190">
        <f>'2011'!H39</f>
        <v>41773103.47</v>
      </c>
      <c r="G1039" s="190">
        <f>'2011'!I39</f>
        <v>119026659.33</v>
      </c>
    </row>
    <row r="1040" spans="1:7" ht="12.75" customHeight="1">
      <c r="A1040" s="190" t="str">
        <f>'2011'!C40</f>
        <v>Bilanzüberschuss /-fehlbetrag</v>
      </c>
      <c r="B1040" s="190">
        <f>'2011'!D40</f>
        <v>22995832.26</v>
      </c>
      <c r="C1040" s="190">
        <f>'2011'!E40</f>
        <v>3514457.15</v>
      </c>
      <c r="D1040" s="190">
        <f>'2011'!F40</f>
        <v>472270.26</v>
      </c>
      <c r="E1040" s="190">
        <f>'2011'!G40</f>
        <v>26982559.67</v>
      </c>
      <c r="F1040" s="190">
        <f>'2011'!H40</f>
        <v>51349462.54</v>
      </c>
      <c r="G1040" s="190">
        <f>'2011'!I40</f>
        <v>78332022.21000001</v>
      </c>
    </row>
    <row r="1041" spans="1:7" ht="12.75" customHeight="1">
      <c r="A1041" s="190" t="str">
        <f>'2011'!C41</f>
        <v>Eigenkapital</v>
      </c>
      <c r="B1041" s="190">
        <f>'2011'!D41</f>
        <v>60341073.22</v>
      </c>
      <c r="C1041" s="190">
        <f>'2011'!E41</f>
        <v>56082674.589999996</v>
      </c>
      <c r="D1041" s="190">
        <f>'2011'!F41</f>
        <v>92179609.04</v>
      </c>
      <c r="E1041" s="190">
        <f>'2011'!G41</f>
        <v>208603356.85000002</v>
      </c>
      <c r="F1041" s="190">
        <f>'2011'!H41</f>
        <v>378514875.93</v>
      </c>
      <c r="G1041" s="190">
        <f>'2011'!I41</f>
        <v>587118232.78</v>
      </c>
    </row>
    <row r="1042" spans="1:7" ht="12.75" customHeight="1">
      <c r="A1042" s="190" t="str">
        <f>'2011'!C42</f>
        <v>Total Passiven</v>
      </c>
      <c r="B1042" s="190">
        <f>'2011'!D42</f>
        <v>96758381.75999999</v>
      </c>
      <c r="C1042" s="190">
        <f>'2011'!E42</f>
        <v>90904802.74</v>
      </c>
      <c r="D1042" s="190">
        <f>'2011'!F42</f>
        <v>145021481.88</v>
      </c>
      <c r="E1042" s="190">
        <f>'2011'!G42</f>
        <v>332684666.38</v>
      </c>
      <c r="F1042" s="190">
        <f>'2011'!H42</f>
        <v>573236922.41</v>
      </c>
      <c r="G1042" s="190">
        <f>'2011'!I42</f>
        <v>905921588.79</v>
      </c>
    </row>
    <row r="1043" spans="1:7" ht="12.75" customHeight="1">
      <c r="A1043" s="190" t="str">
        <f>'2011'!C43</f>
        <v>Kontrolle</v>
      </c>
      <c r="B1043" s="190">
        <f>'2011'!D43</f>
        <v>0</v>
      </c>
      <c r="C1043" s="190">
        <f>'2011'!E43</f>
        <v>1.4901161193847656E-08</v>
      </c>
      <c r="D1043" s="190">
        <f>'2011'!F43</f>
        <v>0</v>
      </c>
      <c r="E1043" s="190">
        <f>'2011'!G43</f>
        <v>0</v>
      </c>
      <c r="F1043" s="190">
        <f>'2011'!H43</f>
        <v>0</v>
      </c>
      <c r="G1043" s="190">
        <f>'2011'!I43</f>
        <v>0</v>
      </c>
    </row>
    <row r="1044" spans="1:7" ht="12.75" customHeight="1">
      <c r="A1044" s="190">
        <f>'2011'!C44</f>
        <v>0</v>
      </c>
      <c r="B1044" s="190">
        <f>'2011'!D44</f>
        <v>0</v>
      </c>
      <c r="C1044" s="190">
        <f>'2011'!E44</f>
        <v>0</v>
      </c>
      <c r="D1044" s="190">
        <f>'2011'!F44</f>
        <v>0</v>
      </c>
      <c r="E1044" s="190">
        <f>'2011'!G44</f>
        <v>0</v>
      </c>
      <c r="F1044" s="190">
        <f>'2011'!H44</f>
        <v>0</v>
      </c>
      <c r="G1044" s="190">
        <f>'2011'!I44</f>
        <v>0</v>
      </c>
    </row>
    <row r="1045" spans="1:7" ht="12.75" customHeight="1">
      <c r="A1045" s="190">
        <f>'2011'!C45</f>
        <v>0</v>
      </c>
      <c r="B1045" s="190">
        <f>'2011'!D45</f>
        <v>0</v>
      </c>
      <c r="C1045" s="190">
        <f>'2011'!E45</f>
        <v>0</v>
      </c>
      <c r="D1045" s="190">
        <f>'2011'!F45</f>
        <v>0</v>
      </c>
      <c r="E1045" s="190">
        <f>'2011'!G45</f>
        <v>0</v>
      </c>
      <c r="F1045" s="190">
        <f>'2011'!H45</f>
        <v>0</v>
      </c>
      <c r="G1045" s="190">
        <f>'2011'!I45</f>
        <v>0</v>
      </c>
    </row>
    <row r="1046" spans="1:7" ht="12.75" customHeight="1">
      <c r="A1046" s="190">
        <f>'2011'!C46</f>
        <v>0</v>
      </c>
      <c r="B1046" s="190">
        <f>'2011'!D46</f>
        <v>0</v>
      </c>
      <c r="C1046" s="190">
        <f>'2011'!E46</f>
        <v>0</v>
      </c>
      <c r="D1046" s="190">
        <f>'2011'!F46</f>
        <v>0</v>
      </c>
      <c r="E1046" s="190">
        <f>'2011'!G46</f>
        <v>0</v>
      </c>
      <c r="F1046" s="190">
        <f>'2011'!H46</f>
        <v>0</v>
      </c>
      <c r="G1046" s="190">
        <f>'2011'!I46</f>
        <v>0</v>
      </c>
    </row>
    <row r="1047" spans="1:7" ht="12.75" customHeight="1">
      <c r="A1047" s="190" t="str">
        <f>'2011'!C47</f>
        <v>Aufwand</v>
      </c>
      <c r="B1047" s="190">
        <f>'2011'!D47</f>
        <v>0</v>
      </c>
      <c r="C1047" s="190">
        <f>'2011'!E47</f>
        <v>0</v>
      </c>
      <c r="D1047" s="190">
        <f>'2011'!F47</f>
        <v>0</v>
      </c>
      <c r="E1047" s="190">
        <f>'2011'!G47</f>
        <v>0</v>
      </c>
      <c r="F1047" s="190">
        <f>'2011'!H47</f>
        <v>0</v>
      </c>
      <c r="G1047" s="190">
        <f>'2011'!I47</f>
        <v>0</v>
      </c>
    </row>
    <row r="1048" spans="1:7" ht="12.75" customHeight="1">
      <c r="A1048" s="190" t="str">
        <f>'2011'!C48</f>
        <v>Behörden und Kommissionen</v>
      </c>
      <c r="B1048" s="190">
        <f>'2011'!D48</f>
        <v>587550.8</v>
      </c>
      <c r="C1048" s="190">
        <f>'2011'!E48</f>
        <v>491315.8</v>
      </c>
      <c r="D1048" s="190">
        <f>'2011'!F48</f>
        <v>593769</v>
      </c>
      <c r="E1048" s="190">
        <f>'2011'!G48</f>
        <v>1672635.6</v>
      </c>
      <c r="F1048" s="190">
        <f>'2011'!H48</f>
        <v>2435255</v>
      </c>
      <c r="G1048" s="190">
        <f>'2011'!I48</f>
        <v>4107890.6</v>
      </c>
    </row>
    <row r="1049" spans="1:7" ht="12.75" customHeight="1">
      <c r="A1049" s="190" t="str">
        <f>'2011'!C49</f>
        <v>Löhne des Verwaltungs- und Betriebspersonals</v>
      </c>
      <c r="B1049" s="190">
        <f>'2011'!D49</f>
        <v>8926763.5</v>
      </c>
      <c r="C1049" s="190">
        <f>'2011'!E49</f>
        <v>7579349.65</v>
      </c>
      <c r="D1049" s="190">
        <f>'2011'!F49</f>
        <v>10633472.88</v>
      </c>
      <c r="E1049" s="190">
        <f>'2011'!G49</f>
        <v>27139586.03</v>
      </c>
      <c r="F1049" s="190">
        <f>'2011'!H49</f>
        <v>44245569</v>
      </c>
      <c r="G1049" s="190">
        <f>'2011'!I49</f>
        <v>71385155.03</v>
      </c>
    </row>
    <row r="1050" spans="1:7" ht="12.75" customHeight="1">
      <c r="A1050" s="190" t="str">
        <f>'2011'!C50</f>
        <v>Löhne der Lehrkräfte</v>
      </c>
      <c r="B1050" s="190">
        <f>'2011'!D50</f>
        <v>8997518.25</v>
      </c>
      <c r="C1050" s="190">
        <f>'2011'!E50</f>
        <v>11526216.55</v>
      </c>
      <c r="D1050" s="190">
        <f>'2011'!F50</f>
        <v>14492256.11</v>
      </c>
      <c r="E1050" s="190">
        <f>'2011'!G50</f>
        <v>35015990.91</v>
      </c>
      <c r="F1050" s="190">
        <f>'2011'!H50</f>
        <v>12702691</v>
      </c>
      <c r="G1050" s="190">
        <f>'2011'!I50</f>
        <v>47718681.91</v>
      </c>
    </row>
    <row r="1051" spans="1:7" ht="12.75" customHeight="1">
      <c r="A1051" s="190" t="str">
        <f>'2011'!C51</f>
        <v>Temporäre Arbeitskräfte</v>
      </c>
      <c r="B1051" s="190">
        <f>'2011'!D51</f>
        <v>0</v>
      </c>
      <c r="C1051" s="190">
        <f>'2011'!E51</f>
        <v>16935.6</v>
      </c>
      <c r="D1051" s="190">
        <f>'2011'!F51</f>
        <v>16649.55</v>
      </c>
      <c r="E1051" s="190">
        <f>'2011'!G51</f>
        <v>33585.149999999994</v>
      </c>
      <c r="F1051" s="190">
        <f>'2011'!H51</f>
        <v>0</v>
      </c>
      <c r="G1051" s="190">
        <f>'2011'!I51</f>
        <v>33585.149999999994</v>
      </c>
    </row>
    <row r="1052" spans="1:7" ht="12.75" customHeight="1">
      <c r="A1052" s="190" t="str">
        <f>'2011'!C52</f>
        <v>Zulagen</v>
      </c>
      <c r="B1052" s="190">
        <f>'2011'!D52</f>
        <v>12050</v>
      </c>
      <c r="C1052" s="190">
        <f>'2011'!E52</f>
        <v>28220</v>
      </c>
      <c r="D1052" s="190">
        <f>'2011'!F52</f>
        <v>18255.25</v>
      </c>
      <c r="E1052" s="190">
        <f>'2011'!G52</f>
        <v>58525.25</v>
      </c>
      <c r="F1052" s="190">
        <f>'2011'!H52</f>
        <v>57566</v>
      </c>
      <c r="G1052" s="190">
        <f>'2011'!I52</f>
        <v>116091.25</v>
      </c>
    </row>
    <row r="1053" spans="1:7" ht="12.75" customHeight="1">
      <c r="A1053" s="190" t="str">
        <f>'2011'!C53</f>
        <v>Arbeitgeberteiträge</v>
      </c>
      <c r="B1053" s="190">
        <f>'2011'!D53</f>
        <v>3132222.8</v>
      </c>
      <c r="C1053" s="190">
        <f>'2011'!E53</f>
        <v>3505312.45</v>
      </c>
      <c r="D1053" s="190">
        <f>'2011'!F53</f>
        <v>4750602.45</v>
      </c>
      <c r="E1053" s="190">
        <f>'2011'!G53</f>
        <v>11388137.7</v>
      </c>
      <c r="F1053" s="190">
        <f>'2011'!H53</f>
        <v>10200091</v>
      </c>
      <c r="G1053" s="190">
        <f>'2011'!I53</f>
        <v>21588228.7</v>
      </c>
    </row>
    <row r="1054" spans="1:7" ht="12.75" customHeight="1">
      <c r="A1054" s="190" t="str">
        <f>'2011'!C54</f>
        <v>Arbeitgeberleistungen</v>
      </c>
      <c r="B1054" s="190">
        <f>'2011'!D54</f>
        <v>70632.4</v>
      </c>
      <c r="C1054" s="190">
        <f>'2011'!E54</f>
        <v>102744.1</v>
      </c>
      <c r="D1054" s="190">
        <f>'2011'!F54</f>
        <v>0</v>
      </c>
      <c r="E1054" s="190">
        <f>'2011'!G54</f>
        <v>173376.5</v>
      </c>
      <c r="F1054" s="190">
        <f>'2011'!H54</f>
        <v>849035</v>
      </c>
      <c r="G1054" s="190">
        <f>'2011'!I54</f>
        <v>1022411.5</v>
      </c>
    </row>
    <row r="1055" spans="1:7" ht="12.75" customHeight="1">
      <c r="A1055" s="190" t="str">
        <f>'2011'!C55</f>
        <v>Übriger Personalaufwand</v>
      </c>
      <c r="B1055" s="190">
        <f>'2011'!D55</f>
        <v>150773.85</v>
      </c>
      <c r="C1055" s="190">
        <f>'2011'!E55</f>
        <v>159826.35</v>
      </c>
      <c r="D1055" s="190">
        <f>'2011'!F55</f>
        <v>177985.3</v>
      </c>
      <c r="E1055" s="190">
        <f>'2011'!G55</f>
        <v>488585.5</v>
      </c>
      <c r="F1055" s="190">
        <f>'2011'!H55</f>
        <v>889002</v>
      </c>
      <c r="G1055" s="190">
        <f>'2011'!I55</f>
        <v>1377587.5</v>
      </c>
    </row>
    <row r="1056" spans="1:7" ht="12.75" customHeight="1">
      <c r="A1056" s="190" t="str">
        <f>'2011'!C56</f>
        <v>Personalaufwand</v>
      </c>
      <c r="B1056" s="190">
        <f>'2011'!D56</f>
        <v>21877511.6</v>
      </c>
      <c r="C1056" s="190">
        <f>'2011'!E56</f>
        <v>23409920.500000004</v>
      </c>
      <c r="D1056" s="190">
        <f>'2011'!F56</f>
        <v>30682990.540000003</v>
      </c>
      <c r="E1056" s="190">
        <f>'2011'!G56</f>
        <v>75970422.64</v>
      </c>
      <c r="F1056" s="190">
        <f>'2011'!H56</f>
        <v>71379209</v>
      </c>
      <c r="G1056" s="190">
        <f>'2011'!I56</f>
        <v>147349631.64</v>
      </c>
    </row>
    <row r="1057" spans="1:7" ht="12.75" customHeight="1">
      <c r="A1057" s="190" t="str">
        <f>'2011'!C57</f>
        <v>Material- und Warenaufwand</v>
      </c>
      <c r="B1057" s="190">
        <f>'2011'!D57</f>
        <v>1238843.82</v>
      </c>
      <c r="C1057" s="190">
        <f>'2011'!E57</f>
        <v>1287735.05</v>
      </c>
      <c r="D1057" s="190">
        <f>'2011'!F57</f>
        <v>1704663.42</v>
      </c>
      <c r="E1057" s="190">
        <f>'2011'!G57</f>
        <v>4231242.29</v>
      </c>
      <c r="F1057" s="190">
        <f>'2011'!H57</f>
        <v>2333299</v>
      </c>
      <c r="G1057" s="190">
        <f>'2011'!I57</f>
        <v>6564541.29</v>
      </c>
    </row>
    <row r="1058" spans="1:7" ht="12.75" customHeight="1">
      <c r="A1058" s="190" t="str">
        <f>'2011'!C58</f>
        <v>Nicht aktivierbare Anlagen</v>
      </c>
      <c r="B1058" s="190">
        <f>'2011'!D58</f>
        <v>347639.25</v>
      </c>
      <c r="C1058" s="190">
        <f>'2011'!E58</f>
        <v>408601.4</v>
      </c>
      <c r="D1058" s="190">
        <f>'2011'!F58</f>
        <v>792899.45</v>
      </c>
      <c r="E1058" s="190">
        <f>'2011'!G58</f>
        <v>1549140.1</v>
      </c>
      <c r="F1058" s="190">
        <f>'2011'!H58</f>
        <v>1790362</v>
      </c>
      <c r="G1058" s="190">
        <f>'2011'!I58</f>
        <v>3339502.1</v>
      </c>
    </row>
    <row r="1059" spans="1:7" ht="12.75" customHeight="1">
      <c r="A1059" s="190" t="str">
        <f>'2011'!C59</f>
        <v>Ver- und Entsorgung</v>
      </c>
      <c r="B1059" s="190">
        <f>'2011'!D59</f>
        <v>808444.75</v>
      </c>
      <c r="C1059" s="190">
        <f>'2011'!E59</f>
        <v>1409289.02</v>
      </c>
      <c r="D1059" s="190">
        <f>'2011'!F59</f>
        <v>832432.07</v>
      </c>
      <c r="E1059" s="190">
        <f>'2011'!G59</f>
        <v>3050165.84</v>
      </c>
      <c r="F1059" s="190">
        <f>'2011'!H59</f>
        <v>1002943</v>
      </c>
      <c r="G1059" s="190">
        <f>'2011'!I59</f>
        <v>4053108.84</v>
      </c>
    </row>
    <row r="1060" spans="1:7" ht="12.75" customHeight="1">
      <c r="A1060" s="190" t="str">
        <f>'2011'!C60</f>
        <v>Dienstleistungen und Honorare</v>
      </c>
      <c r="B1060" s="190">
        <f>'2011'!D60</f>
        <v>5035546.38</v>
      </c>
      <c r="C1060" s="190">
        <f>'2011'!E60</f>
        <v>3086427.01</v>
      </c>
      <c r="D1060" s="190">
        <f>'2011'!F60</f>
        <v>5090437.66</v>
      </c>
      <c r="E1060" s="190">
        <f>'2011'!G60</f>
        <v>13212411.05</v>
      </c>
      <c r="F1060" s="190">
        <f>'2011'!H60</f>
        <v>11327480</v>
      </c>
      <c r="G1060" s="190">
        <f>'2011'!I60</f>
        <v>24539891.05</v>
      </c>
    </row>
    <row r="1061" spans="1:7" ht="12.75" customHeight="1">
      <c r="A1061" s="190" t="str">
        <f>'2011'!C61</f>
        <v>Baulicher Unterhalt</v>
      </c>
      <c r="B1061" s="190">
        <f>'2011'!D61</f>
        <v>1412360.38</v>
      </c>
      <c r="C1061" s="190">
        <f>'2011'!E61</f>
        <v>878268.85</v>
      </c>
      <c r="D1061" s="190">
        <f>'2011'!F61</f>
        <v>1991571.18</v>
      </c>
      <c r="E1061" s="190">
        <f>'2011'!G61</f>
        <v>4282200.41</v>
      </c>
      <c r="F1061" s="190">
        <f>'2011'!H61</f>
        <v>8902056</v>
      </c>
      <c r="G1061" s="190">
        <f>'2011'!I61</f>
        <v>13184256.41</v>
      </c>
    </row>
    <row r="1062" spans="1:7" ht="12.75" customHeight="1">
      <c r="A1062" s="190" t="str">
        <f>'2011'!C62</f>
        <v>Unterhalt Mobilien und immaterielle Anlagen</v>
      </c>
      <c r="B1062" s="190">
        <f>'2011'!D62</f>
        <v>474065.31</v>
      </c>
      <c r="C1062" s="190">
        <f>'2011'!E62</f>
        <v>387787.45</v>
      </c>
      <c r="D1062" s="190">
        <f>'2011'!F62</f>
        <v>477947.8</v>
      </c>
      <c r="E1062" s="190">
        <f>'2011'!G62</f>
        <v>1339800.56</v>
      </c>
      <c r="F1062" s="190">
        <f>'2011'!H62</f>
        <v>2303880</v>
      </c>
      <c r="G1062" s="190">
        <f>'2011'!I62</f>
        <v>3643680.56</v>
      </c>
    </row>
    <row r="1063" spans="1:7" ht="12.75" customHeight="1">
      <c r="A1063" s="190" t="str">
        <f>'2011'!C63</f>
        <v>Mieten, Leasing, Pachten, Benützungsgebühren</v>
      </c>
      <c r="B1063" s="190">
        <f>'2011'!D63</f>
        <v>283740.5</v>
      </c>
      <c r="C1063" s="190">
        <f>'2011'!E63</f>
        <v>139890.55</v>
      </c>
      <c r="D1063" s="190">
        <f>'2011'!F63</f>
        <v>593443.4</v>
      </c>
      <c r="E1063" s="190">
        <f>'2011'!G63</f>
        <v>1017074.45</v>
      </c>
      <c r="F1063" s="190">
        <f>'2011'!H63</f>
        <v>1008008</v>
      </c>
      <c r="G1063" s="190">
        <f>'2011'!I63</f>
        <v>2025082.45</v>
      </c>
    </row>
    <row r="1064" spans="1:7" ht="12.75" customHeight="1">
      <c r="A1064" s="190" t="str">
        <f>'2011'!C64</f>
        <v>Spesenentschädigung</v>
      </c>
      <c r="B1064" s="190">
        <f>'2011'!D64</f>
        <v>450815.55</v>
      </c>
      <c r="C1064" s="190">
        <f>'2011'!E64</f>
        <v>188035.47</v>
      </c>
      <c r="D1064" s="190">
        <f>'2011'!F64</f>
        <v>293547.65</v>
      </c>
      <c r="E1064" s="190">
        <f>'2011'!G64</f>
        <v>932398.67</v>
      </c>
      <c r="F1064" s="190">
        <f>'2011'!H64</f>
        <v>603375</v>
      </c>
      <c r="G1064" s="190">
        <f>'2011'!I64</f>
        <v>1535773.67</v>
      </c>
    </row>
    <row r="1065" spans="1:7" ht="12.75" customHeight="1">
      <c r="A1065" s="190" t="str">
        <f>'2011'!C65</f>
        <v>Wertberichtigungen auf Forderungen</v>
      </c>
      <c r="B1065" s="190">
        <f>'2011'!D65</f>
        <v>522915.05</v>
      </c>
      <c r="C1065" s="190">
        <f>'2011'!E65</f>
        <v>556674.08</v>
      </c>
      <c r="D1065" s="190">
        <f>'2011'!F65</f>
        <v>690074.64</v>
      </c>
      <c r="E1065" s="190">
        <f>'2011'!G65</f>
        <v>1769663.77</v>
      </c>
      <c r="F1065" s="190">
        <f>'2011'!H65</f>
        <v>1863508</v>
      </c>
      <c r="G1065" s="190">
        <f>'2011'!I65</f>
        <v>3633171.77</v>
      </c>
    </row>
    <row r="1066" spans="1:7" ht="12.75" customHeight="1">
      <c r="A1066" s="190" t="str">
        <f>'2011'!C66</f>
        <v>Verschiedener Betriebsaufwand</v>
      </c>
      <c r="B1066" s="190">
        <f>'2011'!D66</f>
        <v>2916.25</v>
      </c>
      <c r="C1066" s="190">
        <f>'2011'!E66</f>
        <v>3864.15</v>
      </c>
      <c r="D1066" s="190">
        <f>'2011'!F66</f>
        <v>75860.6</v>
      </c>
      <c r="E1066" s="190">
        <f>'2011'!G66</f>
        <v>82641</v>
      </c>
      <c r="F1066" s="190">
        <f>'2011'!H66</f>
        <v>195896</v>
      </c>
      <c r="G1066" s="190">
        <f>'2011'!I66</f>
        <v>278537</v>
      </c>
    </row>
    <row r="1067" spans="1:7" ht="12.75" customHeight="1">
      <c r="A1067" s="190" t="str">
        <f>'2011'!C67</f>
        <v>Sach- und übriger Betriebsaufwand</v>
      </c>
      <c r="B1067" s="190">
        <f>'2011'!D67</f>
        <v>10577287.240000002</v>
      </c>
      <c r="C1067" s="190">
        <f>'2011'!E67</f>
        <v>8346573.03</v>
      </c>
      <c r="D1067" s="190">
        <f>'2011'!F67</f>
        <v>12542877.870000001</v>
      </c>
      <c r="E1067" s="190">
        <f>'2011'!G67</f>
        <v>31466738.14</v>
      </c>
      <c r="F1067" s="190">
        <f>'2011'!H67</f>
        <v>31330807</v>
      </c>
      <c r="G1067" s="190">
        <f>'2011'!I67</f>
        <v>62797545.14000001</v>
      </c>
    </row>
    <row r="1068" spans="1:7" ht="12.75" customHeight="1">
      <c r="A1068" s="190" t="str">
        <f>'2011'!C68</f>
        <v>Sachanlagen VV</v>
      </c>
      <c r="B1068" s="190">
        <f>'2011'!D68</f>
        <v>3641780.9</v>
      </c>
      <c r="C1068" s="190">
        <f>'2011'!E68</f>
        <v>3020698.28</v>
      </c>
      <c r="D1068" s="190">
        <f>'2011'!F68</f>
        <v>5970025.62</v>
      </c>
      <c r="E1068" s="190">
        <f>'2011'!G68</f>
        <v>12632504.8</v>
      </c>
      <c r="F1068" s="190">
        <f>'2011'!H68</f>
        <v>9019009</v>
      </c>
      <c r="G1068" s="190">
        <f>'2011'!I68</f>
        <v>21651513.8</v>
      </c>
    </row>
    <row r="1069" spans="1:7" ht="12.75" customHeight="1">
      <c r="A1069" s="190" t="str">
        <f>'2011'!C69</f>
        <v>Abschreibungen immaterielle Anlagen</v>
      </c>
      <c r="B1069" s="190">
        <f>'2011'!D69</f>
        <v>42487.1</v>
      </c>
      <c r="C1069" s="190">
        <f>'2011'!E69</f>
        <v>221322.7</v>
      </c>
      <c r="D1069" s="190">
        <f>'2011'!F69</f>
        <v>262590.45</v>
      </c>
      <c r="E1069" s="190">
        <f>'2011'!G69</f>
        <v>526400.25</v>
      </c>
      <c r="F1069" s="190">
        <f>'2011'!H69</f>
        <v>0</v>
      </c>
      <c r="G1069" s="190">
        <f>'2011'!I69</f>
        <v>526400.25</v>
      </c>
    </row>
    <row r="1070" spans="1:7" ht="12.75" customHeight="1">
      <c r="A1070" s="190" t="str">
        <f>'2011'!C70</f>
        <v>Abtragung Bilanzfehlbetrag</v>
      </c>
      <c r="B1070" s="190">
        <f>'2011'!D70</f>
        <v>0</v>
      </c>
      <c r="C1070" s="190">
        <f>'2011'!E70</f>
        <v>0</v>
      </c>
      <c r="D1070" s="190">
        <f>'2011'!F70</f>
        <v>0</v>
      </c>
      <c r="E1070" s="190">
        <f>'2011'!G70</f>
        <v>0</v>
      </c>
      <c r="F1070" s="190">
        <f>'2011'!H70</f>
        <v>0</v>
      </c>
      <c r="G1070" s="190">
        <f>'2011'!I70</f>
        <v>0</v>
      </c>
    </row>
    <row r="1071" spans="1:7" ht="12.75" customHeight="1">
      <c r="A1071" s="190" t="str">
        <f>'2011'!C71</f>
        <v>Abschreibungen Verwaltungsvermögen</v>
      </c>
      <c r="B1071" s="190">
        <f>'2011'!D71</f>
        <v>3684268</v>
      </c>
      <c r="C1071" s="190">
        <f>'2011'!E71</f>
        <v>3242020.98</v>
      </c>
      <c r="D1071" s="190">
        <f>'2011'!F71</f>
        <v>6232616.07</v>
      </c>
      <c r="E1071" s="190">
        <f>'2011'!G71</f>
        <v>13158905.05</v>
      </c>
      <c r="F1071" s="190">
        <f>'2011'!H71</f>
        <v>9019009</v>
      </c>
      <c r="G1071" s="190">
        <f>'2011'!I71</f>
        <v>22177914.05</v>
      </c>
    </row>
    <row r="1072" spans="1:7" ht="12.75" customHeight="1">
      <c r="A1072" s="190" t="str">
        <f>'2011'!C72</f>
        <v>Zinsaufwand</v>
      </c>
      <c r="B1072" s="190">
        <f>'2011'!D72</f>
        <v>597222.16</v>
      </c>
      <c r="C1072" s="190">
        <f>'2011'!E72</f>
        <v>649109.25</v>
      </c>
      <c r="D1072" s="190">
        <f>'2011'!F72</f>
        <v>596584.83</v>
      </c>
      <c r="E1072" s="190">
        <f>'2011'!G72</f>
        <v>1842916.2400000002</v>
      </c>
      <c r="F1072" s="190">
        <f>'2011'!H72</f>
        <v>2813509</v>
      </c>
      <c r="G1072" s="190">
        <f>'2011'!I72</f>
        <v>4656425.24</v>
      </c>
    </row>
    <row r="1073" spans="1:7" ht="12.75" customHeight="1">
      <c r="A1073" s="190" t="str">
        <f>'2011'!C73</f>
        <v>Realisierte Kursverluste</v>
      </c>
      <c r="B1073" s="190">
        <f>'2011'!D73</f>
        <v>0</v>
      </c>
      <c r="C1073" s="190">
        <f>'2011'!E73</f>
        <v>0</v>
      </c>
      <c r="D1073" s="190">
        <f>'2011'!F73</f>
        <v>0</v>
      </c>
      <c r="E1073" s="190">
        <f>'2011'!G73</f>
        <v>0</v>
      </c>
      <c r="F1073" s="190">
        <f>'2011'!H73</f>
        <v>0</v>
      </c>
      <c r="G1073" s="190">
        <f>'2011'!I73</f>
        <v>0</v>
      </c>
    </row>
    <row r="1074" spans="1:7" ht="12.75" customHeight="1">
      <c r="A1074" s="190" t="str">
        <f>'2011'!C74</f>
        <v>Kapitalbeschaffungs- und Verwaltungskosten</v>
      </c>
      <c r="B1074" s="190">
        <f>'2011'!D74</f>
        <v>0</v>
      </c>
      <c r="C1074" s="190">
        <f>'2011'!E74</f>
        <v>0</v>
      </c>
      <c r="D1074" s="190">
        <f>'2011'!F74</f>
        <v>2500</v>
      </c>
      <c r="E1074" s="190">
        <f>'2011'!G74</f>
        <v>2500</v>
      </c>
      <c r="F1074" s="190">
        <f>'2011'!H74</f>
        <v>0</v>
      </c>
      <c r="G1074" s="190">
        <f>'2011'!I74</f>
        <v>2500</v>
      </c>
    </row>
    <row r="1075" spans="1:7" ht="12.75" customHeight="1">
      <c r="A1075" s="190" t="str">
        <f>'2011'!C75</f>
        <v>Liegenschaftenaufwand Finanzvermögen</v>
      </c>
      <c r="B1075" s="190">
        <f>'2011'!D75</f>
        <v>220707.65</v>
      </c>
      <c r="C1075" s="190">
        <f>'2011'!E75</f>
        <v>537594.45</v>
      </c>
      <c r="D1075" s="190">
        <f>'2011'!F75</f>
        <v>313611.35</v>
      </c>
      <c r="E1075" s="190">
        <f>'2011'!G75</f>
        <v>1071913.45</v>
      </c>
      <c r="F1075" s="190">
        <f>'2011'!H75</f>
        <v>361281</v>
      </c>
      <c r="G1075" s="190">
        <f>'2011'!I75</f>
        <v>1433194.45</v>
      </c>
    </row>
    <row r="1076" spans="1:7" ht="12.75" customHeight="1">
      <c r="A1076" s="190" t="str">
        <f>'2011'!C76</f>
        <v>Wertberichtigungen Anlangen Finanzvermögen</v>
      </c>
      <c r="B1076" s="190">
        <f>'2011'!D76</f>
        <v>0</v>
      </c>
      <c r="C1076" s="190">
        <f>'2011'!E76</f>
        <v>47270.19</v>
      </c>
      <c r="D1076" s="190">
        <f>'2011'!F76</f>
        <v>297955.61</v>
      </c>
      <c r="E1076" s="190">
        <f>'2011'!G76</f>
        <v>345225.8</v>
      </c>
      <c r="F1076" s="190">
        <f>'2011'!H76</f>
        <v>1067044</v>
      </c>
      <c r="G1076" s="190">
        <f>'2011'!I76</f>
        <v>1412269.8</v>
      </c>
    </row>
    <row r="1077" spans="1:7" ht="12.75" customHeight="1">
      <c r="A1077" s="190" t="str">
        <f>'2011'!C77</f>
        <v>Verschiedener Finanzaufwand</v>
      </c>
      <c r="B1077" s="190">
        <f>'2011'!D77</f>
        <v>0</v>
      </c>
      <c r="C1077" s="190">
        <f>'2011'!E77</f>
        <v>0</v>
      </c>
      <c r="D1077" s="190">
        <f>'2011'!F77</f>
        <v>0</v>
      </c>
      <c r="E1077" s="190">
        <f>'2011'!G77</f>
        <v>0</v>
      </c>
      <c r="F1077" s="190">
        <f>'2011'!H77</f>
        <v>1301765</v>
      </c>
      <c r="G1077" s="190">
        <f>'2011'!I77</f>
        <v>1301765</v>
      </c>
    </row>
    <row r="1078" spans="1:7" ht="12.75" customHeight="1">
      <c r="A1078" s="190" t="str">
        <f>'2011'!C78</f>
        <v>Finanzaufwand</v>
      </c>
      <c r="B1078" s="190">
        <f>'2011'!D78</f>
        <v>817929.81</v>
      </c>
      <c r="C1078" s="190">
        <f>'2011'!E78</f>
        <v>1233973.89</v>
      </c>
      <c r="D1078" s="190">
        <f>'2011'!F78</f>
        <v>1210651.79</v>
      </c>
      <c r="E1078" s="190">
        <f>'2011'!G78</f>
        <v>3262555.49</v>
      </c>
      <c r="F1078" s="190">
        <f>'2011'!H78</f>
        <v>5543599</v>
      </c>
      <c r="G1078" s="190">
        <f>'2011'!I78</f>
        <v>8806154.49</v>
      </c>
    </row>
    <row r="1079" spans="1:7" ht="12.75" customHeight="1">
      <c r="A1079" s="190" t="str">
        <f>'2011'!C79</f>
        <v>Einlagen in Fonds und SF im Fremdkapital</v>
      </c>
      <c r="B1079" s="190">
        <f>'2011'!D79</f>
        <v>0</v>
      </c>
      <c r="C1079" s="190">
        <f>'2011'!E79</f>
        <v>0</v>
      </c>
      <c r="D1079" s="190">
        <f>'2011'!F79</f>
        <v>0</v>
      </c>
      <c r="E1079" s="190">
        <f>'2011'!G79</f>
        <v>0</v>
      </c>
      <c r="F1079" s="190">
        <f>'2011'!H79</f>
        <v>2428391</v>
      </c>
      <c r="G1079" s="190">
        <f>'2011'!I79</f>
        <v>2428391</v>
      </c>
    </row>
    <row r="1080" spans="1:7" ht="12.75" customHeight="1">
      <c r="A1080" s="190" t="str">
        <f>'2011'!C80</f>
        <v>Einlagen in Fonds und SF im Eigenkapital</v>
      </c>
      <c r="B1080" s="190">
        <f>'2011'!D80</f>
        <v>107741.95</v>
      </c>
      <c r="C1080" s="190">
        <f>'2011'!E80</f>
        <v>100805.1</v>
      </c>
      <c r="D1080" s="190">
        <f>'2011'!F80</f>
        <v>473976.48</v>
      </c>
      <c r="E1080" s="190">
        <f>'2011'!G80</f>
        <v>682523.53</v>
      </c>
      <c r="F1080" s="190">
        <f>'2011'!H80</f>
        <v>877809</v>
      </c>
      <c r="G1080" s="190">
        <f>'2011'!I80</f>
        <v>1560332.53</v>
      </c>
    </row>
    <row r="1081" spans="1:7" ht="12.75" customHeight="1">
      <c r="A1081" s="190" t="str">
        <f>'2011'!C81</f>
        <v>Einlagen in Fonds und Spezialfinanzierungen</v>
      </c>
      <c r="B1081" s="190">
        <f>'2011'!D81</f>
        <v>107741.95</v>
      </c>
      <c r="C1081" s="190">
        <f>'2011'!E81</f>
        <v>100805.1</v>
      </c>
      <c r="D1081" s="190">
        <f>'2011'!F81</f>
        <v>473976.48</v>
      </c>
      <c r="E1081" s="190">
        <f>'2011'!G81</f>
        <v>682523.53</v>
      </c>
      <c r="F1081" s="190">
        <f>'2011'!H81</f>
        <v>3306200</v>
      </c>
      <c r="G1081" s="190">
        <f>'2011'!I81</f>
        <v>3988723.5300000003</v>
      </c>
    </row>
    <row r="1082" spans="1:7" ht="12.75" customHeight="1">
      <c r="A1082" s="190" t="str">
        <f>'2011'!C82</f>
        <v>Ertragsanteile an Dritte</v>
      </c>
      <c r="B1082" s="190">
        <f>'2011'!D82</f>
        <v>153410</v>
      </c>
      <c r="C1082" s="190">
        <f>'2011'!E82</f>
        <v>148758.5</v>
      </c>
      <c r="D1082" s="190">
        <f>'2011'!F82</f>
        <v>155642.5</v>
      </c>
      <c r="E1082" s="190">
        <f>'2011'!G82</f>
        <v>457811</v>
      </c>
      <c r="F1082" s="190">
        <f>'2011'!H82</f>
        <v>9348085</v>
      </c>
      <c r="G1082" s="190">
        <f>'2011'!I82</f>
        <v>9805896</v>
      </c>
    </row>
    <row r="1083" spans="1:7" ht="12.75" customHeight="1">
      <c r="A1083" s="190" t="str">
        <f>'2011'!C83</f>
        <v>Entschädigungen an Gemeinwesen</v>
      </c>
      <c r="B1083" s="190">
        <f>'2011'!D83</f>
        <v>264004.25</v>
      </c>
      <c r="C1083" s="190">
        <f>'2011'!E83</f>
        <v>1540090.6</v>
      </c>
      <c r="D1083" s="190">
        <f>'2011'!F83</f>
        <v>618588.3</v>
      </c>
      <c r="E1083" s="190">
        <f>'2011'!G83</f>
        <v>2422683.1500000004</v>
      </c>
      <c r="F1083" s="190">
        <f>'2011'!H83</f>
        <v>31871744</v>
      </c>
      <c r="G1083" s="190">
        <f>'2011'!I83</f>
        <v>34294427.15</v>
      </c>
    </row>
    <row r="1084" spans="1:7" ht="12.75" customHeight="1">
      <c r="A1084" s="190" t="str">
        <f>'2011'!C84</f>
        <v>Finanz- und Lastenausgleich</v>
      </c>
      <c r="B1084" s="190">
        <f>'2011'!D84</f>
        <v>0</v>
      </c>
      <c r="C1084" s="190">
        <f>'2011'!E84</f>
        <v>0</v>
      </c>
      <c r="D1084" s="190">
        <f>'2011'!F84</f>
        <v>80922</v>
      </c>
      <c r="E1084" s="190">
        <f>'2011'!G84</f>
        <v>80922</v>
      </c>
      <c r="F1084" s="190">
        <f>'2011'!H84</f>
        <v>1647461</v>
      </c>
      <c r="G1084" s="190">
        <f>'2011'!I84</f>
        <v>1728383</v>
      </c>
    </row>
    <row r="1085" spans="1:7" ht="12.75" customHeight="1">
      <c r="A1085" s="190" t="str">
        <f>'2011'!C85</f>
        <v>Beiträge an Gemeinwesen und Dritte</v>
      </c>
      <c r="B1085" s="190">
        <f>'2011'!D85</f>
        <v>3387610.4</v>
      </c>
      <c r="C1085" s="190">
        <f>'2011'!E85</f>
        <v>3317797.42</v>
      </c>
      <c r="D1085" s="190">
        <f>'2011'!F85</f>
        <v>6164020.38</v>
      </c>
      <c r="E1085" s="190">
        <f>'2011'!G85</f>
        <v>12869428.2</v>
      </c>
      <c r="F1085" s="190">
        <f>'2011'!H85</f>
        <v>142144307</v>
      </c>
      <c r="G1085" s="190">
        <f>'2011'!I85</f>
        <v>155013735.2</v>
      </c>
    </row>
    <row r="1086" spans="1:7" ht="12.75" customHeight="1">
      <c r="A1086" s="190" t="str">
        <f>'2011'!C86</f>
        <v>Wertberichtigungen Darlehen VV</v>
      </c>
      <c r="B1086" s="190">
        <f>'2011'!D86</f>
        <v>0</v>
      </c>
      <c r="C1086" s="190">
        <f>'2011'!E86</f>
        <v>0</v>
      </c>
      <c r="D1086" s="190">
        <f>'2011'!F86</f>
        <v>0</v>
      </c>
      <c r="E1086" s="190">
        <f>'2011'!G86</f>
        <v>0</v>
      </c>
      <c r="F1086" s="190">
        <f>'2011'!H86</f>
        <v>0</v>
      </c>
      <c r="G1086" s="190">
        <f>'2011'!I86</f>
        <v>0</v>
      </c>
    </row>
    <row r="1087" spans="1:7" ht="12.75" customHeight="1">
      <c r="A1087" s="190" t="str">
        <f>'2011'!C87</f>
        <v>Wertberichtigungen Beteiligungen VV</v>
      </c>
      <c r="B1087" s="190">
        <f>'2011'!D87</f>
        <v>0</v>
      </c>
      <c r="C1087" s="190">
        <f>'2011'!E87</f>
        <v>0</v>
      </c>
      <c r="D1087" s="190">
        <f>'2011'!F87</f>
        <v>0</v>
      </c>
      <c r="E1087" s="190">
        <f>'2011'!G87</f>
        <v>0</v>
      </c>
      <c r="F1087" s="190">
        <f>'2011'!H87</f>
        <v>0</v>
      </c>
      <c r="G1087" s="190">
        <f>'2011'!I87</f>
        <v>0</v>
      </c>
    </row>
    <row r="1088" spans="1:7" ht="12.75" customHeight="1">
      <c r="A1088" s="190" t="str">
        <f>'2011'!C88</f>
        <v>Abschreibungen Investitionsbeiträge</v>
      </c>
      <c r="B1088" s="190">
        <f>'2011'!D88</f>
        <v>22355</v>
      </c>
      <c r="C1088" s="190">
        <f>'2011'!E88</f>
        <v>281462.85</v>
      </c>
      <c r="D1088" s="190">
        <f>'2011'!F88</f>
        <v>1363914.75</v>
      </c>
      <c r="E1088" s="190">
        <f>'2011'!G88</f>
        <v>1667732.6</v>
      </c>
      <c r="F1088" s="190">
        <f>'2011'!H88</f>
        <v>4981496</v>
      </c>
      <c r="G1088" s="190">
        <f>'2011'!I88</f>
        <v>6649228.6</v>
      </c>
    </row>
    <row r="1089" spans="1:7" ht="12.75" customHeight="1">
      <c r="A1089" s="190" t="str">
        <f>'2011'!C89</f>
        <v>Verschiedener Transferaufwand</v>
      </c>
      <c r="B1089" s="190">
        <f>'2011'!D89</f>
        <v>0</v>
      </c>
      <c r="C1089" s="190">
        <f>'2011'!E89</f>
        <v>0</v>
      </c>
      <c r="D1089" s="190">
        <f>'2011'!F89</f>
        <v>0</v>
      </c>
      <c r="E1089" s="190">
        <f>'2011'!G89</f>
        <v>0</v>
      </c>
      <c r="F1089" s="190">
        <f>'2011'!H89</f>
        <v>0</v>
      </c>
      <c r="G1089" s="190">
        <f>'2011'!I89</f>
        <v>0</v>
      </c>
    </row>
    <row r="1090" spans="1:7" ht="12.75" customHeight="1">
      <c r="A1090" s="190" t="str">
        <f>'2011'!C90</f>
        <v>Transferaufwand</v>
      </c>
      <c r="B1090" s="190">
        <f>'2011'!D90</f>
        <v>3827379.65</v>
      </c>
      <c r="C1090" s="190">
        <f>'2011'!E90</f>
        <v>5288109.369999999</v>
      </c>
      <c r="D1090" s="190">
        <f>'2011'!F90</f>
        <v>8383087.93</v>
      </c>
      <c r="E1090" s="190">
        <f>'2011'!G90</f>
        <v>17498576.95</v>
      </c>
      <c r="F1090" s="190">
        <f>'2011'!H90</f>
        <v>189993093</v>
      </c>
      <c r="G1090" s="190">
        <f>'2011'!I90</f>
        <v>207491669.95</v>
      </c>
    </row>
    <row r="1091" spans="1:7" ht="12.75" customHeight="1">
      <c r="A1091" s="190" t="str">
        <f>'2011'!C91</f>
        <v>Durchlaufende Beiträge</v>
      </c>
      <c r="B1091" s="190">
        <f>'2011'!D91</f>
        <v>0</v>
      </c>
      <c r="C1091" s="190">
        <f>'2011'!E91</f>
        <v>0</v>
      </c>
      <c r="D1091" s="190">
        <f>'2011'!F91</f>
        <v>0</v>
      </c>
      <c r="E1091" s="190">
        <f>'2011'!G91</f>
        <v>0</v>
      </c>
      <c r="F1091" s="190">
        <f>'2011'!H91</f>
        <v>28430592</v>
      </c>
      <c r="G1091" s="190">
        <f>'2011'!I91</f>
        <v>28430592</v>
      </c>
    </row>
    <row r="1092" spans="1:7" ht="12.75" customHeight="1">
      <c r="A1092" s="190" t="str">
        <f>'2011'!C92</f>
        <v>Durchlaufende Beiträge</v>
      </c>
      <c r="B1092" s="190">
        <f>'2011'!D92</f>
        <v>0</v>
      </c>
      <c r="C1092" s="190">
        <f>'2011'!E92</f>
        <v>0</v>
      </c>
      <c r="D1092" s="190">
        <f>'2011'!F92</f>
        <v>0</v>
      </c>
      <c r="E1092" s="190">
        <f>'2011'!G92</f>
        <v>0</v>
      </c>
      <c r="F1092" s="190">
        <f>'2011'!H92</f>
        <v>28430592</v>
      </c>
      <c r="G1092" s="190">
        <f>'2011'!I92</f>
        <v>28430592</v>
      </c>
    </row>
    <row r="1093" spans="1:7" ht="12.75" customHeight="1">
      <c r="A1093" s="190" t="str">
        <f>'2011'!C93</f>
        <v>A.o. Personalaufwand</v>
      </c>
      <c r="B1093" s="190">
        <f>'2011'!D93</f>
        <v>709445.65</v>
      </c>
      <c r="C1093" s="190">
        <f>'2011'!E93</f>
        <v>1934538</v>
      </c>
      <c r="D1093" s="190">
        <f>'2011'!F93</f>
        <v>0</v>
      </c>
      <c r="E1093" s="190">
        <f>'2011'!G93</f>
        <v>2643983.65</v>
      </c>
      <c r="F1093" s="190">
        <f>'2011'!H93</f>
        <v>0</v>
      </c>
      <c r="G1093" s="190">
        <f>'2011'!I93</f>
        <v>2643983.65</v>
      </c>
    </row>
    <row r="1094" spans="1:7" ht="12.75" customHeight="1">
      <c r="A1094" s="190" t="str">
        <f>'2011'!C94</f>
        <v>A.o. Sach- und Betriebsaufwand</v>
      </c>
      <c r="B1094" s="190">
        <f>'2011'!D94</f>
        <v>142293.58</v>
      </c>
      <c r="C1094" s="190">
        <f>'2011'!E94</f>
        <v>0</v>
      </c>
      <c r="D1094" s="190">
        <f>'2011'!F94</f>
        <v>0</v>
      </c>
      <c r="E1094" s="190">
        <f>'2011'!G94</f>
        <v>142293.58</v>
      </c>
      <c r="F1094" s="190">
        <f>'2011'!H94</f>
        <v>0</v>
      </c>
      <c r="G1094" s="190">
        <f>'2011'!I94</f>
        <v>142293.58</v>
      </c>
    </row>
    <row r="1095" spans="1:7" ht="12.75" customHeight="1">
      <c r="A1095" s="190" t="str">
        <f>'2011'!C95</f>
        <v>Zusätzliche Abschreibungen</v>
      </c>
      <c r="B1095" s="190">
        <f>'2011'!D95</f>
        <v>0</v>
      </c>
      <c r="C1095" s="190">
        <f>'2011'!E95</f>
        <v>0</v>
      </c>
      <c r="D1095" s="190">
        <f>'2011'!F95</f>
        <v>372772.3</v>
      </c>
      <c r="E1095" s="190">
        <f>'2011'!G95</f>
        <v>372772.3</v>
      </c>
      <c r="F1095" s="190">
        <f>'2011'!H95</f>
        <v>9727164</v>
      </c>
      <c r="G1095" s="190">
        <f>'2011'!I95</f>
        <v>10099936.3</v>
      </c>
    </row>
    <row r="1096" spans="1:7" ht="12.75" customHeight="1">
      <c r="A1096" s="190" t="str">
        <f>'2011'!C96</f>
        <v>A.o. Finanzaufwand</v>
      </c>
      <c r="B1096" s="190">
        <f>'2011'!D96</f>
        <v>192906.5</v>
      </c>
      <c r="C1096" s="190">
        <f>'2011'!E96</f>
        <v>70687</v>
      </c>
      <c r="D1096" s="190">
        <f>'2011'!F96</f>
        <v>0</v>
      </c>
      <c r="E1096" s="190">
        <f>'2011'!G96</f>
        <v>263593.5</v>
      </c>
      <c r="F1096" s="190">
        <f>'2011'!H96</f>
        <v>0</v>
      </c>
      <c r="G1096" s="190">
        <f>'2011'!I96</f>
        <v>263593.5</v>
      </c>
    </row>
    <row r="1097" spans="1:7" ht="12.75" customHeight="1">
      <c r="A1097" s="190" t="str">
        <f>'2011'!C97</f>
        <v>A.o. Transferaufwand</v>
      </c>
      <c r="B1097" s="190">
        <f>'2011'!D97</f>
        <v>16247.8</v>
      </c>
      <c r="C1097" s="190">
        <f>'2011'!E97</f>
        <v>0</v>
      </c>
      <c r="D1097" s="190">
        <f>'2011'!F97</f>
        <v>0</v>
      </c>
      <c r="E1097" s="190">
        <f>'2011'!G97</f>
        <v>16247.8</v>
      </c>
      <c r="F1097" s="190">
        <f>'2011'!H97</f>
        <v>0</v>
      </c>
      <c r="G1097" s="190">
        <f>'2011'!I97</f>
        <v>16247.8</v>
      </c>
    </row>
    <row r="1098" spans="1:7" ht="12.75" customHeight="1">
      <c r="A1098" s="190" t="str">
        <f>'2011'!C98</f>
        <v>A.o,zus.Abschr.auf Darl,, Beteilig,, Invest.Beitr.</v>
      </c>
      <c r="B1098" s="190">
        <f>'2011'!D98</f>
        <v>0</v>
      </c>
      <c r="C1098" s="190">
        <f>'2011'!E98</f>
        <v>0</v>
      </c>
      <c r="D1098" s="190">
        <f>'2011'!F98</f>
        <v>0</v>
      </c>
      <c r="E1098" s="190">
        <f>'2011'!G98</f>
        <v>0</v>
      </c>
      <c r="F1098" s="190">
        <f>'2011'!H98</f>
        <v>2666608</v>
      </c>
      <c r="G1098" s="190">
        <f>'2011'!I98</f>
        <v>2666608</v>
      </c>
    </row>
    <row r="1099" spans="1:7" ht="12.75" customHeight="1">
      <c r="A1099" s="190" t="str">
        <f>'2011'!C99</f>
        <v>Einlagen in das Eigenkapital</v>
      </c>
      <c r="B1099" s="190">
        <f>'2011'!D99</f>
        <v>0</v>
      </c>
      <c r="C1099" s="190">
        <f>'2011'!E99</f>
        <v>0</v>
      </c>
      <c r="D1099" s="190">
        <f>'2011'!F99</f>
        <v>0</v>
      </c>
      <c r="E1099" s="190">
        <f>'2011'!G99</f>
        <v>0</v>
      </c>
      <c r="F1099" s="190">
        <f>'2011'!H99</f>
        <v>507341</v>
      </c>
      <c r="G1099" s="190">
        <f>'2011'!I99</f>
        <v>507341</v>
      </c>
    </row>
    <row r="1100" spans="1:7" ht="12.75" customHeight="1">
      <c r="A1100" s="190" t="str">
        <f>'2011'!C100</f>
        <v>Aussorderntlicher Aufwand</v>
      </c>
      <c r="B1100" s="190">
        <f>'2011'!D100</f>
        <v>1060893.53</v>
      </c>
      <c r="C1100" s="190">
        <f>'2011'!E100</f>
        <v>2005225</v>
      </c>
      <c r="D1100" s="190">
        <f>'2011'!F100</f>
        <v>372772.3</v>
      </c>
      <c r="E1100" s="190">
        <f>'2011'!G100</f>
        <v>3438890.8299999996</v>
      </c>
      <c r="F1100" s="190">
        <f>'2011'!H100</f>
        <v>12901113</v>
      </c>
      <c r="G1100" s="190">
        <f>'2011'!I100</f>
        <v>16340003.830000002</v>
      </c>
    </row>
    <row r="1101" spans="1:7" ht="12.75" customHeight="1">
      <c r="A1101" s="190" t="str">
        <f>'2011'!C101</f>
        <v>Material- und Warenbezüge</v>
      </c>
      <c r="B1101" s="190">
        <f>'2011'!D101</f>
        <v>23211.1</v>
      </c>
      <c r="C1101" s="190">
        <f>'2011'!E101</f>
        <v>10007.5</v>
      </c>
      <c r="D1101" s="190">
        <f>'2011'!F101</f>
        <v>74138.75</v>
      </c>
      <c r="E1101" s="190">
        <f>'2011'!G101</f>
        <v>107357.35</v>
      </c>
      <c r="F1101" s="190">
        <f>'2011'!H101</f>
        <v>136182</v>
      </c>
      <c r="G1101" s="190">
        <f>'2011'!I101</f>
        <v>243539.35</v>
      </c>
    </row>
    <row r="1102" spans="1:7" ht="12.75" customHeight="1">
      <c r="A1102" s="190" t="str">
        <f>'2011'!C102</f>
        <v>Dienstleistungen/Personalkosten</v>
      </c>
      <c r="B1102" s="190">
        <f>'2011'!D102</f>
        <v>4580498.3</v>
      </c>
      <c r="C1102" s="190">
        <f>'2011'!E102</f>
        <v>2840443.25</v>
      </c>
      <c r="D1102" s="190">
        <f>'2011'!F102</f>
        <v>5463026.17</v>
      </c>
      <c r="E1102" s="190">
        <f>'2011'!G102</f>
        <v>12883967.719999999</v>
      </c>
      <c r="F1102" s="190">
        <f>'2011'!H102</f>
        <v>1685631</v>
      </c>
      <c r="G1102" s="190">
        <f>'2011'!I102</f>
        <v>14569598.719999999</v>
      </c>
    </row>
    <row r="1103" spans="1:7" ht="12.75" customHeight="1">
      <c r="A1103" s="190" t="str">
        <f>'2011'!C103</f>
        <v>Pacht, Mieten, Benützungskosten</v>
      </c>
      <c r="B1103" s="190">
        <f>'2011'!D103</f>
        <v>861712.75</v>
      </c>
      <c r="C1103" s="190">
        <f>'2011'!E103</f>
        <v>555597.85</v>
      </c>
      <c r="D1103" s="190">
        <f>'2011'!F103</f>
        <v>0</v>
      </c>
      <c r="E1103" s="190">
        <f>'2011'!G103</f>
        <v>1417310.6</v>
      </c>
      <c r="F1103" s="190">
        <f>'2011'!H103</f>
        <v>502723</v>
      </c>
      <c r="G1103" s="190">
        <f>'2011'!I103</f>
        <v>1920033.6</v>
      </c>
    </row>
    <row r="1104" spans="1:7" ht="12.75" customHeight="1">
      <c r="A1104" s="190" t="str">
        <f>'2011'!C104</f>
        <v>Betriebs- und Verwaltungskosten</v>
      </c>
      <c r="B1104" s="190">
        <f>'2011'!D104</f>
        <v>211630.36</v>
      </c>
      <c r="C1104" s="190">
        <f>'2011'!E104</f>
        <v>200292.35</v>
      </c>
      <c r="D1104" s="190">
        <f>'2011'!F104</f>
        <v>93254.13</v>
      </c>
      <c r="E1104" s="190">
        <f>'2011'!G104</f>
        <v>505176.83999999997</v>
      </c>
      <c r="F1104" s="190">
        <f>'2011'!H104</f>
        <v>0</v>
      </c>
      <c r="G1104" s="190">
        <f>'2011'!I104</f>
        <v>505176.83999999997</v>
      </c>
    </row>
    <row r="1105" spans="1:7" ht="12.75" customHeight="1">
      <c r="A1105" s="190" t="str">
        <f>'2011'!C105</f>
        <v>Kalkulatorische Zinsen und Finanzaufwand</v>
      </c>
      <c r="B1105" s="190">
        <f>'2011'!D105</f>
        <v>260590.5</v>
      </c>
      <c r="C1105" s="190">
        <f>'2011'!E105</f>
        <v>613768.9</v>
      </c>
      <c r="D1105" s="190">
        <f>'2011'!F105</f>
        <v>862677.59</v>
      </c>
      <c r="E1105" s="190">
        <f>'2011'!G105</f>
        <v>1737036.99</v>
      </c>
      <c r="F1105" s="190">
        <f>'2011'!H105</f>
        <v>1125756</v>
      </c>
      <c r="G1105" s="190">
        <f>'2011'!I105</f>
        <v>2862792.99</v>
      </c>
    </row>
    <row r="1106" spans="1:7" ht="12.75" customHeight="1">
      <c r="A1106" s="190" t="str">
        <f>'2011'!C106</f>
        <v>Planmässige u. ausserplanmässige Abschreib.</v>
      </c>
      <c r="B1106" s="190">
        <f>'2011'!D106</f>
        <v>0</v>
      </c>
      <c r="C1106" s="190">
        <f>'2011'!E106</f>
        <v>0</v>
      </c>
      <c r="D1106" s="190">
        <f>'2011'!F106</f>
        <v>0</v>
      </c>
      <c r="E1106" s="190">
        <f>'2011'!G106</f>
        <v>0</v>
      </c>
      <c r="F1106" s="190">
        <f>'2011'!H106</f>
        <v>0</v>
      </c>
      <c r="G1106" s="190">
        <f>'2011'!I106</f>
        <v>0</v>
      </c>
    </row>
    <row r="1107" spans="1:7" ht="12.75" customHeight="1">
      <c r="A1107" s="190" t="str">
        <f>'2011'!C107</f>
        <v>Übertragungen</v>
      </c>
      <c r="B1107" s="190">
        <f>'2011'!D107</f>
        <v>0</v>
      </c>
      <c r="C1107" s="190">
        <f>'2011'!E107</f>
        <v>379945.3</v>
      </c>
      <c r="D1107" s="190">
        <f>'2011'!F107</f>
        <v>0</v>
      </c>
      <c r="E1107" s="190">
        <f>'2011'!G107</f>
        <v>379945.3</v>
      </c>
      <c r="F1107" s="190">
        <f>'2011'!H107</f>
        <v>7229848</v>
      </c>
      <c r="G1107" s="190">
        <f>'2011'!I107</f>
        <v>7609793.3</v>
      </c>
    </row>
    <row r="1108" spans="1:7" ht="12.75" customHeight="1">
      <c r="A1108" s="190" t="str">
        <f>'2011'!C108</f>
        <v>Übrige interne Verrechnungen</v>
      </c>
      <c r="B1108" s="190">
        <f>'2011'!D108</f>
        <v>0</v>
      </c>
      <c r="C1108" s="190">
        <f>'2011'!E108</f>
        <v>36633.6</v>
      </c>
      <c r="D1108" s="190">
        <f>'2011'!F108</f>
        <v>0</v>
      </c>
      <c r="E1108" s="190">
        <f>'2011'!G108</f>
        <v>36633.6</v>
      </c>
      <c r="F1108" s="190">
        <f>'2011'!H108</f>
        <v>0</v>
      </c>
      <c r="G1108" s="190">
        <f>'2011'!I108</f>
        <v>36633.6</v>
      </c>
    </row>
    <row r="1109" spans="1:7" ht="12.75" customHeight="1">
      <c r="A1109" s="190" t="str">
        <f>'2011'!C109</f>
        <v>Interne Verrechnung</v>
      </c>
      <c r="B1109" s="190">
        <f>'2011'!D109</f>
        <v>5937643.01</v>
      </c>
      <c r="C1109" s="190">
        <f>'2011'!E109</f>
        <v>4636688.75</v>
      </c>
      <c r="D1109" s="190">
        <f>'2011'!F109</f>
        <v>6493096.64</v>
      </c>
      <c r="E1109" s="190">
        <f>'2011'!G109</f>
        <v>17067428.4</v>
      </c>
      <c r="F1109" s="190">
        <f>'2011'!H109</f>
        <v>10680140</v>
      </c>
      <c r="G1109" s="190">
        <f>'2011'!I109</f>
        <v>27747568.400000002</v>
      </c>
    </row>
    <row r="1110" spans="1:7" ht="12.75" customHeight="1">
      <c r="A1110" s="190" t="str">
        <f>'2011'!C110</f>
        <v>Total Aufwand ER</v>
      </c>
      <c r="B1110" s="190">
        <f>'2011'!D110</f>
        <v>47890654.79000001</v>
      </c>
      <c r="C1110" s="190">
        <f>'2011'!E110</f>
        <v>48263316.620000005</v>
      </c>
      <c r="D1110" s="190">
        <f>'2011'!F110</f>
        <v>66392069.62</v>
      </c>
      <c r="E1110" s="190">
        <f>'2011'!G110</f>
        <v>162546041.03</v>
      </c>
      <c r="F1110" s="190">
        <f>'2011'!H110</f>
        <v>362583762</v>
      </c>
      <c r="G1110" s="190">
        <f>'2011'!I110</f>
        <v>525129803.03</v>
      </c>
    </row>
    <row r="1111" spans="1:7" ht="12.75" customHeight="1">
      <c r="A1111" s="190">
        <f>'2011'!C111</f>
        <v>0</v>
      </c>
      <c r="B1111" s="190">
        <f>'2011'!D111</f>
        <v>0</v>
      </c>
      <c r="C1111" s="190">
        <f>'2011'!E111</f>
        <v>0</v>
      </c>
      <c r="D1111" s="190">
        <f>'2011'!F111</f>
        <v>0</v>
      </c>
      <c r="E1111" s="190">
        <f>'2011'!G111</f>
        <v>0</v>
      </c>
      <c r="F1111" s="190">
        <f>'2011'!H111</f>
        <v>0</v>
      </c>
      <c r="G1111" s="190">
        <f>'2011'!I111</f>
        <v>0</v>
      </c>
    </row>
    <row r="1112" spans="1:7" ht="12.75" customHeight="1">
      <c r="A1112" s="190" t="str">
        <f>'2011'!C112</f>
        <v>Ertrag</v>
      </c>
      <c r="B1112" s="190">
        <f>'2011'!D112</f>
        <v>0</v>
      </c>
      <c r="C1112" s="190">
        <f>'2011'!E112</f>
        <v>0</v>
      </c>
      <c r="D1112" s="190">
        <f>'2011'!F112</f>
        <v>0</v>
      </c>
      <c r="E1112" s="190">
        <f>'2011'!G112</f>
        <v>0</v>
      </c>
      <c r="F1112" s="190">
        <f>'2011'!H112</f>
        <v>0</v>
      </c>
      <c r="G1112" s="190">
        <f>'2011'!I112</f>
        <v>0</v>
      </c>
    </row>
    <row r="1113" spans="1:7" ht="12.75" customHeight="1">
      <c r="A1113" s="190" t="str">
        <f>'2011'!C113</f>
        <v>Direkte Steuern natürliche Personen</v>
      </c>
      <c r="B1113" s="190">
        <f>'2011'!D113</f>
        <v>19443136.25</v>
      </c>
      <c r="C1113" s="190">
        <f>'2011'!E113</f>
        <v>25480339.81</v>
      </c>
      <c r="D1113" s="190">
        <f>'2011'!F113</f>
        <v>32538169.66</v>
      </c>
      <c r="E1113" s="190">
        <f>'2011'!G113</f>
        <v>77461645.72</v>
      </c>
      <c r="F1113" s="190">
        <f>'2011'!H113</f>
        <v>83896378</v>
      </c>
      <c r="G1113" s="190">
        <f>'2011'!I113</f>
        <v>161358023.72</v>
      </c>
    </row>
    <row r="1114" spans="1:7" ht="12.75" customHeight="1">
      <c r="A1114" s="190" t="str">
        <f>'2011'!C114</f>
        <v>Direkte Steuern juristische Personen</v>
      </c>
      <c r="B1114" s="190">
        <f>'2011'!D114</f>
        <v>1513499.15</v>
      </c>
      <c r="C1114" s="190">
        <f>'2011'!E114</f>
        <v>2159767.95</v>
      </c>
      <c r="D1114" s="190">
        <f>'2011'!F114</f>
        <v>2649923.25</v>
      </c>
      <c r="E1114" s="190">
        <f>'2011'!G114</f>
        <v>6323190.35</v>
      </c>
      <c r="F1114" s="190">
        <f>'2011'!H114</f>
        <v>12438032</v>
      </c>
      <c r="G1114" s="190">
        <f>'2011'!I114</f>
        <v>18761222.35</v>
      </c>
    </row>
    <row r="1115" spans="1:7" ht="12.75" customHeight="1">
      <c r="A1115" s="190" t="str">
        <f>'2011'!C115</f>
        <v>Übrige direkte Steuern</v>
      </c>
      <c r="B1115" s="190">
        <f>'2011'!D115</f>
        <v>0</v>
      </c>
      <c r="C1115" s="190">
        <f>'2011'!E115</f>
        <v>0</v>
      </c>
      <c r="D1115" s="190">
        <f>'2011'!F115</f>
        <v>0</v>
      </c>
      <c r="E1115" s="190">
        <f>'2011'!G115</f>
        <v>0</v>
      </c>
      <c r="F1115" s="190">
        <f>'2011'!H115</f>
        <v>3008412</v>
      </c>
      <c r="G1115" s="190">
        <f>'2011'!I115</f>
        <v>3008412</v>
      </c>
    </row>
    <row r="1116" spans="1:7" ht="12.75" customHeight="1">
      <c r="A1116" s="190" t="str">
        <f>'2011'!C116</f>
        <v>Besitz- und Aufwandsteuern</v>
      </c>
      <c r="B1116" s="190">
        <f>'2011'!D116</f>
        <v>102891</v>
      </c>
      <c r="C1116" s="190">
        <f>'2011'!E116</f>
        <v>517159.45</v>
      </c>
      <c r="D1116" s="190">
        <f>'2011'!F116</f>
        <v>932920.5</v>
      </c>
      <c r="E1116" s="190">
        <f>'2011'!G116</f>
        <v>1552970.95</v>
      </c>
      <c r="F1116" s="190">
        <f>'2011'!H116</f>
        <v>10733182</v>
      </c>
      <c r="G1116" s="190">
        <f>'2011'!I116</f>
        <v>12286152.95</v>
      </c>
    </row>
    <row r="1117" spans="1:7" ht="12.75" customHeight="1">
      <c r="A1117" s="190" t="str">
        <f>'2011'!C117</f>
        <v>Fiskalertrag</v>
      </c>
      <c r="B1117" s="190">
        <f>'2011'!D117</f>
        <v>21059526.4</v>
      </c>
      <c r="C1117" s="190">
        <f>'2011'!E117</f>
        <v>28157267.209999997</v>
      </c>
      <c r="D1117" s="190">
        <f>'2011'!F117</f>
        <v>36121013.41</v>
      </c>
      <c r="E1117" s="190">
        <f>'2011'!G117</f>
        <v>85337807.02</v>
      </c>
      <c r="F1117" s="190">
        <f>'2011'!H117</f>
        <v>110076004</v>
      </c>
      <c r="G1117" s="190">
        <f>'2011'!I117</f>
        <v>195413811.01999998</v>
      </c>
    </row>
    <row r="1118" spans="1:7" ht="12.75" customHeight="1">
      <c r="A1118" s="190" t="str">
        <f>'2011'!C118</f>
        <v>Regalien</v>
      </c>
      <c r="B1118" s="190">
        <f>'2011'!D118</f>
        <v>0</v>
      </c>
      <c r="C1118" s="190">
        <f>'2011'!E118</f>
        <v>0</v>
      </c>
      <c r="D1118" s="190">
        <f>'2011'!F118</f>
        <v>0</v>
      </c>
      <c r="E1118" s="190">
        <f>'2011'!G118</f>
        <v>0</v>
      </c>
      <c r="F1118" s="190">
        <f>'2011'!H118</f>
        <v>504121</v>
      </c>
      <c r="G1118" s="190">
        <f>'2011'!I118</f>
        <v>504121</v>
      </c>
    </row>
    <row r="1119" spans="1:7" ht="12.75" customHeight="1">
      <c r="A1119" s="190" t="str">
        <f>'2011'!C119</f>
        <v>Schweiz. Nationalbank</v>
      </c>
      <c r="B1119" s="190">
        <f>'2011'!D119</f>
        <v>0</v>
      </c>
      <c r="C1119" s="190">
        <f>'2011'!E119</f>
        <v>0</v>
      </c>
      <c r="D1119" s="190">
        <f>'2011'!F119</f>
        <v>0</v>
      </c>
      <c r="E1119" s="190">
        <f>'2011'!G119</f>
        <v>0</v>
      </c>
      <c r="F1119" s="190">
        <f>'2011'!H119</f>
        <v>8173661</v>
      </c>
      <c r="G1119" s="190">
        <f>'2011'!I119</f>
        <v>8173661</v>
      </c>
    </row>
    <row r="1120" spans="1:7" ht="12.75" customHeight="1">
      <c r="A1120" s="190" t="str">
        <f>'2011'!C120</f>
        <v>Konzessionen</v>
      </c>
      <c r="B1120" s="190">
        <f>'2011'!D120</f>
        <v>1125800.55</v>
      </c>
      <c r="C1120" s="190">
        <f>'2011'!E120</f>
        <v>599623.35</v>
      </c>
      <c r="D1120" s="190">
        <f>'2011'!F120</f>
        <v>299542.1</v>
      </c>
      <c r="E1120" s="190">
        <f>'2011'!G120</f>
        <v>2024966</v>
      </c>
      <c r="F1120" s="190">
        <f>'2011'!H120</f>
        <v>5348986</v>
      </c>
      <c r="G1120" s="190">
        <f>'2011'!I120</f>
        <v>7373952</v>
      </c>
    </row>
    <row r="1121" spans="1:7" ht="12.75" customHeight="1">
      <c r="A1121" s="190" t="str">
        <f>'2011'!C121</f>
        <v>Ertragsanteile an Lotterien, Sporttoto, Wetten</v>
      </c>
      <c r="B1121" s="190">
        <f>'2011'!D121</f>
        <v>0</v>
      </c>
      <c r="C1121" s="190">
        <f>'2011'!E121</f>
        <v>0</v>
      </c>
      <c r="D1121" s="190">
        <f>'2011'!F121</f>
        <v>0</v>
      </c>
      <c r="E1121" s="190">
        <f>'2011'!G121</f>
        <v>0</v>
      </c>
      <c r="F1121" s="190">
        <f>'2011'!H121</f>
        <v>2116870</v>
      </c>
      <c r="G1121" s="190">
        <f>'2011'!I121</f>
        <v>2116870</v>
      </c>
    </row>
    <row r="1122" spans="1:7" ht="12.75" customHeight="1">
      <c r="A1122" s="190" t="str">
        <f>'2011'!C122</f>
        <v>Regalien und Konzessionen</v>
      </c>
      <c r="B1122" s="190">
        <f>'2011'!D122</f>
        <v>1125800.55</v>
      </c>
      <c r="C1122" s="190">
        <f>'2011'!E122</f>
        <v>599623.35</v>
      </c>
      <c r="D1122" s="190">
        <f>'2011'!F122</f>
        <v>299542.1</v>
      </c>
      <c r="E1122" s="190">
        <f>'2011'!G122</f>
        <v>2024966</v>
      </c>
      <c r="F1122" s="190">
        <f>'2011'!H122</f>
        <v>16143638</v>
      </c>
      <c r="G1122" s="190">
        <f>'2011'!I122</f>
        <v>18168604</v>
      </c>
    </row>
    <row r="1123" spans="1:7" ht="12.75" customHeight="1">
      <c r="A1123" s="190" t="str">
        <f>'2011'!C123</f>
        <v>Ersatzabgaben</v>
      </c>
      <c r="B1123" s="190">
        <f>'2011'!D123</f>
        <v>225996.5</v>
      </c>
      <c r="C1123" s="190">
        <f>'2011'!E123</f>
        <v>375494.35</v>
      </c>
      <c r="D1123" s="190">
        <f>'2011'!F123</f>
        <v>499136</v>
      </c>
      <c r="E1123" s="190">
        <f>'2011'!G123</f>
        <v>1100626.85</v>
      </c>
      <c r="F1123" s="190">
        <f>'2011'!H123</f>
        <v>800526</v>
      </c>
      <c r="G1123" s="190">
        <f>'2011'!I123</f>
        <v>1901152.85</v>
      </c>
    </row>
    <row r="1124" spans="1:7" ht="12.75" customHeight="1">
      <c r="A1124" s="190" t="str">
        <f>'2011'!C124</f>
        <v>Gebühren für Amtshandlungen</v>
      </c>
      <c r="B1124" s="190">
        <f>'2011'!D124</f>
        <v>399845.95</v>
      </c>
      <c r="C1124" s="190">
        <f>'2011'!E124</f>
        <v>328972.21</v>
      </c>
      <c r="D1124" s="190">
        <f>'2011'!F124</f>
        <v>1102406.22</v>
      </c>
      <c r="E1124" s="190">
        <f>'2011'!G124</f>
        <v>1831224.38</v>
      </c>
      <c r="F1124" s="190">
        <f>'2011'!H124</f>
        <v>8292767</v>
      </c>
      <c r="G1124" s="190">
        <f>'2011'!I124</f>
        <v>10123991.379999999</v>
      </c>
    </row>
    <row r="1125" spans="1:7" ht="12.75" customHeight="1">
      <c r="A1125" s="190" t="str">
        <f>'2011'!C125</f>
        <v>Spital- und Heimtaxen, Kostgelder</v>
      </c>
      <c r="B1125" s="190">
        <f>'2011'!D125</f>
        <v>251562.88</v>
      </c>
      <c r="C1125" s="190">
        <f>'2011'!E125</f>
        <v>0</v>
      </c>
      <c r="D1125" s="190">
        <f>'2011'!F125</f>
        <v>0</v>
      </c>
      <c r="E1125" s="190">
        <f>'2011'!G125</f>
        <v>251562.88</v>
      </c>
      <c r="F1125" s="190">
        <f>'2011'!H125</f>
        <v>21506072</v>
      </c>
      <c r="G1125" s="190">
        <f>'2011'!I125</f>
        <v>21757634.88</v>
      </c>
    </row>
    <row r="1126" spans="1:7" ht="12.75" customHeight="1">
      <c r="A1126" s="190" t="str">
        <f>'2011'!C126</f>
        <v>Schul- und Kursgelder</v>
      </c>
      <c r="B1126" s="190">
        <f>'2011'!D126</f>
        <v>0</v>
      </c>
      <c r="C1126" s="190">
        <f>'2011'!E126</f>
        <v>4210</v>
      </c>
      <c r="D1126" s="190">
        <f>'2011'!F126</f>
        <v>0</v>
      </c>
      <c r="E1126" s="190">
        <f>'2011'!G126</f>
        <v>4210</v>
      </c>
      <c r="F1126" s="190">
        <f>'2011'!H126</f>
        <v>937191</v>
      </c>
      <c r="G1126" s="190">
        <f>'2011'!I126</f>
        <v>941401</v>
      </c>
    </row>
    <row r="1127" spans="1:7" ht="12.75" customHeight="1">
      <c r="A1127" s="190" t="str">
        <f>'2011'!C127</f>
        <v>Benützungsgebühren und Dienstleistungen</v>
      </c>
      <c r="B1127" s="190">
        <f>'2011'!D127</f>
        <v>5055109.53</v>
      </c>
      <c r="C1127" s="190">
        <f>'2011'!E127</f>
        <v>4099963.43</v>
      </c>
      <c r="D1127" s="190">
        <f>'2011'!F127</f>
        <v>5505627.05</v>
      </c>
      <c r="E1127" s="190">
        <f>'2011'!G127</f>
        <v>14660700.010000002</v>
      </c>
      <c r="F1127" s="190">
        <f>'2011'!H127</f>
        <v>4397145</v>
      </c>
      <c r="G1127" s="190">
        <f>'2011'!I127</f>
        <v>19057845.01</v>
      </c>
    </row>
    <row r="1128" spans="1:7" ht="12.75" customHeight="1">
      <c r="A1128" s="190" t="str">
        <f>'2011'!C128</f>
        <v>Erlös aus Verkäufen</v>
      </c>
      <c r="B1128" s="190">
        <f>'2011'!D128</f>
        <v>1487788.08</v>
      </c>
      <c r="C1128" s="190">
        <f>'2011'!E128</f>
        <v>650194.78</v>
      </c>
      <c r="D1128" s="190">
        <f>'2011'!F128</f>
        <v>1103006.56</v>
      </c>
      <c r="E1128" s="190">
        <f>'2011'!G128</f>
        <v>3240989.4200000004</v>
      </c>
      <c r="F1128" s="190">
        <f>'2011'!H128</f>
        <v>2170958</v>
      </c>
      <c r="G1128" s="190">
        <f>'2011'!I128</f>
        <v>5411947.42</v>
      </c>
    </row>
    <row r="1129" spans="1:7" ht="12.75" customHeight="1">
      <c r="A1129" s="190" t="str">
        <f>'2011'!C129</f>
        <v>Rückerstattungen</v>
      </c>
      <c r="B1129" s="190">
        <f>'2011'!D129</f>
        <v>294430.67</v>
      </c>
      <c r="C1129" s="190">
        <f>'2011'!E129</f>
        <v>254810.66</v>
      </c>
      <c r="D1129" s="190">
        <f>'2011'!F129</f>
        <v>581742.02</v>
      </c>
      <c r="E1129" s="190">
        <f>'2011'!G129</f>
        <v>1130983.35</v>
      </c>
      <c r="F1129" s="190">
        <f>'2011'!H129</f>
        <v>17693866</v>
      </c>
      <c r="G1129" s="190">
        <f>'2011'!I129</f>
        <v>18824849.35</v>
      </c>
    </row>
    <row r="1130" spans="1:7" ht="12.75" customHeight="1">
      <c r="A1130" s="190" t="str">
        <f>'2011'!C130</f>
        <v>Bussen</v>
      </c>
      <c r="B1130" s="190">
        <f>'2011'!D130</f>
        <v>7800</v>
      </c>
      <c r="C1130" s="190">
        <f>'2011'!E130</f>
        <v>0</v>
      </c>
      <c r="D1130" s="190">
        <f>'2011'!F130</f>
        <v>35240.25</v>
      </c>
      <c r="E1130" s="190">
        <f>'2011'!G130</f>
        <v>43040.25</v>
      </c>
      <c r="F1130" s="190">
        <f>'2011'!H130</f>
        <v>2401004</v>
      </c>
      <c r="G1130" s="190">
        <f>'2011'!I130</f>
        <v>2444044.25</v>
      </c>
    </row>
    <row r="1131" spans="1:7" ht="12.75" customHeight="1">
      <c r="A1131" s="190" t="str">
        <f>'2011'!C131</f>
        <v>Übrige Entgelte</v>
      </c>
      <c r="B1131" s="190">
        <f>'2011'!D131</f>
        <v>0</v>
      </c>
      <c r="C1131" s="190">
        <f>'2011'!E131</f>
        <v>0</v>
      </c>
      <c r="D1131" s="190">
        <f>'2011'!F131</f>
        <v>1671.6</v>
      </c>
      <c r="E1131" s="190">
        <f>'2011'!G131</f>
        <v>1671.6</v>
      </c>
      <c r="F1131" s="190">
        <f>'2011'!H131</f>
        <v>63592</v>
      </c>
      <c r="G1131" s="190">
        <f>'2011'!I131</f>
        <v>65263.6</v>
      </c>
    </row>
    <row r="1132" spans="1:7" ht="12.75" customHeight="1">
      <c r="A1132" s="190" t="str">
        <f>'2011'!C132</f>
        <v>Entgelte</v>
      </c>
      <c r="B1132" s="190">
        <f>'2011'!D132</f>
        <v>7722533.61</v>
      </c>
      <c r="C1132" s="190">
        <f>'2011'!E132</f>
        <v>5713645.430000001</v>
      </c>
      <c r="D1132" s="190">
        <f>'2011'!F132</f>
        <v>8828829.7</v>
      </c>
      <c r="E1132" s="190">
        <f>'2011'!G132</f>
        <v>22265008.740000006</v>
      </c>
      <c r="F1132" s="190">
        <f>'2011'!H132</f>
        <v>58263121</v>
      </c>
      <c r="G1132" s="190">
        <f>'2011'!I132</f>
        <v>80528129.74000001</v>
      </c>
    </row>
    <row r="1133" spans="1:7" ht="12.75" customHeight="1">
      <c r="A1133" s="190" t="str">
        <f>'2011'!C133</f>
        <v>Verschiedene betriebliche Erträge</v>
      </c>
      <c r="B1133" s="190">
        <f>'2011'!D133</f>
        <v>0</v>
      </c>
      <c r="C1133" s="190">
        <f>'2011'!E133</f>
        <v>789</v>
      </c>
      <c r="D1133" s="190">
        <f>'2011'!F133</f>
        <v>0</v>
      </c>
      <c r="E1133" s="190">
        <f>'2011'!G133</f>
        <v>789</v>
      </c>
      <c r="F1133" s="190">
        <f>'2011'!H133</f>
        <v>48290</v>
      </c>
      <c r="G1133" s="190">
        <f>'2011'!I133</f>
        <v>49079</v>
      </c>
    </row>
    <row r="1134" spans="1:7" ht="12.75" customHeight="1">
      <c r="A1134" s="190" t="str">
        <f>'2011'!C134</f>
        <v>Aktivierung Eigenleistungen</v>
      </c>
      <c r="B1134" s="190">
        <f>'2011'!D134</f>
        <v>124943.65</v>
      </c>
      <c r="C1134" s="190">
        <f>'2011'!E134</f>
        <v>0</v>
      </c>
      <c r="D1134" s="190">
        <f>'2011'!F134</f>
        <v>75058</v>
      </c>
      <c r="E1134" s="190">
        <f>'2011'!G134</f>
        <v>200001.65</v>
      </c>
      <c r="F1134" s="190">
        <f>'2011'!H134</f>
        <v>87299</v>
      </c>
      <c r="G1134" s="190">
        <f>'2011'!I134</f>
        <v>287300.65</v>
      </c>
    </row>
    <row r="1135" spans="1:7" ht="12.75" customHeight="1">
      <c r="A1135" s="190" t="str">
        <f>'2011'!C135</f>
        <v>Bestandesveränderungen</v>
      </c>
      <c r="B1135" s="190">
        <f>'2011'!D135</f>
        <v>0</v>
      </c>
      <c r="C1135" s="190">
        <f>'2011'!E135</f>
        <v>0</v>
      </c>
      <c r="D1135" s="190">
        <f>'2011'!F135</f>
        <v>180677.5</v>
      </c>
      <c r="E1135" s="190">
        <f>'2011'!G135</f>
        <v>180677.5</v>
      </c>
      <c r="F1135" s="190">
        <f>'2011'!H135</f>
        <v>0</v>
      </c>
      <c r="G1135" s="190">
        <f>'2011'!I135</f>
        <v>180677.5</v>
      </c>
    </row>
    <row r="1136" spans="1:7" ht="12.75" customHeight="1">
      <c r="A1136" s="190" t="str">
        <f>'2011'!C136</f>
        <v>Übriger Ertrag</v>
      </c>
      <c r="B1136" s="190">
        <f>'2011'!D136</f>
        <v>50879.55</v>
      </c>
      <c r="C1136" s="190">
        <f>'2011'!E136</f>
        <v>0</v>
      </c>
      <c r="D1136" s="190">
        <f>'2011'!F136</f>
        <v>0</v>
      </c>
      <c r="E1136" s="190">
        <f>'2011'!G136</f>
        <v>50879.55</v>
      </c>
      <c r="F1136" s="190">
        <f>'2011'!H136</f>
        <v>0</v>
      </c>
      <c r="G1136" s="190">
        <f>'2011'!I136</f>
        <v>50879.55</v>
      </c>
    </row>
    <row r="1137" spans="1:7" ht="12.75" customHeight="1">
      <c r="A1137" s="190" t="str">
        <f>'2011'!C137</f>
        <v>Verschiedene Erträge</v>
      </c>
      <c r="B1137" s="190">
        <f>'2011'!D137</f>
        <v>175823.2</v>
      </c>
      <c r="C1137" s="190">
        <f>'2011'!E137</f>
        <v>789</v>
      </c>
      <c r="D1137" s="190">
        <f>'2011'!F137</f>
        <v>255735.5</v>
      </c>
      <c r="E1137" s="190">
        <f>'2011'!G137</f>
        <v>432347.7</v>
      </c>
      <c r="F1137" s="190">
        <f>'2011'!H137</f>
        <v>135589</v>
      </c>
      <c r="G1137" s="190">
        <f>'2011'!I137</f>
        <v>567936.7000000001</v>
      </c>
    </row>
    <row r="1138" spans="1:7" ht="12.75" customHeight="1">
      <c r="A1138" s="190" t="str">
        <f>'2011'!C138</f>
        <v>Zinsertrag</v>
      </c>
      <c r="B1138" s="190">
        <f>'2011'!D138</f>
        <v>9060.6</v>
      </c>
      <c r="C1138" s="190">
        <f>'2011'!E138</f>
        <v>189558.54</v>
      </c>
      <c r="D1138" s="190">
        <f>'2011'!F138</f>
        <v>90881.91</v>
      </c>
      <c r="E1138" s="190">
        <f>'2011'!G138</f>
        <v>289501.05000000005</v>
      </c>
      <c r="F1138" s="190">
        <f>'2011'!H138</f>
        <v>6678318</v>
      </c>
      <c r="G1138" s="190">
        <f>'2011'!I138</f>
        <v>6967819.05</v>
      </c>
    </row>
    <row r="1139" spans="1:7" ht="12.75" customHeight="1">
      <c r="A1139" s="190" t="str">
        <f>'2011'!C139</f>
        <v>Realisierte Gewinne FV</v>
      </c>
      <c r="B1139" s="190">
        <f>'2011'!D139</f>
        <v>0</v>
      </c>
      <c r="C1139" s="190">
        <f>'2011'!E139</f>
        <v>156485</v>
      </c>
      <c r="D1139" s="190">
        <f>'2011'!F139</f>
        <v>1405681.3</v>
      </c>
      <c r="E1139" s="190">
        <f>'2011'!G139</f>
        <v>1562166.3</v>
      </c>
      <c r="F1139" s="190">
        <f>'2011'!H139</f>
        <v>0</v>
      </c>
      <c r="G1139" s="190">
        <f>'2011'!I139</f>
        <v>1562166.3</v>
      </c>
    </row>
    <row r="1140" spans="1:7" ht="12.75" customHeight="1">
      <c r="A1140" s="190" t="str">
        <f>'2011'!C140</f>
        <v>Beteiligungsertrag FV</v>
      </c>
      <c r="B1140" s="190">
        <f>'2011'!D140</f>
        <v>107140</v>
      </c>
      <c r="C1140" s="190">
        <f>'2011'!E140</f>
        <v>0</v>
      </c>
      <c r="D1140" s="190">
        <f>'2011'!F140</f>
        <v>65751.55</v>
      </c>
      <c r="E1140" s="190">
        <f>'2011'!G140</f>
        <v>172891.55</v>
      </c>
      <c r="F1140" s="190">
        <f>'2011'!H140</f>
        <v>1733734</v>
      </c>
      <c r="G1140" s="190">
        <f>'2011'!I140</f>
        <v>1906625.55</v>
      </c>
    </row>
    <row r="1141" spans="1:7" ht="12.75" customHeight="1">
      <c r="A1141" s="190" t="str">
        <f>'2011'!C141</f>
        <v>Liegenschaftenertrag FV</v>
      </c>
      <c r="B1141" s="190">
        <f>'2011'!D141</f>
        <v>726034.6</v>
      </c>
      <c r="C1141" s="190">
        <f>'2011'!E141</f>
        <v>1242209.95</v>
      </c>
      <c r="D1141" s="190">
        <f>'2011'!F141</f>
        <v>1009529.3</v>
      </c>
      <c r="E1141" s="190">
        <f>'2011'!G141</f>
        <v>2977773.8499999996</v>
      </c>
      <c r="F1141" s="190">
        <f>'2011'!H141</f>
        <v>1131866</v>
      </c>
      <c r="G1141" s="190">
        <f>'2011'!I141</f>
        <v>4109639.8499999996</v>
      </c>
    </row>
    <row r="1142" spans="1:7" ht="12.75" customHeight="1">
      <c r="A1142" s="190" t="str">
        <f>'2011'!C142</f>
        <v>Wertberichtigungen Anlagen FV</v>
      </c>
      <c r="B1142" s="190">
        <f>'2011'!D142</f>
        <v>0</v>
      </c>
      <c r="C1142" s="190">
        <f>'2011'!E142</f>
        <v>0</v>
      </c>
      <c r="D1142" s="190">
        <f>'2011'!F142</f>
        <v>238873.55</v>
      </c>
      <c r="E1142" s="190">
        <f>'2011'!G142</f>
        <v>238873.55</v>
      </c>
      <c r="F1142" s="190">
        <f>'2011'!H142</f>
        <v>1067044</v>
      </c>
      <c r="G1142" s="190">
        <f>'2011'!I142</f>
        <v>1305917.55</v>
      </c>
    </row>
    <row r="1143" spans="1:7" ht="12.75" customHeight="1">
      <c r="A1143" s="190" t="str">
        <f>'2011'!C143</f>
        <v>Finanzertrag aus Darlehen und Beteiligungen VV</v>
      </c>
      <c r="B1143" s="190">
        <f>'2011'!D143</f>
        <v>0</v>
      </c>
      <c r="C1143" s="190">
        <f>'2011'!E143</f>
        <v>2932.5</v>
      </c>
      <c r="D1143" s="190">
        <f>'2011'!F143</f>
        <v>0</v>
      </c>
      <c r="E1143" s="190">
        <f>'2011'!G143</f>
        <v>2932.5</v>
      </c>
      <c r="F1143" s="190">
        <f>'2011'!H143</f>
        <v>8964</v>
      </c>
      <c r="G1143" s="190">
        <f>'2011'!I143</f>
        <v>11896.5</v>
      </c>
    </row>
    <row r="1144" spans="1:7" ht="12.75" customHeight="1">
      <c r="A1144" s="190" t="str">
        <f>'2011'!C144</f>
        <v>Finanzertrag von öffentlichen Unternehmungen</v>
      </c>
      <c r="B1144" s="190">
        <f>'2011'!D144</f>
        <v>848071</v>
      </c>
      <c r="C1144" s="190">
        <f>'2011'!E144</f>
        <v>935720</v>
      </c>
      <c r="D1144" s="190">
        <f>'2011'!F144</f>
        <v>200000</v>
      </c>
      <c r="E1144" s="190">
        <f>'2011'!G144</f>
        <v>1983791</v>
      </c>
      <c r="F1144" s="190">
        <f>'2011'!H144</f>
        <v>2304394</v>
      </c>
      <c r="G1144" s="190">
        <f>'2011'!I144</f>
        <v>4288185</v>
      </c>
    </row>
    <row r="1145" spans="1:7" ht="12.75" customHeight="1">
      <c r="A1145" s="190" t="str">
        <f>'2011'!C145</f>
        <v>Liegenschaftenertrag VV</v>
      </c>
      <c r="B1145" s="190">
        <f>'2011'!D145</f>
        <v>417760.65</v>
      </c>
      <c r="C1145" s="190">
        <f>'2011'!E145</f>
        <v>545820.7</v>
      </c>
      <c r="D1145" s="190">
        <f>'2011'!F145</f>
        <v>319752.15</v>
      </c>
      <c r="E1145" s="190">
        <f>'2011'!G145</f>
        <v>1283333.5</v>
      </c>
      <c r="F1145" s="190">
        <f>'2011'!H145</f>
        <v>301803</v>
      </c>
      <c r="G1145" s="190">
        <f>'2011'!I145</f>
        <v>1585136.5</v>
      </c>
    </row>
    <row r="1146" spans="1:7" ht="12.75" customHeight="1">
      <c r="A1146" s="190" t="str">
        <f>'2011'!C146</f>
        <v>Erträge von gemieteten Liegenschaften</v>
      </c>
      <c r="B1146" s="190">
        <f>'2011'!D146</f>
        <v>0</v>
      </c>
      <c r="C1146" s="190">
        <f>'2011'!E146</f>
        <v>0</v>
      </c>
      <c r="D1146" s="190">
        <f>'2011'!F146</f>
        <v>0</v>
      </c>
      <c r="E1146" s="190">
        <f>'2011'!G146</f>
        <v>0</v>
      </c>
      <c r="F1146" s="190">
        <f>'2011'!H146</f>
        <v>0</v>
      </c>
      <c r="G1146" s="190">
        <f>'2011'!I146</f>
        <v>0</v>
      </c>
    </row>
    <row r="1147" spans="1:7" ht="12.75" customHeight="1">
      <c r="A1147" s="190" t="str">
        <f>'2011'!C147</f>
        <v>Übriger Finanzertrag</v>
      </c>
      <c r="B1147" s="190">
        <f>'2011'!D147</f>
        <v>0</v>
      </c>
      <c r="C1147" s="190">
        <f>'2011'!E147</f>
        <v>0</v>
      </c>
      <c r="D1147" s="190">
        <f>'2011'!F147</f>
        <v>0</v>
      </c>
      <c r="E1147" s="190">
        <f>'2011'!G147</f>
        <v>0</v>
      </c>
      <c r="F1147" s="190">
        <f>'2011'!H147</f>
        <v>0</v>
      </c>
      <c r="G1147" s="190">
        <f>'2011'!I147</f>
        <v>0</v>
      </c>
    </row>
    <row r="1148" spans="1:7" ht="12.75" customHeight="1">
      <c r="A1148" s="190" t="str">
        <f>'2011'!C148</f>
        <v>Finanzertrag</v>
      </c>
      <c r="B1148" s="190">
        <f>'2011'!D148</f>
        <v>2108066.85</v>
      </c>
      <c r="C1148" s="190">
        <f>'2011'!E148</f>
        <v>3072726.6900000004</v>
      </c>
      <c r="D1148" s="190">
        <f>'2011'!F148</f>
        <v>3330469.76</v>
      </c>
      <c r="E1148" s="190">
        <f>'2011'!G148</f>
        <v>8511263.3</v>
      </c>
      <c r="F1148" s="190">
        <f>'2011'!H148</f>
        <v>13226123</v>
      </c>
      <c r="G1148" s="190">
        <f>'2011'!I148</f>
        <v>21737386.3</v>
      </c>
    </row>
    <row r="1149" spans="1:7" ht="12.75" customHeight="1">
      <c r="A1149" s="190" t="str">
        <f>'2011'!C149</f>
        <v>Entnahmen aus Fonds und Spezialfinanzierungen im FK</v>
      </c>
      <c r="B1149" s="190">
        <f>'2011'!D149</f>
        <v>0</v>
      </c>
      <c r="C1149" s="190">
        <f>'2011'!E149</f>
        <v>78504.05</v>
      </c>
      <c r="D1149" s="190">
        <f>'2011'!F149</f>
        <v>0</v>
      </c>
      <c r="E1149" s="190">
        <f>'2011'!G149</f>
        <v>78504.05</v>
      </c>
      <c r="F1149" s="190">
        <f>'2011'!H149</f>
        <v>2518950</v>
      </c>
      <c r="G1149" s="190">
        <f>'2011'!I149</f>
        <v>2597454.05</v>
      </c>
    </row>
    <row r="1150" spans="1:7" ht="12.75" customHeight="1">
      <c r="A1150" s="190" t="str">
        <f>'2011'!C150</f>
        <v>Entnahmen aus Fonds und Spezialfinanzierungen im EK</v>
      </c>
      <c r="B1150" s="190">
        <f>'2011'!D150</f>
        <v>0</v>
      </c>
      <c r="C1150" s="190">
        <f>'2011'!E150</f>
        <v>19275.95</v>
      </c>
      <c r="D1150" s="190">
        <f>'2011'!F150</f>
        <v>1361400.2</v>
      </c>
      <c r="E1150" s="190">
        <f>'2011'!G150</f>
        <v>1380676.15</v>
      </c>
      <c r="F1150" s="190">
        <f>'2011'!H150</f>
        <v>12409694</v>
      </c>
      <c r="G1150" s="190">
        <f>'2011'!I150</f>
        <v>13790370.15</v>
      </c>
    </row>
    <row r="1151" spans="1:7" ht="12.75" customHeight="1">
      <c r="A1151" s="190" t="str">
        <f>'2011'!C151</f>
        <v>Entnahmen aus Fonds und Spezialfinanzierungen</v>
      </c>
      <c r="B1151" s="190">
        <f>'2011'!D151</f>
        <v>0</v>
      </c>
      <c r="C1151" s="190">
        <f>'2011'!E151</f>
        <v>97780</v>
      </c>
      <c r="D1151" s="190">
        <f>'2011'!F151</f>
        <v>1361400.2</v>
      </c>
      <c r="E1151" s="190">
        <f>'2011'!G151</f>
        <v>1459180.2</v>
      </c>
      <c r="F1151" s="190">
        <f>'2011'!H151</f>
        <v>14928644</v>
      </c>
      <c r="G1151" s="190">
        <f>'2011'!I151</f>
        <v>16387824.2</v>
      </c>
    </row>
    <row r="1152" spans="1:7" ht="12.75" customHeight="1">
      <c r="A1152" s="190" t="str">
        <f>'2011'!C152</f>
        <v>Ertragsanteile</v>
      </c>
      <c r="B1152" s="190">
        <f>'2011'!D152</f>
        <v>1400446.5</v>
      </c>
      <c r="C1152" s="190">
        <f>'2011'!E152</f>
        <v>214373.05</v>
      </c>
      <c r="D1152" s="190">
        <f>'2011'!F152</f>
        <v>1996014.6</v>
      </c>
      <c r="E1152" s="190">
        <f>'2011'!G152</f>
        <v>3610834.1500000004</v>
      </c>
      <c r="F1152" s="190">
        <f>'2011'!H152</f>
        <v>15072820</v>
      </c>
      <c r="G1152" s="190">
        <f>'2011'!I152</f>
        <v>18683654.15</v>
      </c>
    </row>
    <row r="1153" spans="1:7" ht="12.75" customHeight="1">
      <c r="A1153" s="190" t="str">
        <f>'2011'!C153</f>
        <v>Entschädigungen von Gemeinwesen</v>
      </c>
      <c r="B1153" s="190">
        <f>'2011'!D153</f>
        <v>917753.1</v>
      </c>
      <c r="C1153" s="190">
        <f>'2011'!E153</f>
        <v>168365.45</v>
      </c>
      <c r="D1153" s="190">
        <f>'2011'!F153</f>
        <v>1473966.05</v>
      </c>
      <c r="E1153" s="190">
        <f>'2011'!G153</f>
        <v>2560084.6</v>
      </c>
      <c r="F1153" s="190">
        <f>'2011'!H153</f>
        <v>17925260</v>
      </c>
      <c r="G1153" s="190">
        <f>'2011'!I153</f>
        <v>20485344.6</v>
      </c>
    </row>
    <row r="1154" spans="1:7" ht="12.75" customHeight="1">
      <c r="A1154" s="190" t="str">
        <f>'2011'!C154</f>
        <v>Finanz- und Lastenausgleich</v>
      </c>
      <c r="B1154" s="190">
        <f>'2011'!D154</f>
        <v>662420.72</v>
      </c>
      <c r="C1154" s="190">
        <f>'2011'!E154</f>
        <v>149042.51</v>
      </c>
      <c r="D1154" s="190">
        <f>'2011'!F154</f>
        <v>188536.77</v>
      </c>
      <c r="E1154" s="190">
        <f>'2011'!G154</f>
        <v>1000000</v>
      </c>
      <c r="F1154" s="190">
        <f>'2011'!H154</f>
        <v>70311378</v>
      </c>
      <c r="G1154" s="190">
        <f>'2011'!I154</f>
        <v>71311378</v>
      </c>
    </row>
    <row r="1155" spans="1:7" ht="12.75" customHeight="1">
      <c r="A1155" s="190" t="str">
        <f>'2011'!C155</f>
        <v>Beiträge von Gemeinwesen und Dritten</v>
      </c>
      <c r="B1155" s="190">
        <f>'2011'!D155</f>
        <v>2423440.32</v>
      </c>
      <c r="C1155" s="190">
        <f>'2011'!E155</f>
        <v>1456099.05</v>
      </c>
      <c r="D1155" s="190">
        <f>'2011'!F155</f>
        <v>853706.25</v>
      </c>
      <c r="E1155" s="190">
        <f>'2011'!G155</f>
        <v>4733245.62</v>
      </c>
      <c r="F1155" s="190">
        <f>'2011'!H155</f>
        <v>15327001</v>
      </c>
      <c r="G1155" s="190">
        <f>'2011'!I155</f>
        <v>20060246.62</v>
      </c>
    </row>
    <row r="1156" spans="1:7" ht="12.75" customHeight="1">
      <c r="A1156" s="190" t="str">
        <f>'2011'!C156</f>
        <v>Verschiedener Transferertrag</v>
      </c>
      <c r="B1156" s="190">
        <f>'2011'!D156</f>
        <v>11413.45</v>
      </c>
      <c r="C1156" s="190">
        <f>'2011'!E156</f>
        <v>12860.2</v>
      </c>
      <c r="D1156" s="190">
        <f>'2011'!F156</f>
        <v>15331.65</v>
      </c>
      <c r="E1156" s="190">
        <f>'2011'!G156</f>
        <v>39605.3</v>
      </c>
      <c r="F1156" s="190">
        <f>'2011'!H156</f>
        <v>31355</v>
      </c>
      <c r="G1156" s="190">
        <f>'2011'!I156</f>
        <v>70960.3</v>
      </c>
    </row>
    <row r="1157" spans="1:7" ht="12.75" customHeight="1">
      <c r="A1157" s="190" t="str">
        <f>'2011'!C157</f>
        <v>Transferertrag</v>
      </c>
      <c r="B1157" s="190">
        <f>'2011'!D157</f>
        <v>5415474.090000001</v>
      </c>
      <c r="C1157" s="190">
        <f>'2011'!E157</f>
        <v>2000740.26</v>
      </c>
      <c r="D1157" s="190">
        <f>'2011'!F157</f>
        <v>4527555.32</v>
      </c>
      <c r="E1157" s="190">
        <f>'2011'!G157</f>
        <v>11943769.670000002</v>
      </c>
      <c r="F1157" s="190">
        <f>'2011'!H157</f>
        <v>118667814</v>
      </c>
      <c r="G1157" s="190">
        <f>'2011'!I157</f>
        <v>130611583.67</v>
      </c>
    </row>
    <row r="1158" spans="1:7" ht="12.75" customHeight="1">
      <c r="A1158" s="190" t="str">
        <f>'2011'!C158</f>
        <v>Durchlaufende Beiträge</v>
      </c>
      <c r="B1158" s="190">
        <f>'2011'!D158</f>
        <v>0</v>
      </c>
      <c r="C1158" s="190">
        <f>'2011'!E158</f>
        <v>0</v>
      </c>
      <c r="D1158" s="190">
        <f>'2011'!F158</f>
        <v>0</v>
      </c>
      <c r="E1158" s="190">
        <f>'2011'!G158</f>
        <v>0</v>
      </c>
      <c r="F1158" s="190">
        <f>'2011'!H158</f>
        <v>28430592</v>
      </c>
      <c r="G1158" s="190">
        <f>'2011'!I158</f>
        <v>28430592</v>
      </c>
    </row>
    <row r="1159" spans="1:7" ht="12.75" customHeight="1">
      <c r="A1159" s="190" t="str">
        <f>'2011'!C159</f>
        <v>Durchlaufende Beiträge</v>
      </c>
      <c r="B1159" s="190">
        <f>'2011'!D159</f>
        <v>0</v>
      </c>
      <c r="C1159" s="190">
        <f>'2011'!E159</f>
        <v>0</v>
      </c>
      <c r="D1159" s="190">
        <f>'2011'!F159</f>
        <v>0</v>
      </c>
      <c r="E1159" s="190">
        <f>'2011'!G159</f>
        <v>0</v>
      </c>
      <c r="F1159" s="190">
        <f>'2011'!H159</f>
        <v>28430592</v>
      </c>
      <c r="G1159" s="190">
        <f>'2011'!I159</f>
        <v>28430592</v>
      </c>
    </row>
    <row r="1160" spans="1:7" ht="12.75" customHeight="1">
      <c r="A1160" s="190" t="str">
        <f>'2011'!C160</f>
        <v>Ausserordentliche Steuererträge</v>
      </c>
      <c r="B1160" s="190">
        <f>'2011'!D160</f>
        <v>0</v>
      </c>
      <c r="C1160" s="190">
        <f>'2011'!E160</f>
        <v>2814935.5</v>
      </c>
      <c r="D1160" s="190">
        <f>'2011'!F160</f>
        <v>0</v>
      </c>
      <c r="E1160" s="190">
        <f>'2011'!G160</f>
        <v>2814935.5</v>
      </c>
      <c r="F1160" s="190">
        <f>'2011'!H160</f>
        <v>0</v>
      </c>
      <c r="G1160" s="190">
        <f>'2011'!I160</f>
        <v>2814935.5</v>
      </c>
    </row>
    <row r="1161" spans="1:7" ht="12.75" customHeight="1">
      <c r="A1161" s="190" t="str">
        <f>'2011'!C161</f>
        <v>A.o. Erträge von Regalien, Konzessionen</v>
      </c>
      <c r="B1161" s="190">
        <f>'2011'!D161</f>
        <v>0</v>
      </c>
      <c r="C1161" s="190">
        <f>'2011'!E161</f>
        <v>0</v>
      </c>
      <c r="D1161" s="190">
        <f>'2011'!F161</f>
        <v>0</v>
      </c>
      <c r="E1161" s="190">
        <f>'2011'!G161</f>
        <v>0</v>
      </c>
      <c r="F1161" s="190">
        <f>'2011'!H161</f>
        <v>0</v>
      </c>
      <c r="G1161" s="190">
        <f>'2011'!I161</f>
        <v>0</v>
      </c>
    </row>
    <row r="1162" spans="1:7" ht="12.75" customHeight="1">
      <c r="A1162" s="190" t="str">
        <f>'2011'!C162</f>
        <v>A.o Entgelte</v>
      </c>
      <c r="B1162" s="190">
        <f>'2011'!D162</f>
        <v>51578.55</v>
      </c>
      <c r="C1162" s="190">
        <f>'2011'!E162</f>
        <v>4000000</v>
      </c>
      <c r="D1162" s="190">
        <f>'2011'!F162</f>
        <v>4313155.55</v>
      </c>
      <c r="E1162" s="190">
        <f>'2011'!G162</f>
        <v>8364734.1</v>
      </c>
      <c r="F1162" s="190">
        <f>'2011'!H162</f>
        <v>0</v>
      </c>
      <c r="G1162" s="190">
        <f>'2011'!I162</f>
        <v>8364734.1</v>
      </c>
    </row>
    <row r="1163" spans="1:7" ht="12.75" customHeight="1">
      <c r="A1163" s="190" t="str">
        <f>'2011'!C163</f>
        <v>A.o. verschiedene Erträge</v>
      </c>
      <c r="B1163" s="190">
        <f>'2011'!D163</f>
        <v>132523.65</v>
      </c>
      <c r="C1163" s="190">
        <f>'2011'!E163</f>
        <v>14643.18</v>
      </c>
      <c r="D1163" s="190">
        <f>'2011'!F163</f>
        <v>218585.25</v>
      </c>
      <c r="E1163" s="190">
        <f>'2011'!G163</f>
        <v>365752.07999999996</v>
      </c>
      <c r="F1163" s="190">
        <f>'2011'!H163</f>
        <v>0</v>
      </c>
      <c r="G1163" s="190">
        <f>'2011'!I163</f>
        <v>365752.07999999996</v>
      </c>
    </row>
    <row r="1164" spans="1:7" ht="12.75" customHeight="1">
      <c r="A1164" s="190" t="str">
        <f>'2011'!C164</f>
        <v>A.o. Finanzerträge</v>
      </c>
      <c r="B1164" s="190">
        <f>'2011'!D164</f>
        <v>33831.2</v>
      </c>
      <c r="C1164" s="190">
        <f>'2011'!E164</f>
        <v>602900.39</v>
      </c>
      <c r="D1164" s="190">
        <f>'2011'!F164</f>
        <v>1114956.45</v>
      </c>
      <c r="E1164" s="190">
        <f>'2011'!G164</f>
        <v>1751688.04</v>
      </c>
      <c r="F1164" s="190">
        <f>'2011'!H164</f>
        <v>0</v>
      </c>
      <c r="G1164" s="190">
        <f>'2011'!I164</f>
        <v>1751688.04</v>
      </c>
    </row>
    <row r="1165" spans="1:7" ht="12.75" customHeight="1">
      <c r="A1165" s="190" t="str">
        <f>'2011'!C165</f>
        <v>A.o. Entnahmen aus Fonds und SF</v>
      </c>
      <c r="B1165" s="190">
        <f>'2011'!D165</f>
        <v>0</v>
      </c>
      <c r="C1165" s="190">
        <f>'2011'!E165</f>
        <v>0</v>
      </c>
      <c r="D1165" s="190">
        <f>'2011'!F165</f>
        <v>0</v>
      </c>
      <c r="E1165" s="190">
        <f>'2011'!G165</f>
        <v>0</v>
      </c>
      <c r="F1165" s="190">
        <f>'2011'!H165</f>
        <v>0</v>
      </c>
      <c r="G1165" s="190">
        <f>'2011'!I165</f>
        <v>0</v>
      </c>
    </row>
    <row r="1166" spans="1:7" ht="12.75" customHeight="1">
      <c r="A1166" s="190" t="str">
        <f>'2011'!C166</f>
        <v>A.o. Transfererträge</v>
      </c>
      <c r="B1166" s="190">
        <f>'2011'!D166</f>
        <v>4765412.28</v>
      </c>
      <c r="C1166" s="190">
        <f>'2011'!E166</f>
        <v>66034.01</v>
      </c>
      <c r="D1166" s="190">
        <f>'2011'!F166</f>
        <v>0</v>
      </c>
      <c r="E1166" s="190">
        <f>'2011'!G166</f>
        <v>4831446.29</v>
      </c>
      <c r="F1166" s="190">
        <f>'2011'!H166</f>
        <v>0</v>
      </c>
      <c r="G1166" s="190">
        <f>'2011'!I166</f>
        <v>4831446.29</v>
      </c>
    </row>
    <row r="1167" spans="1:7" ht="12.75" customHeight="1">
      <c r="A1167" s="190" t="str">
        <f>'2011'!C167</f>
        <v>Zusätzl. Auflösung passivierter Investitionsbeitr.</v>
      </c>
      <c r="B1167" s="190">
        <f>'2011'!D167</f>
        <v>0</v>
      </c>
      <c r="C1167" s="190">
        <f>'2011'!E167</f>
        <v>0</v>
      </c>
      <c r="D1167" s="190">
        <f>'2011'!F167</f>
        <v>0</v>
      </c>
      <c r="E1167" s="190">
        <f>'2011'!G167</f>
        <v>0</v>
      </c>
      <c r="F1167" s="190">
        <f>'2011'!H167</f>
        <v>0</v>
      </c>
      <c r="G1167" s="190">
        <f>'2011'!I167</f>
        <v>0</v>
      </c>
    </row>
    <row r="1168" spans="1:7" ht="12.75" customHeight="1">
      <c r="A1168" s="190" t="str">
        <f>'2011'!C168</f>
        <v>Entnahmen aus dem Eigenkapital</v>
      </c>
      <c r="B1168" s="190">
        <f>'2011'!D168</f>
        <v>0</v>
      </c>
      <c r="C1168" s="190">
        <f>'2011'!E168</f>
        <v>0</v>
      </c>
      <c r="D1168" s="190">
        <f>'2011'!F168</f>
        <v>0</v>
      </c>
      <c r="E1168" s="190">
        <f>'2011'!G168</f>
        <v>0</v>
      </c>
      <c r="F1168" s="190">
        <f>'2011'!H168</f>
        <v>134365</v>
      </c>
      <c r="G1168" s="190">
        <f>'2011'!I168</f>
        <v>134365</v>
      </c>
    </row>
    <row r="1169" spans="1:7" ht="12.75" customHeight="1">
      <c r="A1169" s="190" t="str">
        <f>'2011'!C169</f>
        <v>Ausserordentlicher Ertrag</v>
      </c>
      <c r="B1169" s="190">
        <f>'2011'!D169</f>
        <v>4983345.680000001</v>
      </c>
      <c r="C1169" s="190">
        <f>'2011'!E169</f>
        <v>7498513.079999999</v>
      </c>
      <c r="D1169" s="190">
        <f>'2011'!F169</f>
        <v>5646697.25</v>
      </c>
      <c r="E1169" s="190">
        <f>'2011'!G169</f>
        <v>18128556.009999998</v>
      </c>
      <c r="F1169" s="190">
        <f>'2011'!H169</f>
        <v>134365</v>
      </c>
      <c r="G1169" s="190">
        <f>'2011'!I169</f>
        <v>18262921.009999998</v>
      </c>
    </row>
    <row r="1170" spans="1:7" ht="12.75" customHeight="1">
      <c r="A1170" s="190" t="str">
        <f>'2011'!C170</f>
        <v>Material- und Warenbezüge</v>
      </c>
      <c r="B1170" s="190">
        <f>'2011'!D170</f>
        <v>23211.1</v>
      </c>
      <c r="C1170" s="190">
        <f>'2011'!E170</f>
        <v>10007.5</v>
      </c>
      <c r="D1170" s="190">
        <f>'2011'!F170</f>
        <v>74138.75</v>
      </c>
      <c r="E1170" s="190">
        <f>'2011'!G170</f>
        <v>107357.35</v>
      </c>
      <c r="F1170" s="190">
        <f>'2011'!H170</f>
        <v>136182</v>
      </c>
      <c r="G1170" s="190">
        <f>'2011'!I170</f>
        <v>243539.35</v>
      </c>
    </row>
    <row r="1171" spans="1:7" ht="12.75" customHeight="1">
      <c r="A1171" s="190" t="str">
        <f>'2011'!C171</f>
        <v>Dienstleistungen/Personalkosten</v>
      </c>
      <c r="B1171" s="190">
        <f>'2011'!D171</f>
        <v>4580498.3</v>
      </c>
      <c r="C1171" s="190">
        <f>'2011'!E171</f>
        <v>2840443.25</v>
      </c>
      <c r="D1171" s="190">
        <f>'2011'!F171</f>
        <v>5463026.17</v>
      </c>
      <c r="E1171" s="190">
        <f>'2011'!G171</f>
        <v>12883967.719999999</v>
      </c>
      <c r="F1171" s="190">
        <f>'2011'!H171</f>
        <v>1685631</v>
      </c>
      <c r="G1171" s="190">
        <f>'2011'!I171</f>
        <v>14569598.719999999</v>
      </c>
    </row>
    <row r="1172" spans="1:7" ht="12.75" customHeight="1">
      <c r="A1172" s="190" t="str">
        <f>'2011'!C172</f>
        <v>Pacht, Mieten, Benützungskosten</v>
      </c>
      <c r="B1172" s="190">
        <f>'2011'!D172</f>
        <v>861712.75</v>
      </c>
      <c r="C1172" s="190">
        <f>'2011'!E172</f>
        <v>555597.85</v>
      </c>
      <c r="D1172" s="190">
        <f>'2011'!F172</f>
        <v>0</v>
      </c>
      <c r="E1172" s="190">
        <f>'2011'!G172</f>
        <v>1417310.6</v>
      </c>
      <c r="F1172" s="190">
        <f>'2011'!H172</f>
        <v>502723</v>
      </c>
      <c r="G1172" s="190">
        <f>'2011'!I172</f>
        <v>1920033.6</v>
      </c>
    </row>
    <row r="1173" spans="1:7" ht="12.75" customHeight="1">
      <c r="A1173" s="190" t="str">
        <f>'2011'!C173</f>
        <v>Betriebs- und Verwaltungskosten</v>
      </c>
      <c r="B1173" s="190">
        <f>'2011'!D173</f>
        <v>211630.36</v>
      </c>
      <c r="C1173" s="190">
        <f>'2011'!E173</f>
        <v>200292.35</v>
      </c>
      <c r="D1173" s="190">
        <f>'2011'!F173</f>
        <v>93254.13</v>
      </c>
      <c r="E1173" s="190">
        <f>'2011'!G173</f>
        <v>505176.83999999997</v>
      </c>
      <c r="F1173" s="190">
        <f>'2011'!H173</f>
        <v>0</v>
      </c>
      <c r="G1173" s="190">
        <f>'2011'!I173</f>
        <v>505176.83999999997</v>
      </c>
    </row>
    <row r="1174" spans="1:7" ht="12.75" customHeight="1">
      <c r="A1174" s="190" t="str">
        <f>'2011'!C174</f>
        <v>Kalkulatorische Zinsen und Finanzaufwand</v>
      </c>
      <c r="B1174" s="190">
        <f>'2011'!D174</f>
        <v>260590.5</v>
      </c>
      <c r="C1174" s="190">
        <f>'2011'!E174</f>
        <v>613768.9</v>
      </c>
      <c r="D1174" s="190">
        <f>'2011'!F174</f>
        <v>862677.59</v>
      </c>
      <c r="E1174" s="190">
        <f>'2011'!G174</f>
        <v>1737036.99</v>
      </c>
      <c r="F1174" s="190">
        <f>'2011'!H174</f>
        <v>1125756</v>
      </c>
      <c r="G1174" s="190">
        <f>'2011'!I174</f>
        <v>2862792.99</v>
      </c>
    </row>
    <row r="1175" spans="1:7" ht="12.75" customHeight="1">
      <c r="A1175" s="190" t="str">
        <f>'2011'!C175</f>
        <v>Planmässige und ausserplanmässige Abschr.</v>
      </c>
      <c r="B1175" s="190">
        <f>'2011'!D175</f>
        <v>0</v>
      </c>
      <c r="C1175" s="190">
        <f>'2011'!E175</f>
        <v>0</v>
      </c>
      <c r="D1175" s="190">
        <f>'2011'!F175</f>
        <v>0</v>
      </c>
      <c r="E1175" s="190">
        <f>'2011'!G175</f>
        <v>0</v>
      </c>
      <c r="F1175" s="190">
        <f>'2011'!H175</f>
        <v>0</v>
      </c>
      <c r="G1175" s="190">
        <f>'2011'!I175</f>
        <v>0</v>
      </c>
    </row>
    <row r="1176" spans="1:7" ht="12.75" customHeight="1">
      <c r="A1176" s="190" t="str">
        <f>'2011'!C176</f>
        <v>Übertragungen</v>
      </c>
      <c r="B1176" s="190">
        <f>'2011'!D176</f>
        <v>0</v>
      </c>
      <c r="C1176" s="190">
        <f>'2011'!E176</f>
        <v>379945.3</v>
      </c>
      <c r="D1176" s="190">
        <f>'2011'!F176</f>
        <v>0</v>
      </c>
      <c r="E1176" s="190">
        <f>'2011'!G176</f>
        <v>379945.3</v>
      </c>
      <c r="F1176" s="190">
        <f>'2011'!H176</f>
        <v>7229848</v>
      </c>
      <c r="G1176" s="190">
        <f>'2011'!I176</f>
        <v>7609793.3</v>
      </c>
    </row>
    <row r="1177" spans="1:7" ht="12.75" customHeight="1">
      <c r="A1177" s="190" t="str">
        <f>'2011'!C177</f>
        <v>Übrige interne Verrechnungen</v>
      </c>
      <c r="B1177" s="190">
        <f>'2011'!D177</f>
        <v>0</v>
      </c>
      <c r="C1177" s="190">
        <f>'2011'!E177</f>
        <v>36633.6</v>
      </c>
      <c r="D1177" s="190">
        <f>'2011'!F177</f>
        <v>0</v>
      </c>
      <c r="E1177" s="190">
        <f>'2011'!G177</f>
        <v>36633.6</v>
      </c>
      <c r="F1177" s="190">
        <f>'2011'!H177</f>
        <v>0</v>
      </c>
      <c r="G1177" s="190">
        <f>'2011'!I177</f>
        <v>36633.6</v>
      </c>
    </row>
    <row r="1178" spans="1:7" ht="12.75" customHeight="1">
      <c r="A1178" s="190" t="str">
        <f>'2011'!C178</f>
        <v>Interne Verrechnungen</v>
      </c>
      <c r="B1178" s="190">
        <f>'2011'!D178</f>
        <v>5937643.01</v>
      </c>
      <c r="C1178" s="190">
        <f>'2011'!E178</f>
        <v>4636688.75</v>
      </c>
      <c r="D1178" s="190">
        <f>'2011'!F178</f>
        <v>6493096.64</v>
      </c>
      <c r="E1178" s="190">
        <f>'2011'!G178</f>
        <v>17067428.4</v>
      </c>
      <c r="F1178" s="190">
        <f>'2011'!H178</f>
        <v>10680140</v>
      </c>
      <c r="G1178" s="190">
        <f>'2011'!I178</f>
        <v>27747568.400000002</v>
      </c>
    </row>
    <row r="1179" spans="1:7" ht="12.75" customHeight="1">
      <c r="A1179" s="190" t="str">
        <f>'2011'!C179</f>
        <v>Total Ertrag ER</v>
      </c>
      <c r="B1179" s="190">
        <f>'2011'!D179</f>
        <v>48528213.39</v>
      </c>
      <c r="C1179" s="190">
        <f>'2011'!E179</f>
        <v>51777773.769999996</v>
      </c>
      <c r="D1179" s="190">
        <f>'2011'!F179</f>
        <v>66864339.879999995</v>
      </c>
      <c r="E1179" s="190">
        <f>'2011'!G179</f>
        <v>167170327.04000002</v>
      </c>
      <c r="F1179" s="190">
        <f>'2011'!H179</f>
        <v>370686030</v>
      </c>
      <c r="G1179" s="190">
        <f>'2011'!I179</f>
        <v>537856357.04</v>
      </c>
    </row>
    <row r="1180" spans="1:7" ht="12.75" customHeight="1">
      <c r="A1180" s="190">
        <f>'2011'!C180</f>
        <v>0</v>
      </c>
      <c r="B1180" s="190">
        <f>'2011'!D180</f>
        <v>0</v>
      </c>
      <c r="C1180" s="190">
        <f>'2011'!E180</f>
        <v>0</v>
      </c>
      <c r="D1180" s="190">
        <f>'2011'!F180</f>
        <v>0</v>
      </c>
      <c r="E1180" s="190">
        <f>'2011'!G180</f>
        <v>0</v>
      </c>
      <c r="F1180" s="190">
        <f>'2011'!H180</f>
        <v>0</v>
      </c>
      <c r="G1180" s="190">
        <f>'2011'!I180</f>
        <v>0</v>
      </c>
    </row>
    <row r="1181" spans="1:7" ht="12.75" customHeight="1">
      <c r="A1181" s="190" t="str">
        <f>'2011'!C181</f>
        <v>Ertragsüberschuss Erfolgsrechnung</v>
      </c>
      <c r="B1181" s="190">
        <f>'2011'!D181</f>
        <v>637558.6</v>
      </c>
      <c r="C1181" s="190">
        <f>'2011'!E181</f>
        <v>3514457.15</v>
      </c>
      <c r="D1181" s="190">
        <f>'2011'!F181</f>
        <v>472270.26</v>
      </c>
      <c r="E1181" s="190">
        <f>'2011'!G181</f>
        <v>4624286.01</v>
      </c>
      <c r="F1181" s="190">
        <f>'2011'!H181</f>
        <v>8102268</v>
      </c>
      <c r="G1181" s="190">
        <f>'2011'!I181</f>
        <v>12726554.01</v>
      </c>
    </row>
    <row r="1182" spans="1:7" ht="12.75" customHeight="1">
      <c r="A1182" s="190" t="str">
        <f>'2011'!C182</f>
        <v>Aufwandüberschuss Erfolgsrechnung</v>
      </c>
      <c r="B1182" s="190">
        <f>'2011'!D182</f>
        <v>0</v>
      </c>
      <c r="C1182" s="190">
        <f>'2011'!E182</f>
        <v>0</v>
      </c>
      <c r="D1182" s="190">
        <f>'2011'!F182</f>
        <v>0</v>
      </c>
      <c r="E1182" s="190">
        <f>'2011'!G182</f>
        <v>0</v>
      </c>
      <c r="F1182" s="190">
        <f>'2011'!H182</f>
        <v>0</v>
      </c>
      <c r="G1182" s="190">
        <f>'2011'!I182</f>
        <v>0</v>
      </c>
    </row>
    <row r="1183" spans="1:7" ht="12.75" customHeight="1">
      <c r="A1183" s="190" t="str">
        <f>'2011'!C183</f>
        <v>Kontrolle</v>
      </c>
      <c r="B1183" s="190">
        <f>'2011'!D183</f>
        <v>7.450580596923828E-09</v>
      </c>
      <c r="C1183" s="190">
        <f>'2011'!E183</f>
        <v>7.450580596923828E-09</v>
      </c>
      <c r="D1183" s="190">
        <f>'2011'!F183</f>
        <v>0</v>
      </c>
      <c r="E1183" s="190">
        <f>'2011'!G183</f>
        <v>-2.9802322387695312E-08</v>
      </c>
      <c r="F1183" s="190">
        <f>'2011'!H183</f>
        <v>0</v>
      </c>
      <c r="G1183" s="190">
        <f>'2011'!I183</f>
        <v>0</v>
      </c>
    </row>
    <row r="1184" spans="1:7" ht="12.75" customHeight="1">
      <c r="A1184" s="190">
        <f>'2011'!C184</f>
        <v>0</v>
      </c>
      <c r="B1184" s="190">
        <f>'2011'!D184</f>
        <v>0</v>
      </c>
      <c r="C1184" s="190">
        <f>'2011'!E184</f>
        <v>0</v>
      </c>
      <c r="D1184" s="190">
        <f>'2011'!F184</f>
        <v>0</v>
      </c>
      <c r="E1184" s="190">
        <f>'2011'!G184</f>
        <v>0</v>
      </c>
      <c r="F1184" s="190">
        <f>'2011'!H184</f>
        <v>0</v>
      </c>
      <c r="G1184" s="190">
        <f>'2011'!I184</f>
        <v>0</v>
      </c>
    </row>
    <row r="1185" spans="1:7" ht="12.75" customHeight="1">
      <c r="A1185" s="190">
        <f>'2011'!C185</f>
        <v>0</v>
      </c>
      <c r="B1185" s="190">
        <f>'2011'!D185</f>
        <v>0</v>
      </c>
      <c r="C1185" s="190">
        <f>'2011'!E185</f>
        <v>0</v>
      </c>
      <c r="D1185" s="190">
        <f>'2011'!F185</f>
        <v>0</v>
      </c>
      <c r="E1185" s="190">
        <f>'2011'!G185</f>
        <v>0</v>
      </c>
      <c r="F1185" s="190">
        <f>'2011'!H185</f>
        <v>0</v>
      </c>
      <c r="G1185" s="190">
        <f>'2011'!I185</f>
        <v>0</v>
      </c>
    </row>
    <row r="1186" spans="1:7" ht="12.75" customHeight="1">
      <c r="A1186" s="190" t="str">
        <f>'2011'!C186</f>
        <v>Ausgaben</v>
      </c>
      <c r="B1186" s="190">
        <f>'2011'!D186</f>
        <v>0</v>
      </c>
      <c r="C1186" s="190">
        <f>'2011'!E186</f>
        <v>0</v>
      </c>
      <c r="D1186" s="190">
        <f>'2011'!F186</f>
        <v>0</v>
      </c>
      <c r="E1186" s="190">
        <f>'2011'!G186</f>
        <v>0</v>
      </c>
      <c r="F1186" s="190">
        <f>'2011'!H186</f>
        <v>0</v>
      </c>
      <c r="G1186" s="190">
        <f>'2011'!I186</f>
        <v>0</v>
      </c>
    </row>
    <row r="1187" spans="1:7" ht="12.75" customHeight="1">
      <c r="A1187" s="190" t="str">
        <f>'2011'!C187</f>
        <v>Grundstücke</v>
      </c>
      <c r="B1187" s="190">
        <f>'2011'!D187</f>
        <v>261000</v>
      </c>
      <c r="C1187" s="190">
        <f>'2011'!E187</f>
        <v>0</v>
      </c>
      <c r="D1187" s="190">
        <f>'2011'!F187</f>
        <v>0</v>
      </c>
      <c r="E1187" s="190">
        <f>'2011'!G187</f>
        <v>261000</v>
      </c>
      <c r="F1187" s="190">
        <f>'2011'!H187</f>
        <v>0</v>
      </c>
      <c r="G1187" s="190">
        <f>'2011'!I187</f>
        <v>261000</v>
      </c>
    </row>
    <row r="1188" spans="1:7" ht="12.75" customHeight="1">
      <c r="A1188" s="190" t="str">
        <f>'2011'!C188</f>
        <v>Strassen/Verkehrswege</v>
      </c>
      <c r="B1188" s="190">
        <f>'2011'!D188</f>
        <v>2831497.05</v>
      </c>
      <c r="C1188" s="190">
        <f>'2011'!E188</f>
        <v>62499.65</v>
      </c>
      <c r="D1188" s="190">
        <f>'2011'!F188</f>
        <v>2194490.4</v>
      </c>
      <c r="E1188" s="190">
        <f>'2011'!G188</f>
        <v>5088487.1</v>
      </c>
      <c r="F1188" s="190">
        <f>'2011'!H188</f>
        <v>3161808</v>
      </c>
      <c r="G1188" s="190">
        <f>'2011'!I188</f>
        <v>8250295.1</v>
      </c>
    </row>
    <row r="1189" spans="1:7" ht="12.75" customHeight="1">
      <c r="A1189" s="190" t="str">
        <f>'2011'!C189</f>
        <v>Wasserbau</v>
      </c>
      <c r="B1189" s="190">
        <f>'2011'!D189</f>
        <v>1195451.25</v>
      </c>
      <c r="C1189" s="190">
        <f>'2011'!E189</f>
        <v>2237379.6</v>
      </c>
      <c r="D1189" s="190">
        <f>'2011'!F189</f>
        <v>365843.85</v>
      </c>
      <c r="E1189" s="190">
        <f>'2011'!G189</f>
        <v>3798674.7</v>
      </c>
      <c r="F1189" s="190">
        <f>'2011'!H189</f>
        <v>0</v>
      </c>
      <c r="G1189" s="190">
        <f>'2011'!I189</f>
        <v>3798674.7</v>
      </c>
    </row>
    <row r="1190" spans="1:7" ht="12.75" customHeight="1">
      <c r="A1190" s="190" t="str">
        <f>'2011'!C190</f>
        <v>Übriger Tiefbau</v>
      </c>
      <c r="B1190" s="190">
        <f>'2011'!D190</f>
        <v>2191676.37</v>
      </c>
      <c r="C1190" s="190">
        <f>'2011'!E190</f>
        <v>0</v>
      </c>
      <c r="D1190" s="190">
        <f>'2011'!F190</f>
        <v>1457125.18</v>
      </c>
      <c r="E1190" s="190">
        <f>'2011'!G190</f>
        <v>3648801.55</v>
      </c>
      <c r="F1190" s="190">
        <f>'2011'!H190</f>
        <v>31523</v>
      </c>
      <c r="G1190" s="190">
        <f>'2011'!I190</f>
        <v>3680324.55</v>
      </c>
    </row>
    <row r="1191" spans="1:7" ht="12.75" customHeight="1">
      <c r="A1191" s="190" t="str">
        <f>'2011'!C191</f>
        <v>Hochbauten</v>
      </c>
      <c r="B1191" s="190">
        <f>'2011'!D191</f>
        <v>449533.64999999997</v>
      </c>
      <c r="C1191" s="190">
        <f>'2011'!E191</f>
        <v>355623.5</v>
      </c>
      <c r="D1191" s="190">
        <f>'2011'!F191</f>
        <v>337324.8</v>
      </c>
      <c r="E1191" s="190">
        <f>'2011'!G191</f>
        <v>1142481.95</v>
      </c>
      <c r="F1191" s="190">
        <f>'2011'!H191</f>
        <v>6037478</v>
      </c>
      <c r="G1191" s="190">
        <f>'2011'!I191</f>
        <v>7179959.95</v>
      </c>
    </row>
    <row r="1192" spans="1:7" ht="12.75" customHeight="1">
      <c r="A1192" s="190" t="str">
        <f>'2011'!C192</f>
        <v>Waldungen</v>
      </c>
      <c r="B1192" s="190">
        <f>'2011'!D192</f>
        <v>0</v>
      </c>
      <c r="C1192" s="190">
        <f>'2011'!E192</f>
        <v>0</v>
      </c>
      <c r="D1192" s="190">
        <f>'2011'!F192</f>
        <v>0</v>
      </c>
      <c r="E1192" s="190">
        <f>'2011'!G192</f>
        <v>0</v>
      </c>
      <c r="F1192" s="190">
        <f>'2011'!H192</f>
        <v>803222</v>
      </c>
      <c r="G1192" s="190">
        <f>'2011'!I192</f>
        <v>803222</v>
      </c>
    </row>
    <row r="1193" spans="1:7" ht="12.75" customHeight="1">
      <c r="A1193" s="190" t="str">
        <f>'2011'!C193</f>
        <v>Mobilien</v>
      </c>
      <c r="B1193" s="190">
        <f>'2011'!D193</f>
        <v>178389.9</v>
      </c>
      <c r="C1193" s="190">
        <f>'2011'!E193</f>
        <v>372841.55</v>
      </c>
      <c r="D1193" s="190">
        <f>'2011'!F193</f>
        <v>833910.25</v>
      </c>
      <c r="E1193" s="190">
        <f>'2011'!G193</f>
        <v>1385141.7</v>
      </c>
      <c r="F1193" s="190">
        <f>'2011'!H193</f>
        <v>1467356</v>
      </c>
      <c r="G1193" s="190">
        <f>'2011'!I193</f>
        <v>2852497.7</v>
      </c>
    </row>
    <row r="1194" spans="1:7" ht="12.75" customHeight="1">
      <c r="A1194" s="190" t="str">
        <f>'2011'!C194</f>
        <v>Übrige Sachanlagen</v>
      </c>
      <c r="B1194" s="190">
        <f>'2011'!D194</f>
        <v>0</v>
      </c>
      <c r="C1194" s="190">
        <f>'2011'!E194</f>
        <v>0</v>
      </c>
      <c r="D1194" s="190">
        <f>'2011'!F194</f>
        <v>0</v>
      </c>
      <c r="E1194" s="190">
        <f>'2011'!G194</f>
        <v>0</v>
      </c>
      <c r="F1194" s="190">
        <f>'2011'!H194</f>
        <v>26262</v>
      </c>
      <c r="G1194" s="190">
        <f>'2011'!I194</f>
        <v>26262</v>
      </c>
    </row>
    <row r="1195" spans="1:7" ht="12.75" customHeight="1">
      <c r="A1195" s="190" t="str">
        <f>'2011'!C195</f>
        <v>Sachanlagen</v>
      </c>
      <c r="B1195" s="190">
        <f>'2011'!D195</f>
        <v>7107548.220000001</v>
      </c>
      <c r="C1195" s="190">
        <f>'2011'!E195</f>
        <v>3028344.3</v>
      </c>
      <c r="D1195" s="190">
        <f>'2011'!F195</f>
        <v>5188694.4799999995</v>
      </c>
      <c r="E1195" s="190">
        <f>'2011'!G195</f>
        <v>15324587</v>
      </c>
      <c r="F1195" s="190">
        <f>'2011'!H195</f>
        <v>11527649</v>
      </c>
      <c r="G1195" s="190">
        <f>'2011'!I195</f>
        <v>26852236</v>
      </c>
    </row>
    <row r="1196" spans="1:7" ht="12.75" customHeight="1">
      <c r="A1196" s="190" t="str">
        <f>'2011'!C196</f>
        <v>Grundstücke</v>
      </c>
      <c r="B1196" s="190">
        <f>'2011'!D196</f>
        <v>0</v>
      </c>
      <c r="C1196" s="190">
        <f>'2011'!E196</f>
        <v>0</v>
      </c>
      <c r="D1196" s="190">
        <f>'2011'!F196</f>
        <v>0</v>
      </c>
      <c r="E1196" s="190">
        <f>'2011'!G196</f>
        <v>0</v>
      </c>
      <c r="F1196" s="190">
        <f>'2011'!H196</f>
        <v>0</v>
      </c>
      <c r="G1196" s="190">
        <f>'2011'!I196</f>
        <v>0</v>
      </c>
    </row>
    <row r="1197" spans="1:7" ht="12.75" customHeight="1">
      <c r="A1197" s="190" t="str">
        <f>'2011'!C197</f>
        <v>Strassen/Verkehrswege</v>
      </c>
      <c r="B1197" s="190">
        <f>'2011'!D197</f>
        <v>0</v>
      </c>
      <c r="C1197" s="190">
        <f>'2011'!E197</f>
        <v>0</v>
      </c>
      <c r="D1197" s="190">
        <f>'2011'!F197</f>
        <v>0</v>
      </c>
      <c r="E1197" s="190">
        <f>'2011'!G197</f>
        <v>0</v>
      </c>
      <c r="F1197" s="190">
        <f>'2011'!H197</f>
        <v>0</v>
      </c>
      <c r="G1197" s="190">
        <f>'2011'!I197</f>
        <v>0</v>
      </c>
    </row>
    <row r="1198" spans="1:7" ht="12.75" customHeight="1">
      <c r="A1198" s="190" t="str">
        <f>'2011'!C198</f>
        <v>Wasserbau</v>
      </c>
      <c r="B1198" s="190">
        <f>'2011'!D198</f>
        <v>0</v>
      </c>
      <c r="C1198" s="190">
        <f>'2011'!E198</f>
        <v>0</v>
      </c>
      <c r="D1198" s="190">
        <f>'2011'!F198</f>
        <v>0</v>
      </c>
      <c r="E1198" s="190">
        <f>'2011'!G198</f>
        <v>0</v>
      </c>
      <c r="F1198" s="190">
        <f>'2011'!H198</f>
        <v>0</v>
      </c>
      <c r="G1198" s="190">
        <f>'2011'!I198</f>
        <v>0</v>
      </c>
    </row>
    <row r="1199" spans="1:7" ht="12.75" customHeight="1">
      <c r="A1199" s="190" t="str">
        <f>'2011'!C199</f>
        <v>Übriger Tiefbau</v>
      </c>
      <c r="B1199" s="190">
        <f>'2011'!D199</f>
        <v>0</v>
      </c>
      <c r="C1199" s="190">
        <f>'2011'!E199</f>
        <v>0</v>
      </c>
      <c r="D1199" s="190">
        <f>'2011'!F199</f>
        <v>0</v>
      </c>
      <c r="E1199" s="190">
        <f>'2011'!G199</f>
        <v>0</v>
      </c>
      <c r="F1199" s="190">
        <f>'2011'!H199</f>
        <v>0</v>
      </c>
      <c r="G1199" s="190">
        <f>'2011'!I199</f>
        <v>0</v>
      </c>
    </row>
    <row r="1200" spans="1:7" ht="12.75" customHeight="1">
      <c r="A1200" s="190" t="str">
        <f>'2011'!C200</f>
        <v>Hochbauten</v>
      </c>
      <c r="B1200" s="190">
        <f>'2011'!D200</f>
        <v>0</v>
      </c>
      <c r="C1200" s="190">
        <f>'2011'!E200</f>
        <v>0</v>
      </c>
      <c r="D1200" s="190">
        <f>'2011'!F200</f>
        <v>0</v>
      </c>
      <c r="E1200" s="190">
        <f>'2011'!G200</f>
        <v>0</v>
      </c>
      <c r="F1200" s="190">
        <f>'2011'!H200</f>
        <v>0</v>
      </c>
      <c r="G1200" s="190">
        <f>'2011'!I200</f>
        <v>0</v>
      </c>
    </row>
    <row r="1201" spans="1:7" ht="12.75" customHeight="1">
      <c r="A1201" s="190" t="str">
        <f>'2011'!C201</f>
        <v>Waldungen</v>
      </c>
      <c r="B1201" s="190">
        <f>'2011'!D201</f>
        <v>0</v>
      </c>
      <c r="C1201" s="190">
        <f>'2011'!E201</f>
        <v>0</v>
      </c>
      <c r="D1201" s="190">
        <f>'2011'!F201</f>
        <v>0</v>
      </c>
      <c r="E1201" s="190">
        <f>'2011'!G201</f>
        <v>0</v>
      </c>
      <c r="F1201" s="190">
        <f>'2011'!H201</f>
        <v>0</v>
      </c>
      <c r="G1201" s="190">
        <f>'2011'!I201</f>
        <v>0</v>
      </c>
    </row>
    <row r="1202" spans="1:7" ht="12.75" customHeight="1">
      <c r="A1202" s="190" t="str">
        <f>'2011'!C202</f>
        <v>Mobilien</v>
      </c>
      <c r="B1202" s="190">
        <f>'2011'!D202</f>
        <v>0</v>
      </c>
      <c r="C1202" s="190">
        <f>'2011'!E202</f>
        <v>0</v>
      </c>
      <c r="D1202" s="190">
        <f>'2011'!F202</f>
        <v>0</v>
      </c>
      <c r="E1202" s="190">
        <f>'2011'!G202</f>
        <v>0</v>
      </c>
      <c r="F1202" s="190">
        <f>'2011'!H202</f>
        <v>0</v>
      </c>
      <c r="G1202" s="190">
        <f>'2011'!I202</f>
        <v>0</v>
      </c>
    </row>
    <row r="1203" spans="1:7" ht="12.75" customHeight="1">
      <c r="A1203" s="190" t="str">
        <f>'2011'!C203</f>
        <v>Übrige Sachanlagen</v>
      </c>
      <c r="B1203" s="190">
        <f>'2011'!D203</f>
        <v>0</v>
      </c>
      <c r="C1203" s="190">
        <f>'2011'!E203</f>
        <v>0</v>
      </c>
      <c r="D1203" s="190">
        <f>'2011'!F203</f>
        <v>0</v>
      </c>
      <c r="E1203" s="190">
        <f>'2011'!G203</f>
        <v>0</v>
      </c>
      <c r="F1203" s="190">
        <f>'2011'!H203</f>
        <v>0</v>
      </c>
      <c r="G1203" s="190">
        <f>'2011'!I203</f>
        <v>0</v>
      </c>
    </row>
    <row r="1204" spans="1:7" ht="12.75" customHeight="1">
      <c r="A1204" s="190" t="str">
        <f>'2011'!C204</f>
        <v>Investitionen auf Rechnung Dritter</v>
      </c>
      <c r="B1204" s="190">
        <f>'2011'!D204</f>
        <v>0</v>
      </c>
      <c r="C1204" s="190">
        <f>'2011'!E204</f>
        <v>0</v>
      </c>
      <c r="D1204" s="190">
        <f>'2011'!F204</f>
        <v>0</v>
      </c>
      <c r="E1204" s="190">
        <f>'2011'!G204</f>
        <v>0</v>
      </c>
      <c r="F1204" s="190">
        <f>'2011'!H204</f>
        <v>0</v>
      </c>
      <c r="G1204" s="190">
        <f>'2011'!I204</f>
        <v>0</v>
      </c>
    </row>
    <row r="1205" spans="1:7" ht="12.75" customHeight="1">
      <c r="A1205" s="190" t="str">
        <f>'2011'!C205</f>
        <v>Software</v>
      </c>
      <c r="B1205" s="190">
        <f>'2011'!D205</f>
        <v>0</v>
      </c>
      <c r="C1205" s="190">
        <f>'2011'!E205</f>
        <v>0</v>
      </c>
      <c r="D1205" s="190">
        <f>'2011'!F205</f>
        <v>0</v>
      </c>
      <c r="E1205" s="190">
        <f>'2011'!G205</f>
        <v>0</v>
      </c>
      <c r="F1205" s="190">
        <f>'2011'!H205</f>
        <v>783883</v>
      </c>
      <c r="G1205" s="190">
        <f>'2011'!I205</f>
        <v>783883</v>
      </c>
    </row>
    <row r="1206" spans="1:7" ht="12.75" customHeight="1">
      <c r="A1206" s="190" t="str">
        <f>'2011'!C206</f>
        <v>Patente/Lizenzen</v>
      </c>
      <c r="B1206" s="190">
        <f>'2011'!D206</f>
        <v>0</v>
      </c>
      <c r="C1206" s="190">
        <f>'2011'!E206</f>
        <v>0</v>
      </c>
      <c r="D1206" s="190">
        <f>'2011'!F206</f>
        <v>0</v>
      </c>
      <c r="E1206" s="190">
        <f>'2011'!G206</f>
        <v>0</v>
      </c>
      <c r="F1206" s="190">
        <f>'2011'!H206</f>
        <v>0</v>
      </c>
      <c r="G1206" s="190">
        <f>'2011'!I206</f>
        <v>0</v>
      </c>
    </row>
    <row r="1207" spans="1:7" ht="12.75" customHeight="1">
      <c r="A1207" s="190" t="str">
        <f>'2011'!C207</f>
        <v>Übrige immaterielle Anlagen</v>
      </c>
      <c r="B1207" s="190">
        <f>'2011'!D207</f>
        <v>372319.18</v>
      </c>
      <c r="C1207" s="190">
        <f>'2011'!E207</f>
        <v>328031.7</v>
      </c>
      <c r="D1207" s="190">
        <f>'2011'!F207</f>
        <v>63289.5</v>
      </c>
      <c r="E1207" s="190">
        <f>'2011'!G207</f>
        <v>763640.38</v>
      </c>
      <c r="F1207" s="190">
        <f>'2011'!H207</f>
        <v>493420</v>
      </c>
      <c r="G1207" s="190">
        <f>'2011'!I207</f>
        <v>1257060.38</v>
      </c>
    </row>
    <row r="1208" spans="1:7" ht="12.75" customHeight="1">
      <c r="A1208" s="190" t="str">
        <f>'2011'!C208</f>
        <v>Immaterielle Anlagen</v>
      </c>
      <c r="B1208" s="190">
        <f>'2011'!D208</f>
        <v>372319.18</v>
      </c>
      <c r="C1208" s="190">
        <f>'2011'!E208</f>
        <v>328031.7</v>
      </c>
      <c r="D1208" s="190">
        <f>'2011'!F208</f>
        <v>63289.5</v>
      </c>
      <c r="E1208" s="190">
        <f>'2011'!G208</f>
        <v>763640.38</v>
      </c>
      <c r="F1208" s="190">
        <f>'2011'!H208</f>
        <v>1277303</v>
      </c>
      <c r="G1208" s="190">
        <f>'2011'!I208</f>
        <v>2040943.38</v>
      </c>
    </row>
    <row r="1209" spans="1:7" ht="12.75" customHeight="1">
      <c r="A1209" s="190" t="str">
        <f>'2011'!C209</f>
        <v>Bund</v>
      </c>
      <c r="B1209" s="190">
        <f>'2011'!D209</f>
        <v>0</v>
      </c>
      <c r="C1209" s="190">
        <f>'2011'!E209</f>
        <v>0</v>
      </c>
      <c r="D1209" s="190">
        <f>'2011'!F209</f>
        <v>0</v>
      </c>
      <c r="E1209" s="190">
        <f>'2011'!G209</f>
        <v>0</v>
      </c>
      <c r="F1209" s="190">
        <f>'2011'!H209</f>
        <v>0</v>
      </c>
      <c r="G1209" s="190">
        <f>'2011'!I209</f>
        <v>0</v>
      </c>
    </row>
    <row r="1210" spans="1:7" ht="12.75" customHeight="1">
      <c r="A1210" s="190" t="str">
        <f>'2011'!C210</f>
        <v>Kantone und Konkordate</v>
      </c>
      <c r="B1210" s="190">
        <f>'2011'!D210</f>
        <v>0</v>
      </c>
      <c r="C1210" s="190">
        <f>'2011'!E210</f>
        <v>0</v>
      </c>
      <c r="D1210" s="190">
        <f>'2011'!F210</f>
        <v>0</v>
      </c>
      <c r="E1210" s="190">
        <f>'2011'!G210</f>
        <v>0</v>
      </c>
      <c r="F1210" s="190">
        <f>'2011'!H210</f>
        <v>0</v>
      </c>
      <c r="G1210" s="190">
        <f>'2011'!I210</f>
        <v>0</v>
      </c>
    </row>
    <row r="1211" spans="1:7" ht="12.75" customHeight="1">
      <c r="A1211" s="190" t="str">
        <f>'2011'!C211</f>
        <v>Gemeinden und Gemeindezweckverbände</v>
      </c>
      <c r="B1211" s="190">
        <f>'2011'!D211</f>
        <v>0</v>
      </c>
      <c r="C1211" s="190">
        <f>'2011'!E211</f>
        <v>0</v>
      </c>
      <c r="D1211" s="190">
        <f>'2011'!F211</f>
        <v>0</v>
      </c>
      <c r="E1211" s="190">
        <f>'2011'!G211</f>
        <v>0</v>
      </c>
      <c r="F1211" s="190">
        <f>'2011'!H211</f>
        <v>70000</v>
      </c>
      <c r="G1211" s="190">
        <f>'2011'!I211</f>
        <v>70000</v>
      </c>
    </row>
    <row r="1212" spans="1:7" ht="12.75" customHeight="1">
      <c r="A1212" s="190" t="str">
        <f>'2011'!C212</f>
        <v>Öffentliche Sozialversicherungen</v>
      </c>
      <c r="B1212" s="190">
        <f>'2011'!D212</f>
        <v>0</v>
      </c>
      <c r="C1212" s="190">
        <f>'2011'!E212</f>
        <v>0</v>
      </c>
      <c r="D1212" s="190">
        <f>'2011'!F212</f>
        <v>0</v>
      </c>
      <c r="E1212" s="190">
        <f>'2011'!G212</f>
        <v>0</v>
      </c>
      <c r="F1212" s="190">
        <f>'2011'!H212</f>
        <v>0</v>
      </c>
      <c r="G1212" s="190">
        <f>'2011'!I212</f>
        <v>0</v>
      </c>
    </row>
    <row r="1213" spans="1:7" ht="12.75" customHeight="1">
      <c r="A1213" s="190" t="str">
        <f>'2011'!C213</f>
        <v>Öffentliche Unternehmungen</v>
      </c>
      <c r="B1213" s="190">
        <f>'2011'!D213</f>
        <v>0</v>
      </c>
      <c r="C1213" s="190">
        <f>'2011'!E213</f>
        <v>0</v>
      </c>
      <c r="D1213" s="190">
        <f>'2011'!F213</f>
        <v>0</v>
      </c>
      <c r="E1213" s="190">
        <f>'2011'!G213</f>
        <v>0</v>
      </c>
      <c r="F1213" s="190">
        <f>'2011'!H213</f>
        <v>0</v>
      </c>
      <c r="G1213" s="190">
        <f>'2011'!I213</f>
        <v>0</v>
      </c>
    </row>
    <row r="1214" spans="1:7" ht="12.75" customHeight="1">
      <c r="A1214" s="190" t="str">
        <f>'2011'!C214</f>
        <v>Private Unternehmungen</v>
      </c>
      <c r="B1214" s="190">
        <f>'2011'!D214</f>
        <v>0</v>
      </c>
      <c r="C1214" s="190">
        <f>'2011'!E214</f>
        <v>0</v>
      </c>
      <c r="D1214" s="190">
        <f>'2011'!F214</f>
        <v>0</v>
      </c>
      <c r="E1214" s="190">
        <f>'2011'!G214</f>
        <v>0</v>
      </c>
      <c r="F1214" s="190">
        <f>'2011'!H214</f>
        <v>0</v>
      </c>
      <c r="G1214" s="190">
        <f>'2011'!I214</f>
        <v>0</v>
      </c>
    </row>
    <row r="1215" spans="1:7" ht="12.75" customHeight="1">
      <c r="A1215" s="190" t="str">
        <f>'2011'!C215</f>
        <v>Private Organisationen ohne Erwerbszweck</v>
      </c>
      <c r="B1215" s="190">
        <f>'2011'!D215</f>
        <v>0</v>
      </c>
      <c r="C1215" s="190">
        <f>'2011'!E215</f>
        <v>0</v>
      </c>
      <c r="D1215" s="190">
        <f>'2011'!F215</f>
        <v>0</v>
      </c>
      <c r="E1215" s="190">
        <f>'2011'!G215</f>
        <v>0</v>
      </c>
      <c r="F1215" s="190">
        <f>'2011'!H215</f>
        <v>0</v>
      </c>
      <c r="G1215" s="190">
        <f>'2011'!I215</f>
        <v>0</v>
      </c>
    </row>
    <row r="1216" spans="1:7" ht="12.75" customHeight="1">
      <c r="A1216" s="190" t="str">
        <f>'2011'!C216</f>
        <v>Private Haushalte</v>
      </c>
      <c r="B1216" s="190">
        <f>'2011'!D216</f>
        <v>0</v>
      </c>
      <c r="C1216" s="190">
        <f>'2011'!E216</f>
        <v>0</v>
      </c>
      <c r="D1216" s="190">
        <f>'2011'!F216</f>
        <v>0</v>
      </c>
      <c r="E1216" s="190">
        <f>'2011'!G216</f>
        <v>0</v>
      </c>
      <c r="F1216" s="190">
        <f>'2011'!H216</f>
        <v>0</v>
      </c>
      <c r="G1216" s="190">
        <f>'2011'!I216</f>
        <v>0</v>
      </c>
    </row>
    <row r="1217" spans="1:7" ht="12.75" customHeight="1">
      <c r="A1217" s="190" t="str">
        <f>'2011'!C217</f>
        <v>Ausland</v>
      </c>
      <c r="B1217" s="190">
        <f>'2011'!D217</f>
        <v>0</v>
      </c>
      <c r="C1217" s="190">
        <f>'2011'!E217</f>
        <v>0</v>
      </c>
      <c r="D1217" s="190">
        <f>'2011'!F217</f>
        <v>0</v>
      </c>
      <c r="E1217" s="190">
        <f>'2011'!G217</f>
        <v>0</v>
      </c>
      <c r="F1217" s="190">
        <f>'2011'!H217</f>
        <v>0</v>
      </c>
      <c r="G1217" s="190">
        <f>'2011'!I217</f>
        <v>0</v>
      </c>
    </row>
    <row r="1218" spans="1:7" ht="12.75" customHeight="1">
      <c r="A1218" s="190" t="str">
        <f>'2011'!C218</f>
        <v>Darlehen</v>
      </c>
      <c r="B1218" s="190">
        <f>'2011'!D218</f>
        <v>0</v>
      </c>
      <c r="C1218" s="190">
        <f>'2011'!E218</f>
        <v>0</v>
      </c>
      <c r="D1218" s="190">
        <f>'2011'!F218</f>
        <v>0</v>
      </c>
      <c r="E1218" s="190">
        <f>'2011'!G218</f>
        <v>0</v>
      </c>
      <c r="F1218" s="190">
        <f>'2011'!H218</f>
        <v>70000</v>
      </c>
      <c r="G1218" s="190">
        <f>'2011'!I218</f>
        <v>70000</v>
      </c>
    </row>
    <row r="1219" spans="1:7" ht="12.75" customHeight="1">
      <c r="A1219" s="190" t="str">
        <f>'2011'!C219</f>
        <v>Bund</v>
      </c>
      <c r="B1219" s="190">
        <f>'2011'!D219</f>
        <v>0</v>
      </c>
      <c r="C1219" s="190">
        <f>'2011'!E219</f>
        <v>0</v>
      </c>
      <c r="D1219" s="190">
        <f>'2011'!F219</f>
        <v>0</v>
      </c>
      <c r="E1219" s="190">
        <f>'2011'!G219</f>
        <v>0</v>
      </c>
      <c r="F1219" s="190">
        <f>'2011'!H219</f>
        <v>0</v>
      </c>
      <c r="G1219" s="190">
        <f>'2011'!I219</f>
        <v>0</v>
      </c>
    </row>
    <row r="1220" spans="1:7" ht="12.75" customHeight="1">
      <c r="A1220" s="190" t="str">
        <f>'2011'!C220</f>
        <v>Kantone und Konkordate</v>
      </c>
      <c r="B1220" s="190">
        <f>'2011'!D220</f>
        <v>0</v>
      </c>
      <c r="C1220" s="190">
        <f>'2011'!E220</f>
        <v>0</v>
      </c>
      <c r="D1220" s="190">
        <f>'2011'!F220</f>
        <v>0</v>
      </c>
      <c r="E1220" s="190">
        <f>'2011'!G220</f>
        <v>0</v>
      </c>
      <c r="F1220" s="190">
        <f>'2011'!H220</f>
        <v>0</v>
      </c>
      <c r="G1220" s="190">
        <f>'2011'!I220</f>
        <v>0</v>
      </c>
    </row>
    <row r="1221" spans="1:7" ht="12.75" customHeight="1">
      <c r="A1221" s="190" t="str">
        <f>'2011'!C221</f>
        <v>Gemeinden und Gemeindezweckverbände</v>
      </c>
      <c r="B1221" s="190">
        <f>'2011'!D221</f>
        <v>0</v>
      </c>
      <c r="C1221" s="190">
        <f>'2011'!E221</f>
        <v>0</v>
      </c>
      <c r="D1221" s="190">
        <f>'2011'!F221</f>
        <v>0</v>
      </c>
      <c r="E1221" s="190">
        <f>'2011'!G221</f>
        <v>0</v>
      </c>
      <c r="F1221" s="190">
        <f>'2011'!H221</f>
        <v>0</v>
      </c>
      <c r="G1221" s="190">
        <f>'2011'!I221</f>
        <v>0</v>
      </c>
    </row>
    <row r="1222" spans="1:7" ht="12.75" customHeight="1">
      <c r="A1222" s="190" t="str">
        <f>'2011'!C222</f>
        <v>Öffentliche Sozialversicherungen</v>
      </c>
      <c r="B1222" s="190">
        <f>'2011'!D222</f>
        <v>0</v>
      </c>
      <c r="C1222" s="190">
        <f>'2011'!E222</f>
        <v>0</v>
      </c>
      <c r="D1222" s="190">
        <f>'2011'!F222</f>
        <v>0</v>
      </c>
      <c r="E1222" s="190">
        <f>'2011'!G222</f>
        <v>0</v>
      </c>
      <c r="F1222" s="190">
        <f>'2011'!H222</f>
        <v>0</v>
      </c>
      <c r="G1222" s="190">
        <f>'2011'!I222</f>
        <v>0</v>
      </c>
    </row>
    <row r="1223" spans="1:7" ht="12.75" customHeight="1">
      <c r="A1223" s="190" t="str">
        <f>'2011'!C223</f>
        <v>Öffentliche Unternehmungen</v>
      </c>
      <c r="B1223" s="190">
        <f>'2011'!D223</f>
        <v>0</v>
      </c>
      <c r="C1223" s="190">
        <f>'2011'!E223</f>
        <v>0</v>
      </c>
      <c r="D1223" s="190">
        <f>'2011'!F223</f>
        <v>0</v>
      </c>
      <c r="E1223" s="190">
        <f>'2011'!G223</f>
        <v>0</v>
      </c>
      <c r="F1223" s="190">
        <f>'2011'!H223</f>
        <v>40000</v>
      </c>
      <c r="G1223" s="190">
        <f>'2011'!I223</f>
        <v>40000</v>
      </c>
    </row>
    <row r="1224" spans="1:7" ht="12.75" customHeight="1">
      <c r="A1224" s="190" t="str">
        <f>'2011'!C224</f>
        <v>Private Unternehmungen</v>
      </c>
      <c r="B1224" s="190">
        <f>'2011'!D224</f>
        <v>0</v>
      </c>
      <c r="C1224" s="190">
        <f>'2011'!E224</f>
        <v>0</v>
      </c>
      <c r="D1224" s="190">
        <f>'2011'!F224</f>
        <v>0</v>
      </c>
      <c r="E1224" s="190">
        <f>'2011'!G224</f>
        <v>0</v>
      </c>
      <c r="F1224" s="190">
        <f>'2011'!H224</f>
        <v>0</v>
      </c>
      <c r="G1224" s="190">
        <f>'2011'!I224</f>
        <v>0</v>
      </c>
    </row>
    <row r="1225" spans="1:7" ht="12.75" customHeight="1">
      <c r="A1225" s="190" t="str">
        <f>'2011'!C225</f>
        <v>Private Organisationen ohne Erwerbszweck</v>
      </c>
      <c r="B1225" s="190">
        <f>'2011'!D225</f>
        <v>0</v>
      </c>
      <c r="C1225" s="190">
        <f>'2011'!E225</f>
        <v>0</v>
      </c>
      <c r="D1225" s="190">
        <f>'2011'!F225</f>
        <v>0</v>
      </c>
      <c r="E1225" s="190">
        <f>'2011'!G225</f>
        <v>0</v>
      </c>
      <c r="F1225" s="190">
        <f>'2011'!H225</f>
        <v>0</v>
      </c>
      <c r="G1225" s="190">
        <f>'2011'!I225</f>
        <v>0</v>
      </c>
    </row>
    <row r="1226" spans="1:7" ht="12.75" customHeight="1">
      <c r="A1226" s="190" t="str">
        <f>'2011'!C226</f>
        <v>Private Haushalte</v>
      </c>
      <c r="B1226" s="190">
        <f>'2011'!D226</f>
        <v>0</v>
      </c>
      <c r="C1226" s="190">
        <f>'2011'!E226</f>
        <v>0</v>
      </c>
      <c r="D1226" s="190">
        <f>'2011'!F226</f>
        <v>0</v>
      </c>
      <c r="E1226" s="190">
        <f>'2011'!G226</f>
        <v>0</v>
      </c>
      <c r="F1226" s="190">
        <f>'2011'!H226</f>
        <v>0</v>
      </c>
      <c r="G1226" s="190">
        <f>'2011'!I226</f>
        <v>0</v>
      </c>
    </row>
    <row r="1227" spans="1:7" ht="12.75" customHeight="1">
      <c r="A1227" s="190" t="str">
        <f>'2011'!C227</f>
        <v>Ausland</v>
      </c>
      <c r="B1227" s="190">
        <f>'2011'!D227</f>
        <v>0</v>
      </c>
      <c r="C1227" s="190">
        <f>'2011'!E227</f>
        <v>0</v>
      </c>
      <c r="D1227" s="190">
        <f>'2011'!F227</f>
        <v>0</v>
      </c>
      <c r="E1227" s="190">
        <f>'2011'!G227</f>
        <v>0</v>
      </c>
      <c r="F1227" s="190">
        <f>'2011'!H227</f>
        <v>0</v>
      </c>
      <c r="G1227" s="190">
        <f>'2011'!I227</f>
        <v>0</v>
      </c>
    </row>
    <row r="1228" spans="1:7" ht="12.75" customHeight="1">
      <c r="A1228" s="190" t="str">
        <f>'2011'!C228</f>
        <v>Beteiligungen und Grundkapitalien</v>
      </c>
      <c r="B1228" s="190">
        <f>'2011'!D228</f>
        <v>0</v>
      </c>
      <c r="C1228" s="190">
        <f>'2011'!E228</f>
        <v>0</v>
      </c>
      <c r="D1228" s="190">
        <f>'2011'!F228</f>
        <v>0</v>
      </c>
      <c r="E1228" s="190">
        <f>'2011'!G228</f>
        <v>0</v>
      </c>
      <c r="F1228" s="190">
        <f>'2011'!H228</f>
        <v>40000</v>
      </c>
      <c r="G1228" s="190">
        <f>'2011'!I228</f>
        <v>40000</v>
      </c>
    </row>
    <row r="1229" spans="1:7" ht="12.75" customHeight="1">
      <c r="A1229" s="190" t="str">
        <f>'2011'!C229</f>
        <v>Bund</v>
      </c>
      <c r="B1229" s="190">
        <f>'2011'!D229</f>
        <v>0</v>
      </c>
      <c r="C1229" s="190">
        <f>'2011'!E229</f>
        <v>0</v>
      </c>
      <c r="D1229" s="190">
        <f>'2011'!F229</f>
        <v>0</v>
      </c>
      <c r="E1229" s="190">
        <f>'2011'!G229</f>
        <v>0</v>
      </c>
      <c r="F1229" s="190">
        <f>'2011'!H229</f>
        <v>0</v>
      </c>
      <c r="G1229" s="190">
        <f>'2011'!I229</f>
        <v>0</v>
      </c>
    </row>
    <row r="1230" spans="1:7" ht="12.75" customHeight="1">
      <c r="A1230" s="190" t="str">
        <f>'2011'!C230</f>
        <v>Kantone und Konkordate</v>
      </c>
      <c r="B1230" s="190">
        <f>'2011'!D230</f>
        <v>171507.95</v>
      </c>
      <c r="C1230" s="190">
        <f>'2011'!E230</f>
        <v>51311.9</v>
      </c>
      <c r="D1230" s="190">
        <f>'2011'!F230</f>
        <v>406378.4</v>
      </c>
      <c r="E1230" s="190">
        <f>'2011'!G230</f>
        <v>629198.25</v>
      </c>
      <c r="F1230" s="190">
        <f>'2011'!H230</f>
        <v>3242223</v>
      </c>
      <c r="G1230" s="190">
        <f>'2011'!I230</f>
        <v>3871421.25</v>
      </c>
    </row>
    <row r="1231" spans="1:7" ht="12.75" customHeight="1">
      <c r="A1231" s="190" t="str">
        <f>'2011'!C231</f>
        <v>Gemeinden und Gemeindezweckverbände</v>
      </c>
      <c r="B1231" s="190">
        <f>'2011'!D231</f>
        <v>0</v>
      </c>
      <c r="C1231" s="190">
        <f>'2011'!E231</f>
        <v>0</v>
      </c>
      <c r="D1231" s="190">
        <f>'2011'!F231</f>
        <v>0</v>
      </c>
      <c r="E1231" s="190">
        <f>'2011'!G231</f>
        <v>0</v>
      </c>
      <c r="F1231" s="190">
        <f>'2011'!H231</f>
        <v>6831786</v>
      </c>
      <c r="G1231" s="190">
        <f>'2011'!I231</f>
        <v>6831786</v>
      </c>
    </row>
    <row r="1232" spans="1:7" ht="12.75" customHeight="1">
      <c r="A1232" s="190" t="str">
        <f>'2011'!C232</f>
        <v>Öffentliche Sozialversicherungen</v>
      </c>
      <c r="B1232" s="190">
        <f>'2011'!D232</f>
        <v>0</v>
      </c>
      <c r="C1232" s="190">
        <f>'2011'!E232</f>
        <v>0</v>
      </c>
      <c r="D1232" s="190">
        <f>'2011'!F232</f>
        <v>0</v>
      </c>
      <c r="E1232" s="190">
        <f>'2011'!G232</f>
        <v>0</v>
      </c>
      <c r="F1232" s="190">
        <f>'2011'!H232</f>
        <v>0</v>
      </c>
      <c r="G1232" s="190">
        <f>'2011'!I232</f>
        <v>0</v>
      </c>
    </row>
    <row r="1233" spans="1:7" ht="12.75" customHeight="1">
      <c r="A1233" s="190" t="str">
        <f>'2011'!C233</f>
        <v>Öffentliche Unternehmungen</v>
      </c>
      <c r="B1233" s="190">
        <f>'2011'!D233</f>
        <v>0</v>
      </c>
      <c r="C1233" s="190">
        <f>'2011'!E233</f>
        <v>0</v>
      </c>
      <c r="D1233" s="190">
        <f>'2011'!F233</f>
        <v>0</v>
      </c>
      <c r="E1233" s="190">
        <f>'2011'!G233</f>
        <v>0</v>
      </c>
      <c r="F1233" s="190">
        <f>'2011'!H233</f>
        <v>505504</v>
      </c>
      <c r="G1233" s="190">
        <f>'2011'!I233</f>
        <v>505504</v>
      </c>
    </row>
    <row r="1234" spans="1:7" ht="12.75" customHeight="1">
      <c r="A1234" s="190" t="str">
        <f>'2011'!C234</f>
        <v>Private Unternehmungen</v>
      </c>
      <c r="B1234" s="190">
        <f>'2011'!D234</f>
        <v>0</v>
      </c>
      <c r="C1234" s="190">
        <f>'2011'!E234</f>
        <v>0</v>
      </c>
      <c r="D1234" s="190">
        <f>'2011'!F234</f>
        <v>0</v>
      </c>
      <c r="E1234" s="190">
        <f>'2011'!G234</f>
        <v>0</v>
      </c>
      <c r="F1234" s="190">
        <f>'2011'!H234</f>
        <v>133544</v>
      </c>
      <c r="G1234" s="190">
        <f>'2011'!I234</f>
        <v>133544</v>
      </c>
    </row>
    <row r="1235" spans="1:7" ht="12.75" customHeight="1">
      <c r="A1235" s="190" t="str">
        <f>'2011'!C235</f>
        <v>Private Organisationen ohne Erwerbszweck</v>
      </c>
      <c r="B1235" s="190">
        <f>'2011'!D235</f>
        <v>0</v>
      </c>
      <c r="C1235" s="190">
        <f>'2011'!E235</f>
        <v>0</v>
      </c>
      <c r="D1235" s="190">
        <f>'2011'!F235</f>
        <v>0</v>
      </c>
      <c r="E1235" s="190">
        <f>'2011'!G235</f>
        <v>0</v>
      </c>
      <c r="F1235" s="190">
        <f>'2011'!H235</f>
        <v>2211206</v>
      </c>
      <c r="G1235" s="190">
        <f>'2011'!I235</f>
        <v>2211206</v>
      </c>
    </row>
    <row r="1236" spans="1:7" ht="12.75" customHeight="1">
      <c r="A1236" s="190" t="str">
        <f>'2011'!C236</f>
        <v>Private Haushalte</v>
      </c>
      <c r="B1236" s="190">
        <f>'2011'!D236</f>
        <v>0</v>
      </c>
      <c r="C1236" s="190">
        <f>'2011'!E236</f>
        <v>0</v>
      </c>
      <c r="D1236" s="190">
        <f>'2011'!F236</f>
        <v>0</v>
      </c>
      <c r="E1236" s="190">
        <f>'2011'!G236</f>
        <v>0</v>
      </c>
      <c r="F1236" s="190">
        <f>'2011'!H236</f>
        <v>693544</v>
      </c>
      <c r="G1236" s="190">
        <f>'2011'!I236</f>
        <v>693544</v>
      </c>
    </row>
    <row r="1237" spans="1:7" ht="12.75" customHeight="1">
      <c r="A1237" s="190" t="str">
        <f>'2011'!C237</f>
        <v>Ausland</v>
      </c>
      <c r="B1237" s="190">
        <f>'2011'!D237</f>
        <v>0</v>
      </c>
      <c r="C1237" s="190">
        <f>'2011'!E237</f>
        <v>0</v>
      </c>
      <c r="D1237" s="190">
        <f>'2011'!F237</f>
        <v>0</v>
      </c>
      <c r="E1237" s="190">
        <f>'2011'!G237</f>
        <v>0</v>
      </c>
      <c r="F1237" s="190">
        <f>'2011'!H237</f>
        <v>0</v>
      </c>
      <c r="G1237" s="190">
        <f>'2011'!I237</f>
        <v>0</v>
      </c>
    </row>
    <row r="1238" spans="1:7" ht="12.75" customHeight="1">
      <c r="A1238" s="190" t="str">
        <f>'2011'!C238</f>
        <v>Eigene Investitionsbeiträge</v>
      </c>
      <c r="B1238" s="190">
        <f>'2011'!D238</f>
        <v>171507.95</v>
      </c>
      <c r="C1238" s="190">
        <f>'2011'!E238</f>
        <v>51311.9</v>
      </c>
      <c r="D1238" s="190">
        <f>'2011'!F238</f>
        <v>406378.4</v>
      </c>
      <c r="E1238" s="190">
        <f>'2011'!G238</f>
        <v>629198.25</v>
      </c>
      <c r="F1238" s="190">
        <f>'2011'!H238</f>
        <v>13617807</v>
      </c>
      <c r="G1238" s="190">
        <f>'2011'!I238</f>
        <v>14247005.25</v>
      </c>
    </row>
    <row r="1239" spans="1:7" ht="12.75" customHeight="1">
      <c r="A1239" s="190" t="str">
        <f>'2011'!C239</f>
        <v>Bund</v>
      </c>
      <c r="B1239" s="190">
        <f>'2011'!D239</f>
        <v>0</v>
      </c>
      <c r="C1239" s="190">
        <f>'2011'!E239</f>
        <v>0</v>
      </c>
      <c r="D1239" s="190">
        <f>'2011'!F239</f>
        <v>0</v>
      </c>
      <c r="E1239" s="190">
        <f>'2011'!G239</f>
        <v>0</v>
      </c>
      <c r="F1239" s="190">
        <f>'2011'!H239</f>
        <v>0</v>
      </c>
      <c r="G1239" s="190">
        <f>'2011'!I239</f>
        <v>0</v>
      </c>
    </row>
    <row r="1240" spans="1:7" ht="12.75" customHeight="1">
      <c r="A1240" s="190" t="str">
        <f>'2011'!C240</f>
        <v>Kantone und Konkordate</v>
      </c>
      <c r="B1240" s="190">
        <f>'2011'!D240</f>
        <v>0</v>
      </c>
      <c r="C1240" s="190">
        <f>'2011'!E240</f>
        <v>0</v>
      </c>
      <c r="D1240" s="190">
        <f>'2011'!F240</f>
        <v>0</v>
      </c>
      <c r="E1240" s="190">
        <f>'2011'!G240</f>
        <v>0</v>
      </c>
      <c r="F1240" s="190">
        <f>'2011'!H240</f>
        <v>0</v>
      </c>
      <c r="G1240" s="190">
        <f>'2011'!I240</f>
        <v>0</v>
      </c>
    </row>
    <row r="1241" spans="1:7" ht="12.75" customHeight="1">
      <c r="A1241" s="190" t="str">
        <f>'2011'!C241</f>
        <v>Gemeinden und Gemeindezweckverbände</v>
      </c>
      <c r="B1241" s="190">
        <f>'2011'!D241</f>
        <v>0</v>
      </c>
      <c r="C1241" s="190">
        <f>'2011'!E241</f>
        <v>0</v>
      </c>
      <c r="D1241" s="190">
        <f>'2011'!F241</f>
        <v>0</v>
      </c>
      <c r="E1241" s="190">
        <f>'2011'!G241</f>
        <v>0</v>
      </c>
      <c r="F1241" s="190">
        <f>'2011'!H241</f>
        <v>3322449</v>
      </c>
      <c r="G1241" s="190">
        <f>'2011'!I241</f>
        <v>3322449</v>
      </c>
    </row>
    <row r="1242" spans="1:7" ht="12.75" customHeight="1">
      <c r="A1242" s="190" t="str">
        <f>'2011'!C242</f>
        <v>Öffentliche Sozialversicherungen</v>
      </c>
      <c r="B1242" s="190">
        <f>'2011'!D242</f>
        <v>0</v>
      </c>
      <c r="C1242" s="190">
        <f>'2011'!E242</f>
        <v>0</v>
      </c>
      <c r="D1242" s="190">
        <f>'2011'!F242</f>
        <v>0</v>
      </c>
      <c r="E1242" s="190">
        <f>'2011'!G242</f>
        <v>0</v>
      </c>
      <c r="F1242" s="190">
        <f>'2011'!H242</f>
        <v>0</v>
      </c>
      <c r="G1242" s="190">
        <f>'2011'!I242</f>
        <v>0</v>
      </c>
    </row>
    <row r="1243" spans="1:7" ht="12.75" customHeight="1">
      <c r="A1243" s="190" t="str">
        <f>'2011'!C243</f>
        <v>Öffentliche Unternehmungen</v>
      </c>
      <c r="B1243" s="190">
        <f>'2011'!D243</f>
        <v>0</v>
      </c>
      <c r="C1243" s="190">
        <f>'2011'!E243</f>
        <v>0</v>
      </c>
      <c r="D1243" s="190">
        <f>'2011'!F243</f>
        <v>0</v>
      </c>
      <c r="E1243" s="190">
        <f>'2011'!G243</f>
        <v>0</v>
      </c>
      <c r="F1243" s="190">
        <f>'2011'!H243</f>
        <v>0</v>
      </c>
      <c r="G1243" s="190">
        <f>'2011'!I243</f>
        <v>0</v>
      </c>
    </row>
    <row r="1244" spans="1:7" ht="12.75" customHeight="1">
      <c r="A1244" s="190" t="str">
        <f>'2011'!C244</f>
        <v>Private Unternehmungen</v>
      </c>
      <c r="B1244" s="190">
        <f>'2011'!D244</f>
        <v>0</v>
      </c>
      <c r="C1244" s="190">
        <f>'2011'!E244</f>
        <v>0</v>
      </c>
      <c r="D1244" s="190">
        <f>'2011'!F244</f>
        <v>0</v>
      </c>
      <c r="E1244" s="190">
        <f>'2011'!G244</f>
        <v>0</v>
      </c>
      <c r="F1244" s="190">
        <f>'2011'!H244</f>
        <v>0</v>
      </c>
      <c r="G1244" s="190">
        <f>'2011'!I244</f>
        <v>0</v>
      </c>
    </row>
    <row r="1245" spans="1:7" ht="12.75" customHeight="1">
      <c r="A1245" s="190" t="str">
        <f>'2011'!C245</f>
        <v>Private Organisationen ohne Erwerbszweck</v>
      </c>
      <c r="B1245" s="190">
        <f>'2011'!D245</f>
        <v>0</v>
      </c>
      <c r="C1245" s="190">
        <f>'2011'!E245</f>
        <v>0</v>
      </c>
      <c r="D1245" s="190">
        <f>'2011'!F245</f>
        <v>0</v>
      </c>
      <c r="E1245" s="190">
        <f>'2011'!G245</f>
        <v>0</v>
      </c>
      <c r="F1245" s="190">
        <f>'2011'!H245</f>
        <v>0</v>
      </c>
      <c r="G1245" s="190">
        <f>'2011'!I245</f>
        <v>0</v>
      </c>
    </row>
    <row r="1246" spans="1:7" ht="12.75" customHeight="1">
      <c r="A1246" s="190" t="str">
        <f>'2011'!C246</f>
        <v>Private Haushalte</v>
      </c>
      <c r="B1246" s="190">
        <f>'2011'!D246</f>
        <v>0</v>
      </c>
      <c r="C1246" s="190">
        <f>'2011'!E246</f>
        <v>0</v>
      </c>
      <c r="D1246" s="190">
        <f>'2011'!F246</f>
        <v>0</v>
      </c>
      <c r="E1246" s="190">
        <f>'2011'!G246</f>
        <v>0</v>
      </c>
      <c r="F1246" s="190">
        <f>'2011'!H246</f>
        <v>284889</v>
      </c>
      <c r="G1246" s="190">
        <f>'2011'!I246</f>
        <v>284889</v>
      </c>
    </row>
    <row r="1247" spans="1:7" ht="12.75" customHeight="1">
      <c r="A1247" s="190" t="str">
        <f>'2011'!C247</f>
        <v>Ausland</v>
      </c>
      <c r="B1247" s="190">
        <f>'2011'!D247</f>
        <v>0</v>
      </c>
      <c r="C1247" s="190">
        <f>'2011'!E247</f>
        <v>0</v>
      </c>
      <c r="D1247" s="190">
        <f>'2011'!F247</f>
        <v>0</v>
      </c>
      <c r="E1247" s="190">
        <f>'2011'!G247</f>
        <v>0</v>
      </c>
      <c r="F1247" s="190">
        <f>'2011'!H247</f>
        <v>0</v>
      </c>
      <c r="G1247" s="190">
        <f>'2011'!I247</f>
        <v>0</v>
      </c>
    </row>
    <row r="1248" spans="1:7" ht="12.75" customHeight="1">
      <c r="A1248" s="190" t="str">
        <f>'2011'!C248</f>
        <v>Durchlaufende Investitionsbeiträge</v>
      </c>
      <c r="B1248" s="190">
        <f>'2011'!D248</f>
        <v>0</v>
      </c>
      <c r="C1248" s="190">
        <f>'2011'!E248</f>
        <v>0</v>
      </c>
      <c r="D1248" s="190">
        <f>'2011'!F248</f>
        <v>0</v>
      </c>
      <c r="E1248" s="190">
        <f>'2011'!G248</f>
        <v>0</v>
      </c>
      <c r="F1248" s="190">
        <f>'2011'!H248</f>
        <v>3607338</v>
      </c>
      <c r="G1248" s="190">
        <f>'2011'!I248</f>
        <v>3607338</v>
      </c>
    </row>
    <row r="1249" spans="1:7" ht="12.75" customHeight="1">
      <c r="A1249" s="190" t="str">
        <f>'2011'!C249</f>
        <v>A.o. Investitionen für Sachanlagen</v>
      </c>
      <c r="B1249" s="190">
        <f>'2011'!D249</f>
        <v>0</v>
      </c>
      <c r="C1249" s="190">
        <f>'2011'!E249</f>
        <v>0</v>
      </c>
      <c r="D1249" s="190">
        <f>'2011'!F249</f>
        <v>0</v>
      </c>
      <c r="E1249" s="190">
        <f>'2011'!G249</f>
        <v>0</v>
      </c>
      <c r="F1249" s="190">
        <f>'2011'!H249</f>
        <v>0</v>
      </c>
      <c r="G1249" s="190">
        <f>'2011'!I249</f>
        <v>0</v>
      </c>
    </row>
    <row r="1250" spans="1:7" ht="12.75" customHeight="1">
      <c r="A1250" s="190" t="str">
        <f>'2011'!C250</f>
        <v>A.o. Investitionen für Immaterielle Anlagen</v>
      </c>
      <c r="B1250" s="190">
        <f>'2011'!D250</f>
        <v>0</v>
      </c>
      <c r="C1250" s="190">
        <f>'2011'!E250</f>
        <v>0</v>
      </c>
      <c r="D1250" s="190">
        <f>'2011'!F250</f>
        <v>0</v>
      </c>
      <c r="E1250" s="190">
        <f>'2011'!G250</f>
        <v>0</v>
      </c>
      <c r="F1250" s="190">
        <f>'2011'!H250</f>
        <v>0</v>
      </c>
      <c r="G1250" s="190">
        <f>'2011'!I250</f>
        <v>0</v>
      </c>
    </row>
    <row r="1251" spans="1:7" ht="12.75" customHeight="1">
      <c r="A1251" s="190" t="str">
        <f>'2011'!C251</f>
        <v>A.o. Investitionen für Darlehen</v>
      </c>
      <c r="B1251" s="190">
        <f>'2011'!D251</f>
        <v>0</v>
      </c>
      <c r="C1251" s="190">
        <f>'2011'!E251</f>
        <v>0</v>
      </c>
      <c r="D1251" s="190">
        <f>'2011'!F251</f>
        <v>0</v>
      </c>
      <c r="E1251" s="190">
        <f>'2011'!G251</f>
        <v>0</v>
      </c>
      <c r="F1251" s="190">
        <f>'2011'!H251</f>
        <v>0</v>
      </c>
      <c r="G1251" s="190">
        <f>'2011'!I251</f>
        <v>0</v>
      </c>
    </row>
    <row r="1252" spans="1:7" ht="12.75" customHeight="1">
      <c r="A1252" s="190" t="str">
        <f>'2011'!C252</f>
        <v>A.o. Investitionen für Beteilig.u. Grundkapitalien</v>
      </c>
      <c r="B1252" s="190">
        <f>'2011'!D252</f>
        <v>0</v>
      </c>
      <c r="C1252" s="190">
        <f>'2011'!E252</f>
        <v>0</v>
      </c>
      <c r="D1252" s="190">
        <f>'2011'!F252</f>
        <v>0</v>
      </c>
      <c r="E1252" s="190">
        <f>'2011'!G252</f>
        <v>0</v>
      </c>
      <c r="F1252" s="190">
        <f>'2011'!H252</f>
        <v>0</v>
      </c>
      <c r="G1252" s="190">
        <f>'2011'!I252</f>
        <v>0</v>
      </c>
    </row>
    <row r="1253" spans="1:7" ht="12.75" customHeight="1">
      <c r="A1253" s="190" t="str">
        <f>'2011'!C253</f>
        <v>A.o. Investitionsbeiträge</v>
      </c>
      <c r="B1253" s="190">
        <f>'2011'!D253</f>
        <v>0</v>
      </c>
      <c r="C1253" s="190">
        <f>'2011'!E253</f>
        <v>0</v>
      </c>
      <c r="D1253" s="190">
        <f>'2011'!F253</f>
        <v>0</v>
      </c>
      <c r="E1253" s="190">
        <f>'2011'!G253</f>
        <v>0</v>
      </c>
      <c r="F1253" s="190">
        <f>'2011'!H253</f>
        <v>0</v>
      </c>
      <c r="G1253" s="190">
        <f>'2011'!I253</f>
        <v>0</v>
      </c>
    </row>
    <row r="1254" spans="1:7" ht="12.75" customHeight="1">
      <c r="A1254" s="190" t="str">
        <f>'2011'!C254</f>
        <v>Übrige ausserordentliche Investitionen</v>
      </c>
      <c r="B1254" s="190">
        <f>'2011'!D254</f>
        <v>0</v>
      </c>
      <c r="C1254" s="190">
        <f>'2011'!E254</f>
        <v>0</v>
      </c>
      <c r="D1254" s="190">
        <f>'2011'!F254</f>
        <v>0</v>
      </c>
      <c r="E1254" s="190">
        <f>'2011'!G254</f>
        <v>0</v>
      </c>
      <c r="F1254" s="190">
        <f>'2011'!H254</f>
        <v>0</v>
      </c>
      <c r="G1254" s="190">
        <f>'2011'!I254</f>
        <v>0</v>
      </c>
    </row>
    <row r="1255" spans="1:7" ht="12.75" customHeight="1">
      <c r="A1255" s="190" t="str">
        <f>'2011'!C255</f>
        <v>Ausserordentliche Investitionen</v>
      </c>
      <c r="B1255" s="190">
        <f>'2011'!D255</f>
        <v>0</v>
      </c>
      <c r="C1255" s="190">
        <f>'2011'!E255</f>
        <v>0</v>
      </c>
      <c r="D1255" s="190">
        <f>'2011'!F255</f>
        <v>0</v>
      </c>
      <c r="E1255" s="190">
        <f>'2011'!G255</f>
        <v>0</v>
      </c>
      <c r="F1255" s="190">
        <f>'2011'!H255</f>
        <v>0</v>
      </c>
      <c r="G1255" s="190">
        <f>'2011'!I255</f>
        <v>0</v>
      </c>
    </row>
    <row r="1256" spans="1:7" ht="12.75" customHeight="1">
      <c r="A1256" s="190" t="str">
        <f>'2011'!C256</f>
        <v>Investitionsausgaben</v>
      </c>
      <c r="B1256" s="190">
        <f>'2011'!D256</f>
        <v>7651375.350000001</v>
      </c>
      <c r="C1256" s="190">
        <f>'2011'!E256</f>
        <v>3407687.9</v>
      </c>
      <c r="D1256" s="190">
        <f>'2011'!F256</f>
        <v>5658362.38</v>
      </c>
      <c r="E1256" s="190">
        <f>'2011'!G256</f>
        <v>16717425.63</v>
      </c>
      <c r="F1256" s="190">
        <f>'2011'!H256</f>
        <v>30140097</v>
      </c>
      <c r="G1256" s="190">
        <f>'2011'!I256</f>
        <v>46857522.629999995</v>
      </c>
    </row>
    <row r="1257" spans="1:7" ht="12.75" customHeight="1">
      <c r="A1257" s="190">
        <f>'2011'!C257</f>
        <v>0</v>
      </c>
      <c r="B1257" s="190">
        <f>'2011'!D257</f>
        <v>0</v>
      </c>
      <c r="C1257" s="190">
        <f>'2011'!E257</f>
        <v>0</v>
      </c>
      <c r="D1257" s="190">
        <f>'2011'!F257</f>
        <v>0</v>
      </c>
      <c r="E1257" s="190">
        <f>'2011'!G257</f>
        <v>0</v>
      </c>
      <c r="F1257" s="190">
        <f>'2011'!H257</f>
        <v>0</v>
      </c>
      <c r="G1257" s="190">
        <f>'2011'!I257</f>
        <v>0</v>
      </c>
    </row>
    <row r="1258" spans="1:7" ht="12.75" customHeight="1">
      <c r="A1258" s="190" t="str">
        <f>'2011'!C258</f>
        <v>Einnahmen</v>
      </c>
      <c r="B1258" s="190">
        <f>'2011'!D258</f>
        <v>0</v>
      </c>
      <c r="C1258" s="190">
        <f>'2011'!E258</f>
        <v>0</v>
      </c>
      <c r="D1258" s="190">
        <f>'2011'!F258</f>
        <v>0</v>
      </c>
      <c r="E1258" s="190">
        <f>'2011'!G258</f>
        <v>0</v>
      </c>
      <c r="F1258" s="190">
        <f>'2011'!H258</f>
        <v>0</v>
      </c>
      <c r="G1258" s="190">
        <f>'2011'!I258</f>
        <v>0</v>
      </c>
    </row>
    <row r="1259" spans="1:7" ht="12.75" customHeight="1">
      <c r="A1259" s="190" t="str">
        <f>'2011'!C259</f>
        <v>Übertragung von Grundstücken</v>
      </c>
      <c r="B1259" s="190">
        <f>'2011'!D259</f>
        <v>0</v>
      </c>
      <c r="C1259" s="190">
        <f>'2011'!E259</f>
        <v>0</v>
      </c>
      <c r="D1259" s="190">
        <f>'2011'!F259</f>
        <v>0</v>
      </c>
      <c r="E1259" s="190">
        <f>'2011'!G259</f>
        <v>0</v>
      </c>
      <c r="F1259" s="190">
        <f>'2011'!H259</f>
        <v>0</v>
      </c>
      <c r="G1259" s="190">
        <f>'2011'!I259</f>
        <v>0</v>
      </c>
    </row>
    <row r="1260" spans="1:7" ht="12.75" customHeight="1">
      <c r="A1260" s="190" t="str">
        <f>'2011'!C260</f>
        <v>Übertragung von Strassen / Verkehrswegen</v>
      </c>
      <c r="B1260" s="190">
        <f>'2011'!D260</f>
        <v>0</v>
      </c>
      <c r="C1260" s="190">
        <f>'2011'!E260</f>
        <v>0</v>
      </c>
      <c r="D1260" s="190">
        <f>'2011'!F260</f>
        <v>0</v>
      </c>
      <c r="E1260" s="190">
        <f>'2011'!G260</f>
        <v>0</v>
      </c>
      <c r="F1260" s="190">
        <f>'2011'!H260</f>
        <v>0</v>
      </c>
      <c r="G1260" s="190">
        <f>'2011'!I260</f>
        <v>0</v>
      </c>
    </row>
    <row r="1261" spans="1:7" ht="12.75" customHeight="1">
      <c r="A1261" s="190" t="str">
        <f>'2011'!C261</f>
        <v>Übertragung von Wasserbauten</v>
      </c>
      <c r="B1261" s="190">
        <f>'2011'!D261</f>
        <v>0</v>
      </c>
      <c r="C1261" s="190">
        <f>'2011'!E261</f>
        <v>0</v>
      </c>
      <c r="D1261" s="190">
        <f>'2011'!F261</f>
        <v>0</v>
      </c>
      <c r="E1261" s="190">
        <f>'2011'!G261</f>
        <v>0</v>
      </c>
      <c r="F1261" s="190">
        <f>'2011'!H261</f>
        <v>0</v>
      </c>
      <c r="G1261" s="190">
        <f>'2011'!I261</f>
        <v>0</v>
      </c>
    </row>
    <row r="1262" spans="1:7" ht="12.75" customHeight="1">
      <c r="A1262" s="190" t="str">
        <f>'2011'!C262</f>
        <v>Übertragung übrige Tiefbauten</v>
      </c>
      <c r="B1262" s="190">
        <f>'2011'!D262</f>
        <v>0</v>
      </c>
      <c r="C1262" s="190">
        <f>'2011'!E262</f>
        <v>0</v>
      </c>
      <c r="D1262" s="190">
        <f>'2011'!F262</f>
        <v>0</v>
      </c>
      <c r="E1262" s="190">
        <f>'2011'!G262</f>
        <v>0</v>
      </c>
      <c r="F1262" s="190">
        <f>'2011'!H262</f>
        <v>0</v>
      </c>
      <c r="G1262" s="190">
        <f>'2011'!I262</f>
        <v>0</v>
      </c>
    </row>
    <row r="1263" spans="1:7" ht="12.75" customHeight="1">
      <c r="A1263" s="190" t="str">
        <f>'2011'!C263</f>
        <v>Übertragung Hochbauten</v>
      </c>
      <c r="B1263" s="190">
        <f>'2011'!D263</f>
        <v>0</v>
      </c>
      <c r="C1263" s="190">
        <f>'2011'!E263</f>
        <v>0</v>
      </c>
      <c r="D1263" s="190">
        <f>'2011'!F263</f>
        <v>0</v>
      </c>
      <c r="E1263" s="190">
        <f>'2011'!G263</f>
        <v>0</v>
      </c>
      <c r="F1263" s="190">
        <f>'2011'!H263</f>
        <v>0</v>
      </c>
      <c r="G1263" s="190">
        <f>'2011'!I263</f>
        <v>0</v>
      </c>
    </row>
    <row r="1264" spans="1:7" ht="12.75" customHeight="1">
      <c r="A1264" s="190" t="str">
        <f>'2011'!C264</f>
        <v>Übertragung Waldungen</v>
      </c>
      <c r="B1264" s="190">
        <f>'2011'!D264</f>
        <v>0</v>
      </c>
      <c r="C1264" s="190">
        <f>'2011'!E264</f>
        <v>0</v>
      </c>
      <c r="D1264" s="190">
        <f>'2011'!F264</f>
        <v>0</v>
      </c>
      <c r="E1264" s="190">
        <f>'2011'!G264</f>
        <v>0</v>
      </c>
      <c r="F1264" s="190">
        <f>'2011'!H264</f>
        <v>0</v>
      </c>
      <c r="G1264" s="190">
        <f>'2011'!I264</f>
        <v>0</v>
      </c>
    </row>
    <row r="1265" spans="1:7" ht="12.75" customHeight="1">
      <c r="A1265" s="190" t="str">
        <f>'2011'!C265</f>
        <v>Übertragung Mobilien</v>
      </c>
      <c r="B1265" s="190">
        <f>'2011'!D265</f>
        <v>0</v>
      </c>
      <c r="C1265" s="190">
        <f>'2011'!E265</f>
        <v>0</v>
      </c>
      <c r="D1265" s="190">
        <f>'2011'!F265</f>
        <v>0</v>
      </c>
      <c r="E1265" s="190">
        <f>'2011'!G265</f>
        <v>0</v>
      </c>
      <c r="F1265" s="190">
        <f>'2011'!H265</f>
        <v>0</v>
      </c>
      <c r="G1265" s="190">
        <f>'2011'!I265</f>
        <v>0</v>
      </c>
    </row>
    <row r="1266" spans="1:7" ht="12.75" customHeight="1">
      <c r="A1266" s="190" t="str">
        <f>'2011'!C266</f>
        <v>Übertragung übrige Sachanlagen</v>
      </c>
      <c r="B1266" s="190">
        <f>'2011'!D266</f>
        <v>0</v>
      </c>
      <c r="C1266" s="190">
        <f>'2011'!E266</f>
        <v>0</v>
      </c>
      <c r="D1266" s="190">
        <f>'2011'!F266</f>
        <v>0</v>
      </c>
      <c r="E1266" s="190">
        <f>'2011'!G266</f>
        <v>0</v>
      </c>
      <c r="F1266" s="190">
        <f>'2011'!H266</f>
        <v>0</v>
      </c>
      <c r="G1266" s="190">
        <f>'2011'!I266</f>
        <v>0</v>
      </c>
    </row>
    <row r="1267" spans="1:7" ht="12.75" customHeight="1">
      <c r="A1267" s="190" t="str">
        <f>'2011'!C267</f>
        <v>Übertragung von Sachanlagen in das Finanzvermögen</v>
      </c>
      <c r="B1267" s="190">
        <f>'2011'!D267</f>
        <v>0</v>
      </c>
      <c r="C1267" s="190">
        <f>'2011'!E267</f>
        <v>0</v>
      </c>
      <c r="D1267" s="190">
        <f>'2011'!F267</f>
        <v>0</v>
      </c>
      <c r="E1267" s="190">
        <f>'2011'!G267</f>
        <v>0</v>
      </c>
      <c r="F1267" s="190">
        <f>'2011'!H267</f>
        <v>0</v>
      </c>
      <c r="G1267" s="190">
        <f>'2011'!I267</f>
        <v>0</v>
      </c>
    </row>
    <row r="1268" spans="1:7" ht="12.75" customHeight="1">
      <c r="A1268" s="190" t="str">
        <f>'2011'!C268</f>
        <v>Grundstücke</v>
      </c>
      <c r="B1268" s="190">
        <f>'2011'!D268</f>
        <v>0</v>
      </c>
      <c r="C1268" s="190">
        <f>'2011'!E268</f>
        <v>0</v>
      </c>
      <c r="D1268" s="190">
        <f>'2011'!F268</f>
        <v>0</v>
      </c>
      <c r="E1268" s="190">
        <f>'2011'!G268</f>
        <v>0</v>
      </c>
      <c r="F1268" s="190">
        <f>'2011'!H268</f>
        <v>0</v>
      </c>
      <c r="G1268" s="190">
        <f>'2011'!I268</f>
        <v>0</v>
      </c>
    </row>
    <row r="1269" spans="1:7" ht="12.75" customHeight="1">
      <c r="A1269" s="190" t="str">
        <f>'2011'!C269</f>
        <v>Strassen/Verkehrswege</v>
      </c>
      <c r="B1269" s="190">
        <f>'2011'!D269</f>
        <v>0</v>
      </c>
      <c r="C1269" s="190">
        <f>'2011'!E269</f>
        <v>0</v>
      </c>
      <c r="D1269" s="190">
        <f>'2011'!F269</f>
        <v>0</v>
      </c>
      <c r="E1269" s="190">
        <f>'2011'!G269</f>
        <v>0</v>
      </c>
      <c r="F1269" s="190">
        <f>'2011'!H269</f>
        <v>0</v>
      </c>
      <c r="G1269" s="190">
        <f>'2011'!I269</f>
        <v>0</v>
      </c>
    </row>
    <row r="1270" spans="1:7" ht="12.75" customHeight="1">
      <c r="A1270" s="190" t="str">
        <f>'2011'!C270</f>
        <v>Wasserbau</v>
      </c>
      <c r="B1270" s="190">
        <f>'2011'!D270</f>
        <v>0</v>
      </c>
      <c r="C1270" s="190">
        <f>'2011'!E270</f>
        <v>0</v>
      </c>
      <c r="D1270" s="190">
        <f>'2011'!F270</f>
        <v>0</v>
      </c>
      <c r="E1270" s="190">
        <f>'2011'!G270</f>
        <v>0</v>
      </c>
      <c r="F1270" s="190">
        <f>'2011'!H270</f>
        <v>0</v>
      </c>
      <c r="G1270" s="190">
        <f>'2011'!I270</f>
        <v>0</v>
      </c>
    </row>
    <row r="1271" spans="1:7" ht="12.75" customHeight="1">
      <c r="A1271" s="190" t="str">
        <f>'2011'!C271</f>
        <v>Tiefbau</v>
      </c>
      <c r="B1271" s="190">
        <f>'2011'!D271</f>
        <v>0</v>
      </c>
      <c r="C1271" s="190">
        <f>'2011'!E271</f>
        <v>0</v>
      </c>
      <c r="D1271" s="190">
        <f>'2011'!F271</f>
        <v>0</v>
      </c>
      <c r="E1271" s="190">
        <f>'2011'!G271</f>
        <v>0</v>
      </c>
      <c r="F1271" s="190">
        <f>'2011'!H271</f>
        <v>0</v>
      </c>
      <c r="G1271" s="190">
        <f>'2011'!I271</f>
        <v>0</v>
      </c>
    </row>
    <row r="1272" spans="1:7" ht="12.75" customHeight="1">
      <c r="A1272" s="190" t="str">
        <f>'2011'!C272</f>
        <v>Hochbauten</v>
      </c>
      <c r="B1272" s="190">
        <f>'2011'!D272</f>
        <v>0</v>
      </c>
      <c r="C1272" s="190">
        <f>'2011'!E272</f>
        <v>0</v>
      </c>
      <c r="D1272" s="190">
        <f>'2011'!F272</f>
        <v>0</v>
      </c>
      <c r="E1272" s="190">
        <f>'2011'!G272</f>
        <v>0</v>
      </c>
      <c r="F1272" s="190">
        <f>'2011'!H272</f>
        <v>0</v>
      </c>
      <c r="G1272" s="190">
        <f>'2011'!I272</f>
        <v>0</v>
      </c>
    </row>
    <row r="1273" spans="1:7" ht="12.75" customHeight="1">
      <c r="A1273" s="190" t="str">
        <f>'2011'!C273</f>
        <v>Waldungen</v>
      </c>
      <c r="B1273" s="190">
        <f>'2011'!D273</f>
        <v>0</v>
      </c>
      <c r="C1273" s="190">
        <f>'2011'!E273</f>
        <v>0</v>
      </c>
      <c r="D1273" s="190">
        <f>'2011'!F273</f>
        <v>0</v>
      </c>
      <c r="E1273" s="190">
        <f>'2011'!G273</f>
        <v>0</v>
      </c>
      <c r="F1273" s="190">
        <f>'2011'!H273</f>
        <v>0</v>
      </c>
      <c r="G1273" s="190">
        <f>'2011'!I273</f>
        <v>0</v>
      </c>
    </row>
    <row r="1274" spans="1:7" ht="12.75" customHeight="1">
      <c r="A1274" s="190" t="str">
        <f>'2011'!C274</f>
        <v>Mobilien</v>
      </c>
      <c r="B1274" s="190">
        <f>'2011'!D274</f>
        <v>0</v>
      </c>
      <c r="C1274" s="190">
        <f>'2011'!E274</f>
        <v>0</v>
      </c>
      <c r="D1274" s="190">
        <f>'2011'!F274</f>
        <v>0</v>
      </c>
      <c r="E1274" s="190">
        <f>'2011'!G274</f>
        <v>0</v>
      </c>
      <c r="F1274" s="190">
        <f>'2011'!H274</f>
        <v>0</v>
      </c>
      <c r="G1274" s="190">
        <f>'2011'!I274</f>
        <v>0</v>
      </c>
    </row>
    <row r="1275" spans="1:7" ht="12.75" customHeight="1">
      <c r="A1275" s="190" t="str">
        <f>'2011'!C275</f>
        <v>Verschiedene Sachanlagen</v>
      </c>
      <c r="B1275" s="190">
        <f>'2011'!D275</f>
        <v>0</v>
      </c>
      <c r="C1275" s="190">
        <f>'2011'!E275</f>
        <v>0</v>
      </c>
      <c r="D1275" s="190">
        <f>'2011'!F275</f>
        <v>0</v>
      </c>
      <c r="E1275" s="190">
        <f>'2011'!G275</f>
        <v>0</v>
      </c>
      <c r="F1275" s="190">
        <f>'2011'!H275</f>
        <v>0</v>
      </c>
      <c r="G1275" s="190">
        <f>'2011'!I275</f>
        <v>0</v>
      </c>
    </row>
    <row r="1276" spans="1:7" ht="12.75" customHeight="1">
      <c r="A1276" s="190" t="str">
        <f>'2011'!C276</f>
        <v>Rückerstattungen</v>
      </c>
      <c r="B1276" s="190">
        <f>'2011'!D276</f>
        <v>0</v>
      </c>
      <c r="C1276" s="190">
        <f>'2011'!E276</f>
        <v>0</v>
      </c>
      <c r="D1276" s="190">
        <f>'2011'!F276</f>
        <v>0</v>
      </c>
      <c r="E1276" s="190">
        <f>'2011'!G276</f>
        <v>0</v>
      </c>
      <c r="F1276" s="190">
        <f>'2011'!H276</f>
        <v>0</v>
      </c>
      <c r="G1276" s="190">
        <f>'2011'!I276</f>
        <v>0</v>
      </c>
    </row>
    <row r="1277" spans="1:7" ht="12.75" customHeight="1">
      <c r="A1277" s="190" t="str">
        <f>'2011'!C277</f>
        <v>Software</v>
      </c>
      <c r="B1277" s="190">
        <f>'2011'!D277</f>
        <v>0</v>
      </c>
      <c r="C1277" s="190">
        <f>'2011'!E277</f>
        <v>0</v>
      </c>
      <c r="D1277" s="190">
        <f>'2011'!F277</f>
        <v>0</v>
      </c>
      <c r="E1277" s="190">
        <f>'2011'!G277</f>
        <v>0</v>
      </c>
      <c r="F1277" s="190">
        <f>'2011'!H277</f>
        <v>0</v>
      </c>
      <c r="G1277" s="190">
        <f>'2011'!I277</f>
        <v>0</v>
      </c>
    </row>
    <row r="1278" spans="1:7" ht="12.75" customHeight="1">
      <c r="A1278" s="190" t="str">
        <f>'2011'!C278</f>
        <v>Patente/Lizenzen</v>
      </c>
      <c r="B1278" s="190">
        <f>'2011'!D278</f>
        <v>0</v>
      </c>
      <c r="C1278" s="190">
        <f>'2011'!E278</f>
        <v>0</v>
      </c>
      <c r="D1278" s="190">
        <f>'2011'!F278</f>
        <v>0</v>
      </c>
      <c r="E1278" s="190">
        <f>'2011'!G278</f>
        <v>0</v>
      </c>
      <c r="F1278" s="190">
        <f>'2011'!H278</f>
        <v>0</v>
      </c>
      <c r="G1278" s="190">
        <f>'2011'!I278</f>
        <v>0</v>
      </c>
    </row>
    <row r="1279" spans="1:7" ht="12.75" customHeight="1">
      <c r="A1279" s="190" t="str">
        <f>'2011'!C279</f>
        <v>Übrige immaterielle Anlagen</v>
      </c>
      <c r="B1279" s="190">
        <f>'2011'!D279</f>
        <v>0</v>
      </c>
      <c r="C1279" s="190">
        <f>'2011'!E279</f>
        <v>0</v>
      </c>
      <c r="D1279" s="190">
        <f>'2011'!F279</f>
        <v>0</v>
      </c>
      <c r="E1279" s="190">
        <f>'2011'!G279</f>
        <v>0</v>
      </c>
      <c r="F1279" s="190">
        <f>'2011'!H279</f>
        <v>0</v>
      </c>
      <c r="G1279" s="190">
        <f>'2011'!I279</f>
        <v>0</v>
      </c>
    </row>
    <row r="1280" spans="1:7" ht="12.75" customHeight="1">
      <c r="A1280" s="190" t="str">
        <f>'2011'!C280</f>
        <v>Abgang immaterielle Anlagen</v>
      </c>
      <c r="B1280" s="190">
        <f>'2011'!D280</f>
        <v>0</v>
      </c>
      <c r="C1280" s="190">
        <f>'2011'!E280</f>
        <v>0</v>
      </c>
      <c r="D1280" s="190">
        <f>'2011'!F280</f>
        <v>0</v>
      </c>
      <c r="E1280" s="190">
        <f>'2011'!G280</f>
        <v>0</v>
      </c>
      <c r="F1280" s="190">
        <f>'2011'!H280</f>
        <v>0</v>
      </c>
      <c r="G1280" s="190">
        <f>'2011'!I280</f>
        <v>0</v>
      </c>
    </row>
    <row r="1281" spans="1:7" ht="12.75" customHeight="1">
      <c r="A1281" s="190" t="str">
        <f>'2011'!C281</f>
        <v>Bund</v>
      </c>
      <c r="B1281" s="190">
        <f>'2011'!D281</f>
        <v>1099807.2</v>
      </c>
      <c r="C1281" s="190">
        <f>'2011'!E281</f>
        <v>18180.45</v>
      </c>
      <c r="D1281" s="190">
        <f>'2011'!F281</f>
        <v>0</v>
      </c>
      <c r="E1281" s="190">
        <f>'2011'!G281</f>
        <v>1117987.65</v>
      </c>
      <c r="F1281" s="190">
        <f>'2011'!H281</f>
        <v>8343276</v>
      </c>
      <c r="G1281" s="190">
        <f>'2011'!I281</f>
        <v>9461263.65</v>
      </c>
    </row>
    <row r="1282" spans="1:7" ht="12.75" customHeight="1">
      <c r="A1282" s="190" t="str">
        <f>'2011'!C282</f>
        <v>Kantone und Konkordate</v>
      </c>
      <c r="B1282" s="190">
        <f>'2011'!D282</f>
        <v>1661524.7</v>
      </c>
      <c r="C1282" s="190">
        <f>'2011'!E282</f>
        <v>1054983.25</v>
      </c>
      <c r="D1282" s="190">
        <f>'2011'!F282</f>
        <v>838405</v>
      </c>
      <c r="E1282" s="190">
        <f>'2011'!G282</f>
        <v>3554912.95</v>
      </c>
      <c r="F1282" s="190">
        <f>'2011'!H282</f>
        <v>0</v>
      </c>
      <c r="G1282" s="190">
        <f>'2011'!I282</f>
        <v>3554912.95</v>
      </c>
    </row>
    <row r="1283" spans="1:7" ht="12.75" customHeight="1">
      <c r="A1283" s="190" t="str">
        <f>'2011'!C283</f>
        <v>Gemeinden und Gemeindezweckverbände</v>
      </c>
      <c r="B1283" s="190">
        <f>'2011'!D283</f>
        <v>0</v>
      </c>
      <c r="C1283" s="190">
        <f>'2011'!E283</f>
        <v>0</v>
      </c>
      <c r="D1283" s="190">
        <f>'2011'!F283</f>
        <v>0</v>
      </c>
      <c r="E1283" s="190">
        <f>'2011'!G283</f>
        <v>0</v>
      </c>
      <c r="F1283" s="190">
        <f>'2011'!H283</f>
        <v>220951</v>
      </c>
      <c r="G1283" s="190">
        <f>'2011'!I283</f>
        <v>220951</v>
      </c>
    </row>
    <row r="1284" spans="1:7" ht="12.75" customHeight="1">
      <c r="A1284" s="190" t="str">
        <f>'2011'!C284</f>
        <v>Öffentliche Sozialversicherungen</v>
      </c>
      <c r="B1284" s="190">
        <f>'2011'!D284</f>
        <v>0</v>
      </c>
      <c r="C1284" s="190">
        <f>'2011'!E284</f>
        <v>0</v>
      </c>
      <c r="D1284" s="190">
        <f>'2011'!F284</f>
        <v>0</v>
      </c>
      <c r="E1284" s="190">
        <f>'2011'!G284</f>
        <v>0</v>
      </c>
      <c r="F1284" s="190">
        <f>'2011'!H284</f>
        <v>0</v>
      </c>
      <c r="G1284" s="190">
        <f>'2011'!I284</f>
        <v>0</v>
      </c>
    </row>
    <row r="1285" spans="1:7" ht="12.75" customHeight="1">
      <c r="A1285" s="190" t="str">
        <f>'2011'!C285</f>
        <v>Öffentliche Unternehmungen</v>
      </c>
      <c r="B1285" s="190">
        <f>'2011'!D285</f>
        <v>186819</v>
      </c>
      <c r="C1285" s="190">
        <f>'2011'!E285</f>
        <v>0</v>
      </c>
      <c r="D1285" s="190">
        <f>'2011'!F285</f>
        <v>464476</v>
      </c>
      <c r="E1285" s="190">
        <f>'2011'!G285</f>
        <v>651295</v>
      </c>
      <c r="F1285" s="190">
        <f>'2011'!H285</f>
        <v>0</v>
      </c>
      <c r="G1285" s="190">
        <f>'2011'!I285</f>
        <v>651295</v>
      </c>
    </row>
    <row r="1286" spans="1:7" ht="12.75" customHeight="1">
      <c r="A1286" s="190" t="str">
        <f>'2011'!C286</f>
        <v>Private Unternehmungen</v>
      </c>
      <c r="B1286" s="190">
        <f>'2011'!D286</f>
        <v>22968</v>
      </c>
      <c r="C1286" s="190">
        <f>'2011'!E286</f>
        <v>75884.1</v>
      </c>
      <c r="D1286" s="190">
        <f>'2011'!F286</f>
        <v>935764.4</v>
      </c>
      <c r="E1286" s="190">
        <f>'2011'!G286</f>
        <v>1034616.5</v>
      </c>
      <c r="F1286" s="190">
        <f>'2011'!H286</f>
        <v>0</v>
      </c>
      <c r="G1286" s="190">
        <f>'2011'!I286</f>
        <v>1034616.5</v>
      </c>
    </row>
    <row r="1287" spans="1:7" ht="12.75" customHeight="1">
      <c r="A1287" s="190" t="str">
        <f>'2011'!C287</f>
        <v>Private Organisationen ohne Erwerbszweck</v>
      </c>
      <c r="B1287" s="190">
        <f>'2011'!D287</f>
        <v>0</v>
      </c>
      <c r="C1287" s="190">
        <f>'2011'!E287</f>
        <v>0</v>
      </c>
      <c r="D1287" s="190">
        <f>'2011'!F287</f>
        <v>0</v>
      </c>
      <c r="E1287" s="190">
        <f>'2011'!G287</f>
        <v>0</v>
      </c>
      <c r="F1287" s="190">
        <f>'2011'!H287</f>
        <v>0</v>
      </c>
      <c r="G1287" s="190">
        <f>'2011'!I287</f>
        <v>0</v>
      </c>
    </row>
    <row r="1288" spans="1:7" ht="12.75" customHeight="1">
      <c r="A1288" s="190" t="str">
        <f>'2011'!C288</f>
        <v>Private Haushalte</v>
      </c>
      <c r="B1288" s="190">
        <f>'2011'!D288</f>
        <v>192679.4</v>
      </c>
      <c r="C1288" s="190">
        <f>'2011'!E288</f>
        <v>7084.4</v>
      </c>
      <c r="D1288" s="190">
        <f>'2011'!F288</f>
        <v>264969.5</v>
      </c>
      <c r="E1288" s="190">
        <f>'2011'!G288</f>
        <v>464733.3</v>
      </c>
      <c r="F1288" s="190">
        <f>'2011'!H288</f>
        <v>0</v>
      </c>
      <c r="G1288" s="190">
        <f>'2011'!I288</f>
        <v>464733.3</v>
      </c>
    </row>
    <row r="1289" spans="1:7" ht="12.75" customHeight="1">
      <c r="A1289" s="190" t="str">
        <f>'2011'!C289</f>
        <v>Ausland</v>
      </c>
      <c r="B1289" s="190">
        <f>'2011'!D289</f>
        <v>0</v>
      </c>
      <c r="C1289" s="190">
        <f>'2011'!E289</f>
        <v>0</v>
      </c>
      <c r="D1289" s="190">
        <f>'2011'!F289</f>
        <v>0</v>
      </c>
      <c r="E1289" s="190">
        <f>'2011'!G289</f>
        <v>0</v>
      </c>
      <c r="F1289" s="190">
        <f>'2011'!H289</f>
        <v>0</v>
      </c>
      <c r="G1289" s="190">
        <f>'2011'!I289</f>
        <v>0</v>
      </c>
    </row>
    <row r="1290" spans="1:7" ht="12.75" customHeight="1">
      <c r="A1290" s="190" t="str">
        <f>'2011'!C290</f>
        <v>Investitionsbeiträge für eigene Rechnung</v>
      </c>
      <c r="B1290" s="190">
        <f>'2011'!D290</f>
        <v>3163798.3</v>
      </c>
      <c r="C1290" s="190">
        <f>'2011'!E290</f>
        <v>1156132.2</v>
      </c>
      <c r="D1290" s="190">
        <f>'2011'!F290</f>
        <v>2503614.9</v>
      </c>
      <c r="E1290" s="190">
        <f>'2011'!G290</f>
        <v>6823545.399999999</v>
      </c>
      <c r="F1290" s="190">
        <f>'2011'!H290</f>
        <v>8564227</v>
      </c>
      <c r="G1290" s="190">
        <f>'2011'!I290</f>
        <v>15387772.400000002</v>
      </c>
    </row>
    <row r="1291" spans="1:7" ht="12.75" customHeight="1">
      <c r="A1291" s="190" t="str">
        <f>'2011'!C291</f>
        <v>Bund</v>
      </c>
      <c r="B1291" s="190">
        <f>'2011'!D291</f>
        <v>0</v>
      </c>
      <c r="C1291" s="190">
        <f>'2011'!E291</f>
        <v>0</v>
      </c>
      <c r="D1291" s="190">
        <f>'2011'!F291</f>
        <v>0</v>
      </c>
      <c r="E1291" s="190">
        <f>'2011'!G291</f>
        <v>0</v>
      </c>
      <c r="F1291" s="190">
        <f>'2011'!H291</f>
        <v>0</v>
      </c>
      <c r="G1291" s="190">
        <f>'2011'!I291</f>
        <v>0</v>
      </c>
    </row>
    <row r="1292" spans="1:7" ht="12.75" customHeight="1">
      <c r="A1292" s="190" t="str">
        <f>'2011'!C292</f>
        <v>Kantone und Konkordate</v>
      </c>
      <c r="B1292" s="190">
        <f>'2011'!D292</f>
        <v>0</v>
      </c>
      <c r="C1292" s="190">
        <f>'2011'!E292</f>
        <v>0</v>
      </c>
      <c r="D1292" s="190">
        <f>'2011'!F292</f>
        <v>0</v>
      </c>
      <c r="E1292" s="190">
        <f>'2011'!G292</f>
        <v>0</v>
      </c>
      <c r="F1292" s="190">
        <f>'2011'!H292</f>
        <v>0</v>
      </c>
      <c r="G1292" s="190">
        <f>'2011'!I292</f>
        <v>0</v>
      </c>
    </row>
    <row r="1293" spans="1:7" ht="12.75" customHeight="1">
      <c r="A1293" s="190" t="str">
        <f>'2011'!C293</f>
        <v>Gemeinden und Gemeindezweckverbände</v>
      </c>
      <c r="B1293" s="190">
        <f>'2011'!D293</f>
        <v>0</v>
      </c>
      <c r="C1293" s="190">
        <f>'2011'!E293</f>
        <v>0</v>
      </c>
      <c r="D1293" s="190">
        <f>'2011'!F293</f>
        <v>0</v>
      </c>
      <c r="E1293" s="190">
        <f>'2011'!G293</f>
        <v>0</v>
      </c>
      <c r="F1293" s="190">
        <f>'2011'!H293</f>
        <v>90400</v>
      </c>
      <c r="G1293" s="190">
        <f>'2011'!I293</f>
        <v>90400</v>
      </c>
    </row>
    <row r="1294" spans="1:7" ht="12.75" customHeight="1">
      <c r="A1294" s="190" t="str">
        <f>'2011'!C294</f>
        <v>Öffentliche Sozialversicherungen</v>
      </c>
      <c r="B1294" s="190">
        <f>'2011'!D294</f>
        <v>0</v>
      </c>
      <c r="C1294" s="190">
        <f>'2011'!E294</f>
        <v>0</v>
      </c>
      <c r="D1294" s="190">
        <f>'2011'!F294</f>
        <v>0</v>
      </c>
      <c r="E1294" s="190">
        <f>'2011'!G294</f>
        <v>0</v>
      </c>
      <c r="F1294" s="190">
        <f>'2011'!H294</f>
        <v>0</v>
      </c>
      <c r="G1294" s="190">
        <f>'2011'!I294</f>
        <v>0</v>
      </c>
    </row>
    <row r="1295" spans="1:7" ht="12.75" customHeight="1">
      <c r="A1295" s="190" t="str">
        <f>'2011'!C295</f>
        <v>Öffentliche Unternehmungen</v>
      </c>
      <c r="B1295" s="190">
        <f>'2011'!D295</f>
        <v>0</v>
      </c>
      <c r="C1295" s="190">
        <f>'2011'!E295</f>
        <v>0</v>
      </c>
      <c r="D1295" s="190">
        <f>'2011'!F295</f>
        <v>0</v>
      </c>
      <c r="E1295" s="190">
        <f>'2011'!G295</f>
        <v>0</v>
      </c>
      <c r="F1295" s="190">
        <f>'2011'!H295</f>
        <v>0</v>
      </c>
      <c r="G1295" s="190">
        <f>'2011'!I295</f>
        <v>0</v>
      </c>
    </row>
    <row r="1296" spans="1:7" ht="12.75" customHeight="1">
      <c r="A1296" s="190" t="str">
        <f>'2011'!C296</f>
        <v>Private Unternehmungen</v>
      </c>
      <c r="B1296" s="190">
        <f>'2011'!D296</f>
        <v>0</v>
      </c>
      <c r="C1296" s="190">
        <f>'2011'!E296</f>
        <v>0</v>
      </c>
      <c r="D1296" s="190">
        <f>'2011'!F296</f>
        <v>0</v>
      </c>
      <c r="E1296" s="190">
        <f>'2011'!G296</f>
        <v>0</v>
      </c>
      <c r="F1296" s="190">
        <f>'2011'!H296</f>
        <v>30400</v>
      </c>
      <c r="G1296" s="190">
        <f>'2011'!I296</f>
        <v>30400</v>
      </c>
    </row>
    <row r="1297" spans="1:7" ht="12.75" customHeight="1">
      <c r="A1297" s="190" t="str">
        <f>'2011'!C297</f>
        <v>Private Organisationen ohne Erwerbszweck</v>
      </c>
      <c r="B1297" s="190">
        <f>'2011'!D297</f>
        <v>0</v>
      </c>
      <c r="C1297" s="190">
        <f>'2011'!E297</f>
        <v>0</v>
      </c>
      <c r="D1297" s="190">
        <f>'2011'!F297</f>
        <v>0</v>
      </c>
      <c r="E1297" s="190">
        <f>'2011'!G297</f>
        <v>0</v>
      </c>
      <c r="F1297" s="190">
        <f>'2011'!H297</f>
        <v>0</v>
      </c>
      <c r="G1297" s="190">
        <f>'2011'!I297</f>
        <v>0</v>
      </c>
    </row>
    <row r="1298" spans="1:7" ht="12.75" customHeight="1">
      <c r="A1298" s="190" t="str">
        <f>'2011'!C298</f>
        <v>Private Haushalte</v>
      </c>
      <c r="B1298" s="190">
        <f>'2011'!D298</f>
        <v>0</v>
      </c>
      <c r="C1298" s="190">
        <f>'2011'!E298</f>
        <v>0</v>
      </c>
      <c r="D1298" s="190">
        <f>'2011'!F298</f>
        <v>0</v>
      </c>
      <c r="E1298" s="190">
        <f>'2011'!G298</f>
        <v>0</v>
      </c>
      <c r="F1298" s="190">
        <f>'2011'!H298</f>
        <v>162001</v>
      </c>
      <c r="G1298" s="190">
        <f>'2011'!I298</f>
        <v>162001</v>
      </c>
    </row>
    <row r="1299" spans="1:7" ht="12.75" customHeight="1">
      <c r="A1299" s="190" t="str">
        <f>'2011'!C299</f>
        <v>Ausland</v>
      </c>
      <c r="B1299" s="190">
        <f>'2011'!D299</f>
        <v>0</v>
      </c>
      <c r="C1299" s="190">
        <f>'2011'!E299</f>
        <v>0</v>
      </c>
      <c r="D1299" s="190">
        <f>'2011'!F299</f>
        <v>0</v>
      </c>
      <c r="E1299" s="190">
        <f>'2011'!G299</f>
        <v>0</v>
      </c>
      <c r="F1299" s="190">
        <f>'2011'!H299</f>
        <v>0</v>
      </c>
      <c r="G1299" s="190">
        <f>'2011'!I299</f>
        <v>0</v>
      </c>
    </row>
    <row r="1300" spans="1:7" ht="12.75" customHeight="1">
      <c r="A1300" s="190" t="str">
        <f>'2011'!C300</f>
        <v>Rückzahlung von Darlehen</v>
      </c>
      <c r="B1300" s="190">
        <f>'2011'!D300</f>
        <v>0</v>
      </c>
      <c r="C1300" s="190">
        <f>'2011'!E300</f>
        <v>0</v>
      </c>
      <c r="D1300" s="190">
        <f>'2011'!F300</f>
        <v>0</v>
      </c>
      <c r="E1300" s="190">
        <f>'2011'!G300</f>
        <v>0</v>
      </c>
      <c r="F1300" s="190">
        <f>'2011'!H300</f>
        <v>282801</v>
      </c>
      <c r="G1300" s="190">
        <f>'2011'!I300</f>
        <v>282801</v>
      </c>
    </row>
    <row r="1301" spans="1:7" ht="12.75" customHeight="1">
      <c r="A1301" s="190" t="str">
        <f>'2011'!C301</f>
        <v>Bund</v>
      </c>
      <c r="B1301" s="190">
        <f>'2011'!D301</f>
        <v>0</v>
      </c>
      <c r="C1301" s="190">
        <f>'2011'!E301</f>
        <v>0</v>
      </c>
      <c r="D1301" s="190">
        <f>'2011'!F301</f>
        <v>0</v>
      </c>
      <c r="E1301" s="190">
        <f>'2011'!G301</f>
        <v>0</v>
      </c>
      <c r="F1301" s="190">
        <f>'2011'!H301</f>
        <v>0</v>
      </c>
      <c r="G1301" s="190">
        <f>'2011'!I301</f>
        <v>0</v>
      </c>
    </row>
    <row r="1302" spans="1:7" ht="12.75" customHeight="1">
      <c r="A1302" s="190" t="str">
        <f>'2011'!C302</f>
        <v>Kantone und Konkordate</v>
      </c>
      <c r="B1302" s="190">
        <f>'2011'!D302</f>
        <v>0</v>
      </c>
      <c r="C1302" s="190">
        <f>'2011'!E302</f>
        <v>0</v>
      </c>
      <c r="D1302" s="190">
        <f>'2011'!F302</f>
        <v>0</v>
      </c>
      <c r="E1302" s="190">
        <f>'2011'!G302</f>
        <v>0</v>
      </c>
      <c r="F1302" s="190">
        <f>'2011'!H302</f>
        <v>0</v>
      </c>
      <c r="G1302" s="190">
        <f>'2011'!I302</f>
        <v>0</v>
      </c>
    </row>
    <row r="1303" spans="1:7" ht="12.75" customHeight="1">
      <c r="A1303" s="190" t="str">
        <f>'2011'!C303</f>
        <v>Gemeinden und Gemeindezweckverbände</v>
      </c>
      <c r="B1303" s="190">
        <f>'2011'!D303</f>
        <v>0</v>
      </c>
      <c r="C1303" s="190">
        <f>'2011'!E303</f>
        <v>0</v>
      </c>
      <c r="D1303" s="190">
        <f>'2011'!F303</f>
        <v>0</v>
      </c>
      <c r="E1303" s="190">
        <f>'2011'!G303</f>
        <v>0</v>
      </c>
      <c r="F1303" s="190">
        <f>'2011'!H303</f>
        <v>0</v>
      </c>
      <c r="G1303" s="190">
        <f>'2011'!I303</f>
        <v>0</v>
      </c>
    </row>
    <row r="1304" spans="1:7" ht="12.75" customHeight="1">
      <c r="A1304" s="190" t="str">
        <f>'2011'!C304</f>
        <v>Öffentliche Sozialversicherungen</v>
      </c>
      <c r="B1304" s="190">
        <f>'2011'!D304</f>
        <v>0</v>
      </c>
      <c r="C1304" s="190">
        <f>'2011'!E304</f>
        <v>0</v>
      </c>
      <c r="D1304" s="190">
        <f>'2011'!F304</f>
        <v>0</v>
      </c>
      <c r="E1304" s="190">
        <f>'2011'!G304</f>
        <v>0</v>
      </c>
      <c r="F1304" s="190">
        <f>'2011'!H304</f>
        <v>0</v>
      </c>
      <c r="G1304" s="190">
        <f>'2011'!I304</f>
        <v>0</v>
      </c>
    </row>
    <row r="1305" spans="1:7" ht="12.75" customHeight="1">
      <c r="A1305" s="190" t="str">
        <f>'2011'!C305</f>
        <v>Öffentliche Unternehmungen</v>
      </c>
      <c r="B1305" s="190">
        <f>'2011'!D305</f>
        <v>0</v>
      </c>
      <c r="C1305" s="190">
        <f>'2011'!E305</f>
        <v>0</v>
      </c>
      <c r="D1305" s="190">
        <f>'2011'!F305</f>
        <v>0</v>
      </c>
      <c r="E1305" s="190">
        <f>'2011'!G305</f>
        <v>0</v>
      </c>
      <c r="F1305" s="190">
        <f>'2011'!H305</f>
        <v>0</v>
      </c>
      <c r="G1305" s="190">
        <f>'2011'!I305</f>
        <v>0</v>
      </c>
    </row>
    <row r="1306" spans="1:7" ht="12.75" customHeight="1">
      <c r="A1306" s="190" t="str">
        <f>'2011'!C306</f>
        <v>Private Unternehmungen</v>
      </c>
      <c r="B1306" s="190">
        <f>'2011'!D306</f>
        <v>0</v>
      </c>
      <c r="C1306" s="190">
        <f>'2011'!E306</f>
        <v>0</v>
      </c>
      <c r="D1306" s="190">
        <f>'2011'!F306</f>
        <v>0</v>
      </c>
      <c r="E1306" s="190">
        <f>'2011'!G306</f>
        <v>0</v>
      </c>
      <c r="F1306" s="190">
        <f>'2011'!H306</f>
        <v>0</v>
      </c>
      <c r="G1306" s="190">
        <f>'2011'!I306</f>
        <v>0</v>
      </c>
    </row>
    <row r="1307" spans="1:7" ht="12.75" customHeight="1">
      <c r="A1307" s="190" t="str">
        <f>'2011'!C307</f>
        <v>Private Organisationen ohne Erwerbszweck</v>
      </c>
      <c r="B1307" s="190">
        <f>'2011'!D307</f>
        <v>0</v>
      </c>
      <c r="C1307" s="190">
        <f>'2011'!E307</f>
        <v>0</v>
      </c>
      <c r="D1307" s="190">
        <f>'2011'!F307</f>
        <v>0</v>
      </c>
      <c r="E1307" s="190">
        <f>'2011'!G307</f>
        <v>0</v>
      </c>
      <c r="F1307" s="190">
        <f>'2011'!H307</f>
        <v>0</v>
      </c>
      <c r="G1307" s="190">
        <f>'2011'!I307</f>
        <v>0</v>
      </c>
    </row>
    <row r="1308" spans="1:7" ht="12.75" customHeight="1">
      <c r="A1308" s="190" t="str">
        <f>'2011'!C308</f>
        <v>Private Haushalte</v>
      </c>
      <c r="B1308" s="190">
        <f>'2011'!D308</f>
        <v>0</v>
      </c>
      <c r="C1308" s="190">
        <f>'2011'!E308</f>
        <v>0</v>
      </c>
      <c r="D1308" s="190">
        <f>'2011'!F308</f>
        <v>0</v>
      </c>
      <c r="E1308" s="190">
        <f>'2011'!G308</f>
        <v>0</v>
      </c>
      <c r="F1308" s="190">
        <f>'2011'!H308</f>
        <v>0</v>
      </c>
      <c r="G1308" s="190">
        <f>'2011'!I308</f>
        <v>0</v>
      </c>
    </row>
    <row r="1309" spans="1:7" ht="12.75" customHeight="1">
      <c r="A1309" s="190" t="str">
        <f>'2011'!C309</f>
        <v>Ausland</v>
      </c>
      <c r="B1309" s="190">
        <f>'2011'!D309</f>
        <v>0</v>
      </c>
      <c r="C1309" s="190">
        <f>'2011'!E309</f>
        <v>0</v>
      </c>
      <c r="D1309" s="190">
        <f>'2011'!F309</f>
        <v>0</v>
      </c>
      <c r="E1309" s="190">
        <f>'2011'!G309</f>
        <v>0</v>
      </c>
      <c r="F1309" s="190">
        <f>'2011'!H309</f>
        <v>0</v>
      </c>
      <c r="G1309" s="190">
        <f>'2011'!I309</f>
        <v>0</v>
      </c>
    </row>
    <row r="1310" spans="1:7" ht="12.75" customHeight="1">
      <c r="A1310" s="190" t="str">
        <f>'2011'!C310</f>
        <v>Übertrag von Beteiligungen</v>
      </c>
      <c r="B1310" s="190">
        <f>'2011'!D310</f>
        <v>0</v>
      </c>
      <c r="C1310" s="190">
        <f>'2011'!E310</f>
        <v>0</v>
      </c>
      <c r="D1310" s="190">
        <f>'2011'!F310</f>
        <v>0</v>
      </c>
      <c r="E1310" s="190">
        <f>'2011'!G310</f>
        <v>0</v>
      </c>
      <c r="F1310" s="190">
        <f>'2011'!H310</f>
        <v>0</v>
      </c>
      <c r="G1310" s="190">
        <f>'2011'!I310</f>
        <v>0</v>
      </c>
    </row>
    <row r="1311" spans="1:7" ht="12.75" customHeight="1">
      <c r="A1311" s="190" t="str">
        <f>'2011'!C311</f>
        <v>Bund</v>
      </c>
      <c r="B1311" s="190">
        <f>'2011'!D311</f>
        <v>0</v>
      </c>
      <c r="C1311" s="190">
        <f>'2011'!E311</f>
        <v>0</v>
      </c>
      <c r="D1311" s="190">
        <f>'2011'!F311</f>
        <v>0</v>
      </c>
      <c r="E1311" s="190">
        <f>'2011'!G311</f>
        <v>0</v>
      </c>
      <c r="F1311" s="190">
        <f>'2011'!H311</f>
        <v>0</v>
      </c>
      <c r="G1311" s="190">
        <f>'2011'!I311</f>
        <v>0</v>
      </c>
    </row>
    <row r="1312" spans="1:7" ht="12.75" customHeight="1">
      <c r="A1312" s="190" t="str">
        <f>'2011'!C312</f>
        <v>Kantone und Konkordate</v>
      </c>
      <c r="B1312" s="190">
        <f>'2011'!D312</f>
        <v>0</v>
      </c>
      <c r="C1312" s="190">
        <f>'2011'!E312</f>
        <v>0</v>
      </c>
      <c r="D1312" s="190">
        <f>'2011'!F312</f>
        <v>0</v>
      </c>
      <c r="E1312" s="190">
        <f>'2011'!G312</f>
        <v>0</v>
      </c>
      <c r="F1312" s="190">
        <f>'2011'!H312</f>
        <v>0</v>
      </c>
      <c r="G1312" s="190">
        <f>'2011'!I312</f>
        <v>0</v>
      </c>
    </row>
    <row r="1313" spans="1:7" ht="12.75" customHeight="1">
      <c r="A1313" s="190" t="str">
        <f>'2011'!C313</f>
        <v>Gemeinden und Gemeindezweckverbände</v>
      </c>
      <c r="B1313" s="190">
        <f>'2011'!D313</f>
        <v>0</v>
      </c>
      <c r="C1313" s="190">
        <f>'2011'!E313</f>
        <v>0</v>
      </c>
      <c r="D1313" s="190">
        <f>'2011'!F313</f>
        <v>0</v>
      </c>
      <c r="E1313" s="190">
        <f>'2011'!G313</f>
        <v>0</v>
      </c>
      <c r="F1313" s="190">
        <f>'2011'!H313</f>
        <v>0</v>
      </c>
      <c r="G1313" s="190">
        <f>'2011'!I313</f>
        <v>0</v>
      </c>
    </row>
    <row r="1314" spans="1:7" ht="12.75" customHeight="1">
      <c r="A1314" s="190" t="str">
        <f>'2011'!C314</f>
        <v>Öffentliche Sozialversicherungen</v>
      </c>
      <c r="B1314" s="190">
        <f>'2011'!D314</f>
        <v>0</v>
      </c>
      <c r="C1314" s="190">
        <f>'2011'!E314</f>
        <v>0</v>
      </c>
      <c r="D1314" s="190">
        <f>'2011'!F314</f>
        <v>0</v>
      </c>
      <c r="E1314" s="190">
        <f>'2011'!G314</f>
        <v>0</v>
      </c>
      <c r="F1314" s="190">
        <f>'2011'!H314</f>
        <v>0</v>
      </c>
      <c r="G1314" s="190">
        <f>'2011'!I314</f>
        <v>0</v>
      </c>
    </row>
    <row r="1315" spans="1:7" ht="12.75" customHeight="1">
      <c r="A1315" s="190" t="str">
        <f>'2011'!C315</f>
        <v>Öffentliche Unternehmungen</v>
      </c>
      <c r="B1315" s="190">
        <f>'2011'!D315</f>
        <v>0</v>
      </c>
      <c r="C1315" s="190">
        <f>'2011'!E315</f>
        <v>0</v>
      </c>
      <c r="D1315" s="190">
        <f>'2011'!F315</f>
        <v>0</v>
      </c>
      <c r="E1315" s="190">
        <f>'2011'!G315</f>
        <v>0</v>
      </c>
      <c r="F1315" s="190">
        <f>'2011'!H315</f>
        <v>0</v>
      </c>
      <c r="G1315" s="190">
        <f>'2011'!I315</f>
        <v>0</v>
      </c>
    </row>
    <row r="1316" spans="1:7" ht="12.75" customHeight="1">
      <c r="A1316" s="190" t="str">
        <f>'2011'!C316</f>
        <v>Private Unternehmungen</v>
      </c>
      <c r="B1316" s="190">
        <f>'2011'!D316</f>
        <v>0</v>
      </c>
      <c r="C1316" s="190">
        <f>'2011'!E316</f>
        <v>0</v>
      </c>
      <c r="D1316" s="190">
        <f>'2011'!F316</f>
        <v>0</v>
      </c>
      <c r="E1316" s="190">
        <f>'2011'!G316</f>
        <v>0</v>
      </c>
      <c r="F1316" s="190">
        <f>'2011'!H316</f>
        <v>0</v>
      </c>
      <c r="G1316" s="190">
        <f>'2011'!I316</f>
        <v>0</v>
      </c>
    </row>
    <row r="1317" spans="1:7" ht="12.75" customHeight="1">
      <c r="A1317" s="190" t="str">
        <f>'2011'!C317</f>
        <v>Private Organisationen ohne Erwerbszweck</v>
      </c>
      <c r="B1317" s="190">
        <f>'2011'!D317</f>
        <v>0</v>
      </c>
      <c r="C1317" s="190">
        <f>'2011'!E317</f>
        <v>0</v>
      </c>
      <c r="D1317" s="190">
        <f>'2011'!F317</f>
        <v>0</v>
      </c>
      <c r="E1317" s="190">
        <f>'2011'!G317</f>
        <v>0</v>
      </c>
      <c r="F1317" s="190">
        <f>'2011'!H317</f>
        <v>0</v>
      </c>
      <c r="G1317" s="190">
        <f>'2011'!I317</f>
        <v>0</v>
      </c>
    </row>
    <row r="1318" spans="1:7" ht="12.75" customHeight="1">
      <c r="A1318" s="190" t="str">
        <f>'2011'!C318</f>
        <v>Private Haushalte</v>
      </c>
      <c r="B1318" s="190">
        <f>'2011'!D318</f>
        <v>0</v>
      </c>
      <c r="C1318" s="190">
        <f>'2011'!E318</f>
        <v>0</v>
      </c>
      <c r="D1318" s="190">
        <f>'2011'!F318</f>
        <v>0</v>
      </c>
      <c r="E1318" s="190">
        <f>'2011'!G318</f>
        <v>0</v>
      </c>
      <c r="F1318" s="190">
        <f>'2011'!H318</f>
        <v>0</v>
      </c>
      <c r="G1318" s="190">
        <f>'2011'!I318</f>
        <v>0</v>
      </c>
    </row>
    <row r="1319" spans="1:7" ht="12.75" customHeight="1">
      <c r="A1319" s="190" t="str">
        <f>'2011'!C319</f>
        <v>Ausland</v>
      </c>
      <c r="B1319" s="190">
        <f>'2011'!D319</f>
        <v>0</v>
      </c>
      <c r="C1319" s="190">
        <f>'2011'!E319</f>
        <v>0</v>
      </c>
      <c r="D1319" s="190">
        <f>'2011'!F319</f>
        <v>0</v>
      </c>
      <c r="E1319" s="190">
        <f>'2011'!G319</f>
        <v>0</v>
      </c>
      <c r="F1319" s="190">
        <f>'2011'!H319</f>
        <v>0</v>
      </c>
      <c r="G1319" s="190">
        <f>'2011'!I319</f>
        <v>0</v>
      </c>
    </row>
    <row r="1320" spans="1:7" ht="12.75" customHeight="1">
      <c r="A1320" s="190" t="str">
        <f>'2011'!C320</f>
        <v>Rückzahlung eigener Investitionsbeiträge</v>
      </c>
      <c r="B1320" s="190">
        <f>'2011'!D320</f>
        <v>0</v>
      </c>
      <c r="C1320" s="190">
        <f>'2011'!E320</f>
        <v>0</v>
      </c>
      <c r="D1320" s="190">
        <f>'2011'!F320</f>
        <v>0</v>
      </c>
      <c r="E1320" s="190">
        <f>'2011'!G320</f>
        <v>0</v>
      </c>
      <c r="F1320" s="190">
        <f>'2011'!H320</f>
        <v>0</v>
      </c>
      <c r="G1320" s="190">
        <f>'2011'!I320</f>
        <v>0</v>
      </c>
    </row>
    <row r="1321" spans="1:7" ht="12.75" customHeight="1">
      <c r="A1321" s="190" t="str">
        <f>'2011'!C321</f>
        <v>Bund</v>
      </c>
      <c r="B1321" s="190">
        <f>'2011'!D321</f>
        <v>0</v>
      </c>
      <c r="C1321" s="190">
        <f>'2011'!E321</f>
        <v>0</v>
      </c>
      <c r="D1321" s="190">
        <f>'2011'!F321</f>
        <v>0</v>
      </c>
      <c r="E1321" s="190">
        <f>'2011'!G321</f>
        <v>0</v>
      </c>
      <c r="F1321" s="190">
        <f>'2011'!H321</f>
        <v>3607338</v>
      </c>
      <c r="G1321" s="190">
        <f>'2011'!I321</f>
        <v>3607338</v>
      </c>
    </row>
    <row r="1322" spans="1:7" ht="12.75" customHeight="1">
      <c r="A1322" s="190" t="str">
        <f>'2011'!C322</f>
        <v>Kantone und Konkordate</v>
      </c>
      <c r="B1322" s="190">
        <f>'2011'!D322</f>
        <v>0</v>
      </c>
      <c r="C1322" s="190">
        <f>'2011'!E322</f>
        <v>0</v>
      </c>
      <c r="D1322" s="190">
        <f>'2011'!F322</f>
        <v>0</v>
      </c>
      <c r="E1322" s="190">
        <f>'2011'!G322</f>
        <v>0</v>
      </c>
      <c r="F1322" s="190">
        <f>'2011'!H322</f>
        <v>0</v>
      </c>
      <c r="G1322" s="190">
        <f>'2011'!I322</f>
        <v>0</v>
      </c>
    </row>
    <row r="1323" spans="1:7" ht="12.75" customHeight="1">
      <c r="A1323" s="190" t="str">
        <f>'2011'!C323</f>
        <v>Gemeinden und Gemeindezweckverbände</v>
      </c>
      <c r="B1323" s="190">
        <f>'2011'!D323</f>
        <v>0</v>
      </c>
      <c r="C1323" s="190">
        <f>'2011'!E323</f>
        <v>0</v>
      </c>
      <c r="D1323" s="190">
        <f>'2011'!F323</f>
        <v>0</v>
      </c>
      <c r="E1323" s="190">
        <f>'2011'!G323</f>
        <v>0</v>
      </c>
      <c r="F1323" s="190">
        <f>'2011'!H323</f>
        <v>0</v>
      </c>
      <c r="G1323" s="190">
        <f>'2011'!I323</f>
        <v>0</v>
      </c>
    </row>
    <row r="1324" spans="1:7" ht="12.75" customHeight="1">
      <c r="A1324" s="190" t="str">
        <f>'2011'!C324</f>
        <v>Öffentliche Sozialversicherungen</v>
      </c>
      <c r="B1324" s="190">
        <f>'2011'!D324</f>
        <v>0</v>
      </c>
      <c r="C1324" s="190">
        <f>'2011'!E324</f>
        <v>0</v>
      </c>
      <c r="D1324" s="190">
        <f>'2011'!F324</f>
        <v>0</v>
      </c>
      <c r="E1324" s="190">
        <f>'2011'!G324</f>
        <v>0</v>
      </c>
      <c r="F1324" s="190">
        <f>'2011'!H324</f>
        <v>0</v>
      </c>
      <c r="G1324" s="190">
        <f>'2011'!I324</f>
        <v>0</v>
      </c>
    </row>
    <row r="1325" spans="1:7" ht="12.75" customHeight="1">
      <c r="A1325" s="190" t="str">
        <f>'2011'!C325</f>
        <v>Öffentliche Unternehmungen</v>
      </c>
      <c r="B1325" s="190">
        <f>'2011'!D325</f>
        <v>0</v>
      </c>
      <c r="C1325" s="190">
        <f>'2011'!E325</f>
        <v>0</v>
      </c>
      <c r="D1325" s="190">
        <f>'2011'!F325</f>
        <v>0</v>
      </c>
      <c r="E1325" s="190">
        <f>'2011'!G325</f>
        <v>0</v>
      </c>
      <c r="F1325" s="190">
        <f>'2011'!H325</f>
        <v>0</v>
      </c>
      <c r="G1325" s="190">
        <f>'2011'!I325</f>
        <v>0</v>
      </c>
    </row>
    <row r="1326" spans="1:7" ht="12.75" customHeight="1">
      <c r="A1326" s="190" t="str">
        <f>'2011'!C326</f>
        <v>Private Unternehmungen</v>
      </c>
      <c r="B1326" s="190">
        <f>'2011'!D326</f>
        <v>0</v>
      </c>
      <c r="C1326" s="190">
        <f>'2011'!E326</f>
        <v>0</v>
      </c>
      <c r="D1326" s="190">
        <f>'2011'!F326</f>
        <v>0</v>
      </c>
      <c r="E1326" s="190">
        <f>'2011'!G326</f>
        <v>0</v>
      </c>
      <c r="F1326" s="190">
        <f>'2011'!H326</f>
        <v>0</v>
      </c>
      <c r="G1326" s="190">
        <f>'2011'!I326</f>
        <v>0</v>
      </c>
    </row>
    <row r="1327" spans="1:7" ht="12.75" customHeight="1">
      <c r="A1327" s="190" t="str">
        <f>'2011'!C327</f>
        <v>Private Organisationen ohne Erwerbszweck</v>
      </c>
      <c r="B1327" s="190">
        <f>'2011'!D327</f>
        <v>0</v>
      </c>
      <c r="C1327" s="190">
        <f>'2011'!E327</f>
        <v>0</v>
      </c>
      <c r="D1327" s="190">
        <f>'2011'!F327</f>
        <v>0</v>
      </c>
      <c r="E1327" s="190">
        <f>'2011'!G327</f>
        <v>0</v>
      </c>
      <c r="F1327" s="190">
        <f>'2011'!H327</f>
        <v>0</v>
      </c>
      <c r="G1327" s="190">
        <f>'2011'!I327</f>
        <v>0</v>
      </c>
    </row>
    <row r="1328" spans="1:7" ht="12.75" customHeight="1">
      <c r="A1328" s="190" t="str">
        <f>'2011'!C328</f>
        <v>Private Haushalte</v>
      </c>
      <c r="B1328" s="190">
        <f>'2011'!D328</f>
        <v>0</v>
      </c>
      <c r="C1328" s="190">
        <f>'2011'!E328</f>
        <v>0</v>
      </c>
      <c r="D1328" s="190">
        <f>'2011'!F328</f>
        <v>0</v>
      </c>
      <c r="E1328" s="190">
        <f>'2011'!G328</f>
        <v>0</v>
      </c>
      <c r="F1328" s="190">
        <f>'2011'!H328</f>
        <v>0</v>
      </c>
      <c r="G1328" s="190">
        <f>'2011'!I328</f>
        <v>0</v>
      </c>
    </row>
    <row r="1329" spans="1:7" ht="12.75" customHeight="1">
      <c r="A1329" s="190" t="str">
        <f>'2011'!C329</f>
        <v>Ausland</v>
      </c>
      <c r="B1329" s="190">
        <f>'2011'!D329</f>
        <v>0</v>
      </c>
      <c r="C1329" s="190">
        <f>'2011'!E329</f>
        <v>0</v>
      </c>
      <c r="D1329" s="190">
        <f>'2011'!F329</f>
        <v>0</v>
      </c>
      <c r="E1329" s="190">
        <f>'2011'!G329</f>
        <v>0</v>
      </c>
      <c r="F1329" s="190">
        <f>'2011'!H329</f>
        <v>0</v>
      </c>
      <c r="G1329" s="190">
        <f>'2011'!I329</f>
        <v>0</v>
      </c>
    </row>
    <row r="1330" spans="1:7" ht="12.75" customHeight="1">
      <c r="A1330" s="190" t="str">
        <f>'2011'!C330</f>
        <v>Durchlaufende Investtitionsbeitträge</v>
      </c>
      <c r="B1330" s="190">
        <f>'2011'!D330</f>
        <v>0</v>
      </c>
      <c r="C1330" s="190">
        <f>'2011'!E330</f>
        <v>0</v>
      </c>
      <c r="D1330" s="190">
        <f>'2011'!F330</f>
        <v>0</v>
      </c>
      <c r="E1330" s="190">
        <f>'2011'!G330</f>
        <v>0</v>
      </c>
      <c r="F1330" s="190">
        <f>'2011'!H330</f>
        <v>3607338</v>
      </c>
      <c r="G1330" s="190">
        <f>'2011'!I330</f>
        <v>3607338</v>
      </c>
    </row>
    <row r="1331" spans="1:7" ht="12.75" customHeight="1">
      <c r="A1331" s="190" t="str">
        <f>'2011'!C331</f>
        <v>A.o. Investitionseinnahmen für Sachanlagen</v>
      </c>
      <c r="B1331" s="190">
        <f>'2011'!D331</f>
        <v>0</v>
      </c>
      <c r="C1331" s="190">
        <f>'2011'!E331</f>
        <v>0</v>
      </c>
      <c r="D1331" s="190">
        <f>'2011'!F331</f>
        <v>0</v>
      </c>
      <c r="E1331" s="190">
        <f>'2011'!G331</f>
        <v>0</v>
      </c>
      <c r="F1331" s="190">
        <f>'2011'!H331</f>
        <v>0</v>
      </c>
      <c r="G1331" s="190">
        <f>'2011'!I331</f>
        <v>0</v>
      </c>
    </row>
    <row r="1332" spans="1:7" ht="12.75" customHeight="1">
      <c r="A1332" s="190" t="str">
        <f>'2011'!C332</f>
        <v>A.o. Investitionseinnahmen f. immater. Anlagen</v>
      </c>
      <c r="B1332" s="190">
        <f>'2011'!D332</f>
        <v>0</v>
      </c>
      <c r="C1332" s="190">
        <f>'2011'!E332</f>
        <v>0</v>
      </c>
      <c r="D1332" s="190">
        <f>'2011'!F332</f>
        <v>0</v>
      </c>
      <c r="E1332" s="190">
        <f>'2011'!G332</f>
        <v>0</v>
      </c>
      <c r="F1332" s="190">
        <f>'2011'!H332</f>
        <v>0</v>
      </c>
      <c r="G1332" s="190">
        <f>'2011'!I332</f>
        <v>0</v>
      </c>
    </row>
    <row r="1333" spans="1:7" ht="12.75" customHeight="1">
      <c r="A1333" s="190" t="str">
        <f>'2011'!C333</f>
        <v>A.o. Investitionseinnahmen für eigene Rechnung</v>
      </c>
      <c r="B1333" s="190">
        <f>'2011'!D333</f>
        <v>0</v>
      </c>
      <c r="C1333" s="190">
        <f>'2011'!E333</f>
        <v>0</v>
      </c>
      <c r="D1333" s="190">
        <f>'2011'!F333</f>
        <v>0</v>
      </c>
      <c r="E1333" s="190">
        <f>'2011'!G333</f>
        <v>0</v>
      </c>
      <c r="F1333" s="190">
        <f>'2011'!H333</f>
        <v>0</v>
      </c>
      <c r="G1333" s="190">
        <f>'2011'!I333</f>
        <v>0</v>
      </c>
    </row>
    <row r="1334" spans="1:7" ht="12.75" customHeight="1">
      <c r="A1334" s="190" t="str">
        <f>'2011'!C334</f>
        <v>A.o. Rückzahlung von Darlehen</v>
      </c>
      <c r="B1334" s="190">
        <f>'2011'!D334</f>
        <v>0</v>
      </c>
      <c r="C1334" s="190">
        <f>'2011'!E334</f>
        <v>0</v>
      </c>
      <c r="D1334" s="190">
        <f>'2011'!F334</f>
        <v>0</v>
      </c>
      <c r="E1334" s="190">
        <f>'2011'!G334</f>
        <v>0</v>
      </c>
      <c r="F1334" s="190">
        <f>'2011'!H334</f>
        <v>0</v>
      </c>
      <c r="G1334" s="190">
        <f>'2011'!I334</f>
        <v>0</v>
      </c>
    </row>
    <row r="1335" spans="1:7" ht="12.75" customHeight="1">
      <c r="A1335" s="190" t="str">
        <f>'2011'!C335</f>
        <v>A.o. Übertragung von Beteiligungen</v>
      </c>
      <c r="B1335" s="190">
        <f>'2011'!D335</f>
        <v>0</v>
      </c>
      <c r="C1335" s="190">
        <f>'2011'!E335</f>
        <v>0</v>
      </c>
      <c r="D1335" s="190">
        <f>'2011'!F335</f>
        <v>0</v>
      </c>
      <c r="E1335" s="190">
        <f>'2011'!G335</f>
        <v>0</v>
      </c>
      <c r="F1335" s="190">
        <f>'2011'!H335</f>
        <v>0</v>
      </c>
      <c r="G1335" s="190">
        <f>'2011'!I335</f>
        <v>0</v>
      </c>
    </row>
    <row r="1336" spans="1:7" ht="12.75" customHeight="1">
      <c r="A1336" s="190" t="str">
        <f>'2011'!C336</f>
        <v>A.o. Rückzahlung eigener Investitionsbeiträge</v>
      </c>
      <c r="B1336" s="190">
        <f>'2011'!D336</f>
        <v>0</v>
      </c>
      <c r="C1336" s="190">
        <f>'2011'!E336</f>
        <v>0</v>
      </c>
      <c r="D1336" s="190">
        <f>'2011'!F336</f>
        <v>0</v>
      </c>
      <c r="E1336" s="190">
        <f>'2011'!G336</f>
        <v>0</v>
      </c>
      <c r="F1336" s="190">
        <f>'2011'!H336</f>
        <v>0</v>
      </c>
      <c r="G1336" s="190">
        <f>'2011'!I336</f>
        <v>0</v>
      </c>
    </row>
    <row r="1337" spans="1:7" ht="12.75" customHeight="1">
      <c r="A1337" s="190" t="str">
        <f>'2011'!C337</f>
        <v>Übrige a.o. Investitionen</v>
      </c>
      <c r="B1337" s="190">
        <f>'2011'!D337</f>
        <v>0</v>
      </c>
      <c r="C1337" s="190">
        <f>'2011'!E337</f>
        <v>0</v>
      </c>
      <c r="D1337" s="190">
        <f>'2011'!F337</f>
        <v>0</v>
      </c>
      <c r="E1337" s="190">
        <f>'2011'!G337</f>
        <v>0</v>
      </c>
      <c r="F1337" s="190">
        <f>'2011'!H337</f>
        <v>0</v>
      </c>
      <c r="G1337" s="190">
        <f>'2011'!I337</f>
        <v>0</v>
      </c>
    </row>
    <row r="1338" spans="1:7" ht="12.75" customHeight="1">
      <c r="A1338" s="190" t="str">
        <f>'2011'!C338</f>
        <v>Ausserordentliche Investitionseinnahmen</v>
      </c>
      <c r="B1338" s="190">
        <f>'2011'!D338</f>
        <v>0</v>
      </c>
      <c r="C1338" s="190">
        <f>'2011'!E338</f>
        <v>0</v>
      </c>
      <c r="D1338" s="190">
        <f>'2011'!F338</f>
        <v>0</v>
      </c>
      <c r="E1338" s="190">
        <f>'2011'!G338</f>
        <v>0</v>
      </c>
      <c r="F1338" s="190">
        <f>'2011'!H338</f>
        <v>0</v>
      </c>
      <c r="G1338" s="190">
        <f>'2011'!I338</f>
        <v>0</v>
      </c>
    </row>
    <row r="1339" spans="1:7" ht="12.75" customHeight="1">
      <c r="A1339" s="190" t="str">
        <f>'2011'!C339</f>
        <v>Investitionseinnahmen</v>
      </c>
      <c r="B1339" s="190">
        <f>'2011'!D339</f>
        <v>3163798.3</v>
      </c>
      <c r="C1339" s="190">
        <f>'2011'!E339</f>
        <v>1156132.2</v>
      </c>
      <c r="D1339" s="190">
        <f>'2011'!F339</f>
        <v>2503614.9</v>
      </c>
      <c r="E1339" s="190">
        <f>'2011'!G339</f>
        <v>6823545.399999999</v>
      </c>
      <c r="F1339" s="190">
        <f>'2011'!H339</f>
        <v>12454366</v>
      </c>
      <c r="G1339" s="190">
        <f>'2011'!I339</f>
        <v>19277911.400000002</v>
      </c>
    </row>
    <row r="1340" spans="1:7" ht="12.75" customHeight="1">
      <c r="A1340" s="190">
        <f>'2011'!C340</f>
        <v>0</v>
      </c>
      <c r="B1340" s="190">
        <f>'2011'!D340</f>
        <v>0</v>
      </c>
      <c r="C1340" s="190">
        <f>'2011'!E340</f>
        <v>0</v>
      </c>
      <c r="D1340" s="190">
        <f>'2011'!F340</f>
        <v>0</v>
      </c>
      <c r="E1340" s="190">
        <f>'2011'!G340</f>
        <v>0</v>
      </c>
      <c r="F1340" s="190">
        <f>'2011'!H340</f>
        <v>0</v>
      </c>
      <c r="G1340" s="190">
        <f>'2011'!I340</f>
        <v>0</v>
      </c>
    </row>
    <row r="1341" spans="1:7" ht="12.75" customHeight="1">
      <c r="A1341" s="190">
        <f>'2011'!C341</f>
        <v>0</v>
      </c>
      <c r="B1341" s="190">
        <f>'2011'!D341</f>
        <v>0</v>
      </c>
      <c r="C1341" s="190">
        <f>'2011'!E341</f>
        <v>0</v>
      </c>
      <c r="D1341" s="190">
        <f>'2011'!F341</f>
        <v>0</v>
      </c>
      <c r="E1341" s="190">
        <f>'2011'!G341</f>
        <v>0</v>
      </c>
      <c r="F1341" s="190">
        <f>'2011'!H341</f>
        <v>0</v>
      </c>
      <c r="G1341" s="190">
        <f>'2011'!I341</f>
        <v>0</v>
      </c>
    </row>
    <row r="1342" spans="1:7" ht="12.75" customHeight="1">
      <c r="A1342" s="190">
        <f>'2011'!C342</f>
        <v>0</v>
      </c>
      <c r="B1342" s="190">
        <f>'2011'!D342</f>
        <v>0</v>
      </c>
      <c r="C1342" s="190">
        <f>'2011'!E342</f>
        <v>0</v>
      </c>
      <c r="D1342" s="190">
        <f>'2011'!F342</f>
        <v>0</v>
      </c>
      <c r="E1342" s="190">
        <f>'2011'!G342</f>
        <v>0</v>
      </c>
      <c r="F1342" s="190">
        <f>'2011'!H342</f>
        <v>0</v>
      </c>
      <c r="G1342" s="190">
        <f>'2011'!I342</f>
        <v>0</v>
      </c>
    </row>
    <row r="1343" spans="1:7" ht="12.75" customHeight="1">
      <c r="A1343" s="190" t="str">
        <f>'2011'!C343</f>
        <v>Passivierungen (Übertrag an Bilanz)</v>
      </c>
      <c r="B1343" s="190">
        <f>'2011'!D343</f>
        <v>3163798.3</v>
      </c>
      <c r="C1343" s="190">
        <f>'2011'!E343</f>
        <v>1156132.2</v>
      </c>
      <c r="D1343" s="190">
        <f>'2011'!F343</f>
        <v>2503614.9</v>
      </c>
      <c r="E1343" s="190">
        <f>'2011'!G343</f>
        <v>6823545.4</v>
      </c>
      <c r="F1343" s="190">
        <f>'2011'!H343</f>
        <v>8847028</v>
      </c>
      <c r="G1343" s="190">
        <f>'2011'!I343</f>
        <v>15670573.4</v>
      </c>
    </row>
    <row r="1344" spans="1:7" ht="12.75" customHeight="1">
      <c r="A1344" s="190" t="str">
        <f>'2011'!C344</f>
        <v>Aktivierungen (Übertrag an Bilanz)</v>
      </c>
      <c r="B1344" s="190">
        <f>'2011'!D344</f>
        <v>7651375.35</v>
      </c>
      <c r="C1344" s="190">
        <f>'2011'!E344</f>
        <v>3407687.9</v>
      </c>
      <c r="D1344" s="190">
        <f>'2011'!F344</f>
        <v>5658362.38</v>
      </c>
      <c r="E1344" s="190">
        <f>'2011'!G344</f>
        <v>16717425.629999999</v>
      </c>
      <c r="F1344" s="190">
        <f>'2011'!H344</f>
        <v>26532759</v>
      </c>
      <c r="G1344" s="190">
        <f>'2011'!I344</f>
        <v>43250184.629999995</v>
      </c>
    </row>
    <row r="1345" spans="1:7" ht="12.75" customHeight="1">
      <c r="A1345" s="190" t="str">
        <f>'2011'!C345</f>
        <v>Kontrolle</v>
      </c>
      <c r="B1345" s="190">
        <f>'2011'!D345</f>
        <v>9.313225746154785E-10</v>
      </c>
      <c r="C1345" s="190">
        <f>'2011'!E345</f>
        <v>-4.656612873077393E-10</v>
      </c>
      <c r="D1345" s="190">
        <f>'2011'!F345</f>
        <v>-9.313225746154785E-10</v>
      </c>
      <c r="E1345" s="190">
        <f>'2011'!G345</f>
        <v>3.725290298461914E-09</v>
      </c>
      <c r="F1345" s="190">
        <f>'2011'!H345</f>
        <v>0</v>
      </c>
      <c r="G1345" s="190">
        <f>'2011'!I345</f>
        <v>0</v>
      </c>
    </row>
    <row r="1346" spans="1:7" ht="12.75" customHeight="1">
      <c r="A1346" s="190">
        <f>'2011'!C346</f>
        <v>0</v>
      </c>
      <c r="B1346" s="190">
        <f>'2011'!D346</f>
        <v>0</v>
      </c>
      <c r="C1346" s="190">
        <f>'2011'!E346</f>
        <v>0</v>
      </c>
      <c r="D1346" s="190">
        <f>'2011'!F346</f>
        <v>0</v>
      </c>
      <c r="E1346" s="190">
        <f>'2011'!G346</f>
        <v>0</v>
      </c>
      <c r="F1346" s="190">
        <f>'2011'!H346</f>
        <v>0</v>
      </c>
      <c r="G1346" s="190">
        <f>'2011'!I346</f>
        <v>0</v>
      </c>
    </row>
    <row r="1347" spans="1:7" ht="12.75" customHeight="1">
      <c r="A1347" s="190" t="str">
        <f>'2011'!C347</f>
        <v>Zusätzlliche Angaben</v>
      </c>
      <c r="B1347" s="190">
        <f>'2011'!D347</f>
        <v>0</v>
      </c>
      <c r="C1347" s="190">
        <f>'2011'!E347</f>
        <v>0</v>
      </c>
      <c r="D1347" s="190">
        <f>'2011'!F347</f>
        <v>0</v>
      </c>
      <c r="E1347" s="190">
        <f>'2011'!G347</f>
        <v>0</v>
      </c>
      <c r="F1347" s="190">
        <f>'2011'!H347</f>
        <v>0</v>
      </c>
      <c r="G1347" s="190">
        <f>'2011'!I347</f>
        <v>0</v>
      </c>
    </row>
    <row r="1348" spans="1:7" ht="12.75" customHeight="1">
      <c r="A1348" s="190" t="str">
        <f>'2011'!C348</f>
        <v>Derivative Finanzinstrumente</v>
      </c>
      <c r="B1348" s="190">
        <f>'2011'!D348</f>
        <v>0</v>
      </c>
      <c r="C1348" s="190">
        <f>'2011'!E348</f>
        <v>0</v>
      </c>
      <c r="D1348" s="190">
        <f>'2011'!F348</f>
        <v>0</v>
      </c>
      <c r="E1348" s="190">
        <f>'2011'!G348</f>
        <v>0</v>
      </c>
      <c r="F1348" s="190">
        <f>'2011'!H348</f>
        <v>0</v>
      </c>
      <c r="G1348" s="190">
        <f>'2011'!I348</f>
        <v>0</v>
      </c>
    </row>
    <row r="1349" spans="1:7" ht="12.75" customHeight="1">
      <c r="A1349" s="190" t="str">
        <f>'2011'!C349</f>
        <v>Aufwertungen Verwaltungsvermögen (VV)</v>
      </c>
      <c r="B1349" s="190">
        <f>'2011'!D349</f>
        <v>0</v>
      </c>
      <c r="C1349" s="190">
        <f>'2011'!E349</f>
        <v>0</v>
      </c>
      <c r="D1349" s="190">
        <f>'2011'!F349</f>
        <v>0</v>
      </c>
      <c r="E1349" s="190">
        <f>'2011'!G349</f>
        <v>0</v>
      </c>
      <c r="F1349" s="190">
        <f>'2011'!H349</f>
        <v>0</v>
      </c>
      <c r="G1349" s="190">
        <f>'2011'!I349</f>
        <v>0</v>
      </c>
    </row>
    <row r="1350" spans="1:7" ht="12.75" customHeight="1">
      <c r="A1350" s="190">
        <f>'2011'!C350</f>
        <v>0</v>
      </c>
      <c r="B1350" s="190">
        <f>'2011'!D350</f>
        <v>0</v>
      </c>
      <c r="C1350" s="190">
        <f>'2011'!E350</f>
        <v>0</v>
      </c>
      <c r="D1350" s="190">
        <f>'2011'!F350</f>
        <v>0</v>
      </c>
      <c r="E1350" s="190">
        <f>'2011'!G350</f>
        <v>0</v>
      </c>
      <c r="F1350" s="190">
        <f>'2011'!H350</f>
        <v>0</v>
      </c>
      <c r="G1350" s="190">
        <f>'2011'!I350</f>
        <v>0</v>
      </c>
    </row>
    <row r="1351" spans="1:7" ht="12.75" customHeight="1">
      <c r="A1351" s="190" t="str">
        <f>'2011'!C351</f>
        <v>Einwohner (Mittlere Wohnbevölkerung)</v>
      </c>
      <c r="B1351" s="190">
        <f>'2011'!D351</f>
        <v>9917</v>
      </c>
      <c r="C1351" s="190">
        <f>'2011'!E351</f>
        <v>12080</v>
      </c>
      <c r="D1351" s="190">
        <f>'2011'!F351</f>
        <v>16451</v>
      </c>
      <c r="E1351" s="190">
        <f>'2011'!G351</f>
        <v>38448</v>
      </c>
      <c r="F1351" s="190">
        <f>'2011'!H351</f>
        <v>38448</v>
      </c>
      <c r="G1351" s="190">
        <f>'2011'!I351</f>
        <v>38448</v>
      </c>
    </row>
    <row r="1352" spans="1:7" ht="12.75" customHeight="1">
      <c r="A1352" s="190" t="str">
        <f>'2011'!C352</f>
        <v>Steuerfuss</v>
      </c>
      <c r="B1352" s="190">
        <f>'2011'!D352</f>
        <v>0.6</v>
      </c>
      <c r="C1352" s="190">
        <f>'2011'!E352</f>
        <v>0.6</v>
      </c>
      <c r="D1352" s="190">
        <f>'2011'!F352</f>
        <v>0.6</v>
      </c>
      <c r="E1352" s="190">
        <f>'2011'!G352</f>
        <v>0.6</v>
      </c>
      <c r="F1352" s="190">
        <f>'2011'!H352</f>
        <v>0.54</v>
      </c>
      <c r="G1352" s="190">
        <f>'2011'!I352</f>
        <v>1.1400000000000001</v>
      </c>
    </row>
    <row r="1353" spans="1:7" ht="12.75" customHeight="1">
      <c r="A1353" s="190">
        <f>'2011'!C353</f>
        <v>0</v>
      </c>
      <c r="B1353" s="190">
        <f>'2011'!D353</f>
        <v>0</v>
      </c>
      <c r="C1353" s="190">
        <f>'2011'!E353</f>
        <v>0</v>
      </c>
      <c r="D1353" s="190">
        <f>'2011'!F353</f>
        <v>0</v>
      </c>
      <c r="E1353" s="190">
        <f>'2011'!G353</f>
        <v>0</v>
      </c>
      <c r="F1353" s="190">
        <f>'2011'!H353</f>
        <v>0</v>
      </c>
      <c r="G1353" s="190">
        <f>'2011'!I353</f>
        <v>0</v>
      </c>
    </row>
    <row r="1354" spans="1:7" ht="12.75" customHeight="1">
      <c r="A1354" s="190">
        <f>'2011'!C354</f>
        <v>0</v>
      </c>
      <c r="B1354" s="190">
        <f>'2011'!D354</f>
        <v>0</v>
      </c>
      <c r="C1354" s="190">
        <f>'2011'!E354</f>
        <v>0</v>
      </c>
      <c r="D1354" s="190">
        <f>'2011'!F354</f>
        <v>0</v>
      </c>
      <c r="E1354" s="190">
        <f>'2011'!G354</f>
        <v>0</v>
      </c>
      <c r="F1354" s="190">
        <f>'2011'!H354</f>
        <v>0</v>
      </c>
      <c r="G1354" s="190">
        <f>'2011'!I354</f>
        <v>0</v>
      </c>
    </row>
    <row r="1355" spans="1:7" ht="12.75" customHeight="1">
      <c r="A1355" s="190">
        <f>'2011'!C355</f>
        <v>0</v>
      </c>
      <c r="B1355" s="190">
        <f>'2011'!D355</f>
        <v>0</v>
      </c>
      <c r="C1355" s="190">
        <f>'2011'!E355</f>
        <v>0</v>
      </c>
      <c r="D1355" s="190">
        <f>'2011'!F355</f>
        <v>0</v>
      </c>
      <c r="E1355" s="190">
        <f>'2011'!G355</f>
        <v>0</v>
      </c>
      <c r="F1355" s="190">
        <f>'2011'!H355</f>
        <v>0</v>
      </c>
      <c r="G1355" s="190">
        <f>'2011'!I355</f>
        <v>0</v>
      </c>
    </row>
    <row r="1356" spans="1:7" ht="12.75" customHeight="1">
      <c r="A1356" s="190" t="str">
        <f>'2011'!C356</f>
        <v>ALLGEMEINDE VERWALTUNG</v>
      </c>
      <c r="B1356" s="190">
        <f>'2011'!D356</f>
        <v>4749980.609999999</v>
      </c>
      <c r="C1356" s="190">
        <f>'2011'!E356</f>
        <v>4240807.65</v>
      </c>
      <c r="D1356" s="190">
        <f>'2011'!F356</f>
        <v>5544910.29</v>
      </c>
      <c r="E1356" s="190">
        <f>'2011'!G356</f>
        <v>14535698.55</v>
      </c>
      <c r="F1356" s="190">
        <f>'2011'!H356</f>
        <v>23233198.03</v>
      </c>
      <c r="G1356" s="190">
        <f>'2011'!I356</f>
        <v>37768896.58</v>
      </c>
    </row>
    <row r="1357" spans="1:7" ht="12.75" customHeight="1">
      <c r="A1357" s="190" t="str">
        <f>'2011'!C357</f>
        <v>Legislative und Exekutive</v>
      </c>
      <c r="B1357" s="190">
        <f>'2011'!D357</f>
        <v>899139.85</v>
      </c>
      <c r="C1357" s="190">
        <f>'2011'!E357</f>
        <v>789757.6000000001</v>
      </c>
      <c r="D1357" s="190">
        <f>'2011'!F357</f>
        <v>1075488.8</v>
      </c>
      <c r="E1357" s="190">
        <f>'2011'!G357</f>
        <v>2764386.25</v>
      </c>
      <c r="F1357" s="190">
        <f>'2011'!H357</f>
        <v>2177075.05</v>
      </c>
      <c r="G1357" s="190">
        <f>'2011'!I357</f>
        <v>4941461.3</v>
      </c>
    </row>
    <row r="1358" spans="1:7" ht="12.75" customHeight="1">
      <c r="A1358" s="190" t="str">
        <f>'2011'!C358</f>
        <v>Legislative </v>
      </c>
      <c r="B1358" s="190">
        <f>'2011'!D358</f>
        <v>147269.9</v>
      </c>
      <c r="C1358" s="190">
        <f>'2011'!E358</f>
        <v>125962.95000000001</v>
      </c>
      <c r="D1358" s="190">
        <f>'2011'!F358</f>
        <v>260599.2</v>
      </c>
      <c r="E1358" s="190">
        <f>'2011'!G358</f>
        <v>533832.05</v>
      </c>
      <c r="F1358" s="190">
        <f>'2011'!H358</f>
        <v>601930.2</v>
      </c>
      <c r="G1358" s="190">
        <f>'2011'!I358</f>
        <v>1135762.25</v>
      </c>
    </row>
    <row r="1359" spans="1:7" ht="12.75" customHeight="1">
      <c r="A1359" s="190" t="str">
        <f>'2011'!C359</f>
        <v>Exekutive</v>
      </c>
      <c r="B1359" s="190">
        <f>'2011'!D359</f>
        <v>751869.95</v>
      </c>
      <c r="C1359" s="190">
        <f>'2011'!E359</f>
        <v>663794.65</v>
      </c>
      <c r="D1359" s="190">
        <f>'2011'!F359</f>
        <v>814889.6</v>
      </c>
      <c r="E1359" s="190">
        <f>'2011'!G359</f>
        <v>2230554.2</v>
      </c>
      <c r="F1359" s="190">
        <f>'2011'!H359</f>
        <v>1575144.85</v>
      </c>
      <c r="G1359" s="190">
        <f>'2011'!I359</f>
        <v>3805699.0500000003</v>
      </c>
    </row>
    <row r="1360" spans="1:7" ht="12.75" customHeight="1">
      <c r="A1360" s="190" t="str">
        <f>'2011'!C360</f>
        <v>Allgemeine Dienste</v>
      </c>
      <c r="B1360" s="190">
        <f>'2011'!D360</f>
        <v>3850840.76</v>
      </c>
      <c r="C1360" s="190">
        <f>'2011'!E360</f>
        <v>3451050.05</v>
      </c>
      <c r="D1360" s="190">
        <f>'2011'!F360</f>
        <v>4469421.49</v>
      </c>
      <c r="E1360" s="190">
        <f>'2011'!G360</f>
        <v>11771312.3</v>
      </c>
      <c r="F1360" s="190">
        <f>'2011'!H360</f>
        <v>21056122.98</v>
      </c>
      <c r="G1360" s="190">
        <f>'2011'!I360</f>
        <v>32827435.28</v>
      </c>
    </row>
    <row r="1361" spans="1:7" ht="12.75" customHeight="1">
      <c r="A1361" s="190" t="str">
        <f>'2011'!C361</f>
        <v>Finanz- und Steuerverwaltung</v>
      </c>
      <c r="B1361" s="190">
        <f>'2011'!D361</f>
        <v>1052620.8599999999</v>
      </c>
      <c r="C1361" s="190">
        <f>'2011'!E361</f>
        <v>551639.42</v>
      </c>
      <c r="D1361" s="190">
        <f>'2011'!F361</f>
        <v>517987.87</v>
      </c>
      <c r="E1361" s="190">
        <f>'2011'!G361</f>
        <v>2122248.15</v>
      </c>
      <c r="F1361" s="190">
        <f>'2011'!H361</f>
        <v>3905647.1199999996</v>
      </c>
      <c r="G1361" s="190">
        <f>'2011'!I361</f>
        <v>6027895.27</v>
      </c>
    </row>
    <row r="1362" spans="1:7" ht="12.75" customHeight="1">
      <c r="A1362" s="190" t="str">
        <f>'2011'!C362</f>
        <v>Allgemeine Dienste, übrige</v>
      </c>
      <c r="B1362" s="190">
        <f>'2011'!D362</f>
        <v>2047824.7999999998</v>
      </c>
      <c r="C1362" s="190">
        <f>'2011'!E362</f>
        <v>2214975.25</v>
      </c>
      <c r="D1362" s="190">
        <f>'2011'!F362</f>
        <v>2470016.2499999995</v>
      </c>
      <c r="E1362" s="190">
        <f>'2011'!G362</f>
        <v>6732816.299999999</v>
      </c>
      <c r="F1362" s="190">
        <f>'2011'!H362</f>
        <v>15075640.45</v>
      </c>
      <c r="G1362" s="190">
        <f>'2011'!I362</f>
        <v>21808456.75</v>
      </c>
    </row>
    <row r="1363" spans="1:7" ht="12.75" customHeight="1">
      <c r="A1363" s="190" t="str">
        <f>'2011'!C363</f>
        <v>Meteorologie und Landestopographie</v>
      </c>
      <c r="B1363" s="190">
        <f>'2011'!D363</f>
        <v>0</v>
      </c>
      <c r="C1363" s="190">
        <f>'2011'!E363</f>
        <v>0</v>
      </c>
      <c r="D1363" s="190">
        <f>'2011'!F363</f>
        <v>0</v>
      </c>
      <c r="E1363" s="190">
        <f>'2011'!G363</f>
        <v>0</v>
      </c>
      <c r="F1363" s="190">
        <f>'2011'!H363</f>
        <v>0</v>
      </c>
      <c r="G1363" s="190">
        <f>'2011'!I363</f>
        <v>0</v>
      </c>
    </row>
    <row r="1364" spans="1:7" ht="12.75" customHeight="1">
      <c r="A1364" s="190" t="str">
        <f>'2011'!C364</f>
        <v>Verwaltungsliegenschaften n.a.g</v>
      </c>
      <c r="B1364" s="190">
        <f>'2011'!D364</f>
        <v>750395.1</v>
      </c>
      <c r="C1364" s="190">
        <f>'2011'!E364</f>
        <v>684435.38</v>
      </c>
      <c r="D1364" s="190">
        <f>'2011'!F364</f>
        <v>1481417.37</v>
      </c>
      <c r="E1364" s="190">
        <f>'2011'!G364</f>
        <v>2916247.85</v>
      </c>
      <c r="F1364" s="190">
        <f>'2011'!H364</f>
        <v>2074835.41</v>
      </c>
      <c r="G1364" s="190">
        <f>'2011'!I364</f>
        <v>4991083.26</v>
      </c>
    </row>
    <row r="1365" spans="1:7" ht="12.75" customHeight="1">
      <c r="A1365" s="190" t="str">
        <f>'2011'!C365</f>
        <v>Beziehungen zum Ausland</v>
      </c>
      <c r="B1365" s="190">
        <f>'2011'!D365</f>
        <v>0</v>
      </c>
      <c r="C1365" s="190">
        <f>'2011'!E365</f>
        <v>0</v>
      </c>
      <c r="D1365" s="190">
        <f>'2011'!F365</f>
        <v>0</v>
      </c>
      <c r="E1365" s="190">
        <f>'2011'!G365</f>
        <v>0</v>
      </c>
      <c r="F1365" s="190">
        <f>'2011'!H365</f>
        <v>0</v>
      </c>
      <c r="G1365" s="190">
        <f>'2011'!I365</f>
        <v>0</v>
      </c>
    </row>
    <row r="1366" spans="1:7" ht="12.75" customHeight="1">
      <c r="A1366" s="190" t="str">
        <f>'2011'!C366</f>
        <v>Politische Beziehungen</v>
      </c>
      <c r="B1366" s="190">
        <f>'2011'!D366</f>
        <v>0</v>
      </c>
      <c r="C1366" s="190">
        <f>'2011'!E366</f>
        <v>0</v>
      </c>
      <c r="D1366" s="190">
        <f>'2011'!F366</f>
        <v>0</v>
      </c>
      <c r="E1366" s="190">
        <f>'2011'!G366</f>
        <v>0</v>
      </c>
      <c r="F1366" s="190">
        <f>'2011'!H366</f>
        <v>0</v>
      </c>
      <c r="G1366" s="190">
        <f>'2011'!I366</f>
        <v>0</v>
      </c>
    </row>
    <row r="1367" spans="1:7" ht="12.75" customHeight="1">
      <c r="A1367" s="190" t="str">
        <f>'2011'!C367</f>
        <v>Zivile Konfliktbearbeitung</v>
      </c>
      <c r="B1367" s="190">
        <f>'2011'!D367</f>
        <v>0</v>
      </c>
      <c r="C1367" s="190">
        <f>'2011'!E367</f>
        <v>0</v>
      </c>
      <c r="D1367" s="190">
        <f>'2011'!F367</f>
        <v>0</v>
      </c>
      <c r="E1367" s="190">
        <f>'2011'!G367</f>
        <v>0</v>
      </c>
      <c r="F1367" s="190">
        <f>'2011'!H367</f>
        <v>0</v>
      </c>
      <c r="G1367" s="190">
        <f>'2011'!I367</f>
        <v>0</v>
      </c>
    </row>
    <row r="1368" spans="1:7" ht="12.75" customHeight="1">
      <c r="A1368" s="190" t="str">
        <f>'2011'!C368</f>
        <v>Wirtschaftliche Beziehungen</v>
      </c>
      <c r="B1368" s="190">
        <f>'2011'!D368</f>
        <v>0</v>
      </c>
      <c r="C1368" s="190">
        <f>'2011'!E368</f>
        <v>0</v>
      </c>
      <c r="D1368" s="190">
        <f>'2011'!F368</f>
        <v>0</v>
      </c>
      <c r="E1368" s="190">
        <f>'2011'!G368</f>
        <v>0</v>
      </c>
      <c r="F1368" s="190">
        <f>'2011'!H368</f>
        <v>0</v>
      </c>
      <c r="G1368" s="190">
        <f>'2011'!I368</f>
        <v>0</v>
      </c>
    </row>
    <row r="1369" spans="1:7" ht="12.75" customHeight="1">
      <c r="A1369" s="190" t="str">
        <f>'2011'!C369</f>
        <v>Entwicklungszusammenarbeit</v>
      </c>
      <c r="B1369" s="190">
        <f>'2011'!D369</f>
        <v>0</v>
      </c>
      <c r="C1369" s="190">
        <f>'2011'!E369</f>
        <v>0</v>
      </c>
      <c r="D1369" s="190">
        <f>'2011'!F369</f>
        <v>0</v>
      </c>
      <c r="E1369" s="190">
        <f>'2011'!G369</f>
        <v>0</v>
      </c>
      <c r="F1369" s="190">
        <f>'2011'!H369</f>
        <v>0</v>
      </c>
      <c r="G1369" s="190">
        <f>'2011'!I369</f>
        <v>0</v>
      </c>
    </row>
    <row r="1370" spans="1:7" ht="12.75" customHeight="1">
      <c r="A1370" s="190" t="str">
        <f>'2011'!C370</f>
        <v>Transitionsländer / Osthilfe</v>
      </c>
      <c r="B1370" s="190">
        <f>'2011'!D370</f>
        <v>0</v>
      </c>
      <c r="C1370" s="190">
        <f>'2011'!E370</f>
        <v>0</v>
      </c>
      <c r="D1370" s="190">
        <f>'2011'!F370</f>
        <v>0</v>
      </c>
      <c r="E1370" s="190">
        <f>'2011'!G370</f>
        <v>0</v>
      </c>
      <c r="F1370" s="190">
        <f>'2011'!H370</f>
        <v>0</v>
      </c>
      <c r="G1370" s="190">
        <f>'2011'!I370</f>
        <v>0</v>
      </c>
    </row>
    <row r="1371" spans="1:7" ht="12.75" customHeight="1">
      <c r="A1371" s="190" t="str">
        <f>'2011'!C371</f>
        <v>F&amp;E in allgemeine Verwaltung</v>
      </c>
      <c r="B1371" s="190">
        <f>'2011'!D371</f>
        <v>0</v>
      </c>
      <c r="C1371" s="190">
        <f>'2011'!E371</f>
        <v>0</v>
      </c>
      <c r="D1371" s="190">
        <f>'2011'!F371</f>
        <v>0</v>
      </c>
      <c r="E1371" s="190">
        <f>'2011'!G371</f>
        <v>0</v>
      </c>
      <c r="F1371" s="190">
        <f>'2011'!H371</f>
        <v>0</v>
      </c>
      <c r="G1371" s="190">
        <f>'2011'!I371</f>
        <v>0</v>
      </c>
    </row>
    <row r="1372" spans="1:7" ht="12.75" customHeight="1">
      <c r="A1372" s="190" t="str">
        <f>'2011'!C372</f>
        <v>F&amp;E in allgemeine Verwaltung</v>
      </c>
      <c r="B1372" s="190">
        <f>'2011'!D372</f>
        <v>0</v>
      </c>
      <c r="C1372" s="190">
        <f>'2011'!E372</f>
        <v>0</v>
      </c>
      <c r="D1372" s="190">
        <f>'2011'!F372</f>
        <v>0</v>
      </c>
      <c r="E1372" s="190">
        <f>'2011'!G372</f>
        <v>0</v>
      </c>
      <c r="F1372" s="190">
        <f>'2011'!H372</f>
        <v>0</v>
      </c>
      <c r="G1372" s="190">
        <f>'2011'!I372</f>
        <v>0</v>
      </c>
    </row>
    <row r="1373" spans="1:7" ht="12.75" customHeight="1">
      <c r="A1373" s="190" t="str">
        <f>'2011'!C373</f>
        <v>ÖFFENTL.ORDNUNG, SICHERHEIT, VERTEIDIGUNG</v>
      </c>
      <c r="B1373" s="190">
        <f>'2011'!D373</f>
        <v>904465.3999999999</v>
      </c>
      <c r="C1373" s="190">
        <f>'2011'!E373</f>
        <v>850290.94</v>
      </c>
      <c r="D1373" s="190">
        <f>'2011'!F373</f>
        <v>904046.9199999999</v>
      </c>
      <c r="E1373" s="190">
        <f>'2011'!G373</f>
        <v>2658803.26</v>
      </c>
      <c r="F1373" s="190">
        <f>'2011'!H373</f>
        <v>4554963.280000001</v>
      </c>
      <c r="G1373" s="190">
        <f>'2011'!I373</f>
        <v>7213766.540000001</v>
      </c>
    </row>
    <row r="1374" spans="1:7" ht="12.75" customHeight="1">
      <c r="A1374" s="190" t="str">
        <f>'2011'!C374</f>
        <v>Öffentliche Sicherheit</v>
      </c>
      <c r="B1374" s="190">
        <f>'2011'!D374</f>
        <v>0</v>
      </c>
      <c r="C1374" s="190">
        <f>'2011'!E374</f>
        <v>36850.45</v>
      </c>
      <c r="D1374" s="190">
        <f>'2011'!F374</f>
        <v>0</v>
      </c>
      <c r="E1374" s="190">
        <f>'2011'!G374</f>
        <v>36850.45</v>
      </c>
      <c r="F1374" s="190">
        <f>'2011'!H374</f>
        <v>-1761885.7400000002</v>
      </c>
      <c r="G1374" s="190">
        <f>'2011'!I374</f>
        <v>-1725035.2900000003</v>
      </c>
    </row>
    <row r="1375" spans="1:7" ht="12.75" customHeight="1">
      <c r="A1375" s="190" t="str">
        <f>'2011'!C375</f>
        <v>Polizei</v>
      </c>
      <c r="B1375" s="190">
        <f>'2011'!D375</f>
        <v>0</v>
      </c>
      <c r="C1375" s="190">
        <f>'2011'!E375</f>
        <v>36850.45</v>
      </c>
      <c r="D1375" s="190">
        <f>'2011'!F375</f>
        <v>0</v>
      </c>
      <c r="E1375" s="190">
        <f>'2011'!G375</f>
        <v>36850.45</v>
      </c>
      <c r="F1375" s="190">
        <f>'2011'!H375</f>
        <v>8052750.6</v>
      </c>
      <c r="G1375" s="190">
        <f>'2011'!I375</f>
        <v>8089601.05</v>
      </c>
    </row>
    <row r="1376" spans="1:7" ht="12.75" customHeight="1">
      <c r="A1376" s="190" t="str">
        <f>'2011'!C376</f>
        <v>Verkehrssicherheit</v>
      </c>
      <c r="B1376" s="190">
        <f>'2011'!D376</f>
        <v>0</v>
      </c>
      <c r="C1376" s="190">
        <f>'2011'!E376</f>
        <v>0</v>
      </c>
      <c r="D1376" s="190">
        <f>'2011'!F376</f>
        <v>0</v>
      </c>
      <c r="E1376" s="190">
        <f>'2011'!G376</f>
        <v>0</v>
      </c>
      <c r="F1376" s="190">
        <f>'2011'!H376</f>
        <v>0</v>
      </c>
      <c r="G1376" s="190">
        <f>'2011'!I376</f>
        <v>0</v>
      </c>
    </row>
    <row r="1377" spans="1:7" ht="12.75" customHeight="1">
      <c r="A1377" s="190" t="str">
        <f>'2011'!C377</f>
        <v>Strassenverkehrsamt</v>
      </c>
      <c r="B1377" s="190">
        <f>'2011'!D377</f>
        <v>0</v>
      </c>
      <c r="C1377" s="190">
        <f>'2011'!E377</f>
        <v>0</v>
      </c>
      <c r="D1377" s="190">
        <f>'2011'!F377</f>
        <v>0</v>
      </c>
      <c r="E1377" s="190">
        <f>'2011'!G377</f>
        <v>0</v>
      </c>
      <c r="F1377" s="190">
        <f>'2011'!H377</f>
        <v>-9814636.34</v>
      </c>
      <c r="G1377" s="190">
        <f>'2011'!I377</f>
        <v>-9814636.34</v>
      </c>
    </row>
    <row r="1378" spans="1:7" ht="12.75" customHeight="1">
      <c r="A1378" s="190" t="str">
        <f>'2011'!C378</f>
        <v>Rechtssprechung</v>
      </c>
      <c r="B1378" s="190">
        <f>'2011'!D378</f>
        <v>12930.3</v>
      </c>
      <c r="C1378" s="190">
        <f>'2011'!E378</f>
        <v>18798.3</v>
      </c>
      <c r="D1378" s="190">
        <f>'2011'!F378</f>
        <v>13563.2</v>
      </c>
      <c r="E1378" s="190">
        <f>'2011'!G378</f>
        <v>45291.8</v>
      </c>
      <c r="F1378" s="190">
        <f>'2011'!H378</f>
        <v>4376442.65</v>
      </c>
      <c r="G1378" s="190">
        <f>'2011'!I378</f>
        <v>4421734.45</v>
      </c>
    </row>
    <row r="1379" spans="1:7" ht="12.75" customHeight="1">
      <c r="A1379" s="190" t="str">
        <f>'2011'!C379</f>
        <v>Rechtssprechung</v>
      </c>
      <c r="B1379" s="190">
        <f>'2011'!D379</f>
        <v>12930.3</v>
      </c>
      <c r="C1379" s="190">
        <f>'2011'!E379</f>
        <v>18798.3</v>
      </c>
      <c r="D1379" s="190">
        <f>'2011'!F379</f>
        <v>13563.2</v>
      </c>
      <c r="E1379" s="190">
        <f>'2011'!G379</f>
        <v>45291.8</v>
      </c>
      <c r="F1379" s="190">
        <f>'2011'!H379</f>
        <v>4376442.65</v>
      </c>
      <c r="G1379" s="190">
        <f>'2011'!I379</f>
        <v>4421734.45</v>
      </c>
    </row>
    <row r="1380" spans="1:7" ht="12.75" customHeight="1">
      <c r="A1380" s="190" t="str">
        <f>'2011'!C380</f>
        <v>Strafvollzug</v>
      </c>
      <c r="B1380" s="190">
        <f>'2011'!D380</f>
        <v>0</v>
      </c>
      <c r="C1380" s="190">
        <f>'2011'!E380</f>
        <v>0</v>
      </c>
      <c r="D1380" s="190">
        <f>'2011'!F380</f>
        <v>0</v>
      </c>
      <c r="E1380" s="190">
        <f>'2011'!G380</f>
        <v>0</v>
      </c>
      <c r="F1380" s="190">
        <f>'2011'!H380</f>
        <v>0</v>
      </c>
      <c r="G1380" s="190">
        <f>'2011'!I380</f>
        <v>0</v>
      </c>
    </row>
    <row r="1381" spans="1:7" ht="12.75" customHeight="1">
      <c r="A1381" s="190" t="str">
        <f>'2011'!C381</f>
        <v>Strafvollzug</v>
      </c>
      <c r="B1381" s="190">
        <f>'2011'!D381</f>
        <v>0</v>
      </c>
      <c r="C1381" s="190">
        <f>'2011'!E381</f>
        <v>0</v>
      </c>
      <c r="D1381" s="190">
        <f>'2011'!F381</f>
        <v>0</v>
      </c>
      <c r="E1381" s="190">
        <f>'2011'!G381</f>
        <v>0</v>
      </c>
      <c r="F1381" s="190">
        <f>'2011'!H381</f>
        <v>0</v>
      </c>
      <c r="G1381" s="190">
        <f>'2011'!I381</f>
        <v>0</v>
      </c>
    </row>
    <row r="1382" spans="1:7" ht="12.75" customHeight="1">
      <c r="A1382" s="190" t="str">
        <f>'2011'!C382</f>
        <v>Allgemeines Rechtswesen</v>
      </c>
      <c r="B1382" s="190">
        <f>'2011'!D382</f>
        <v>417302.75999999995</v>
      </c>
      <c r="C1382" s="190">
        <f>'2011'!E382</f>
        <v>282193.54</v>
      </c>
      <c r="D1382" s="190">
        <f>'2011'!F382</f>
        <v>344213.04</v>
      </c>
      <c r="E1382" s="190">
        <f>'2011'!G382</f>
        <v>1043709.3399999999</v>
      </c>
      <c r="F1382" s="190">
        <f>'2011'!H382</f>
        <v>1354916.370000001</v>
      </c>
      <c r="G1382" s="190">
        <f>'2011'!I382</f>
        <v>2398625.710000001</v>
      </c>
    </row>
    <row r="1383" spans="1:7" ht="12.75" customHeight="1">
      <c r="A1383" s="190" t="str">
        <f>'2011'!C383</f>
        <v>Allgemeines Rechtswesen</v>
      </c>
      <c r="B1383" s="190">
        <f>'2011'!D383</f>
        <v>417302.75999999995</v>
      </c>
      <c r="C1383" s="190">
        <f>'2011'!E383</f>
        <v>282193.54</v>
      </c>
      <c r="D1383" s="190">
        <f>'2011'!F383</f>
        <v>344213.04</v>
      </c>
      <c r="E1383" s="190">
        <f>'2011'!G383</f>
        <v>1043709.3399999999</v>
      </c>
      <c r="F1383" s="190">
        <f>'2011'!H383</f>
        <v>1354916.370000001</v>
      </c>
      <c r="G1383" s="190">
        <f>'2011'!I383</f>
        <v>2398625.710000001</v>
      </c>
    </row>
    <row r="1384" spans="1:7" ht="12.75" customHeight="1">
      <c r="A1384" s="190" t="str">
        <f>'2011'!C384</f>
        <v>Regionales Zivilstandsamt</v>
      </c>
      <c r="B1384" s="190">
        <f>'2011'!D384</f>
        <v>0</v>
      </c>
      <c r="C1384" s="190">
        <f>'2011'!E384</f>
        <v>0</v>
      </c>
      <c r="D1384" s="190">
        <f>'2011'!F384</f>
        <v>0</v>
      </c>
      <c r="E1384" s="190">
        <f>'2011'!G384</f>
        <v>0</v>
      </c>
      <c r="F1384" s="190">
        <f>'2011'!H384</f>
        <v>0</v>
      </c>
      <c r="G1384" s="190">
        <f>'2011'!I384</f>
        <v>0</v>
      </c>
    </row>
    <row r="1385" spans="1:7" ht="12.75" customHeight="1">
      <c r="A1385" s="190" t="str">
        <f>'2011'!C385</f>
        <v>Regionales Gemeindeammann- und Betreibungsamt</v>
      </c>
      <c r="B1385" s="190">
        <f>'2011'!D385</f>
        <v>0</v>
      </c>
      <c r="C1385" s="190">
        <f>'2011'!E385</f>
        <v>0</v>
      </c>
      <c r="D1385" s="190">
        <f>'2011'!F385</f>
        <v>0</v>
      </c>
      <c r="E1385" s="190">
        <f>'2011'!G385</f>
        <v>0</v>
      </c>
      <c r="F1385" s="190">
        <f>'2011'!H385</f>
        <v>0</v>
      </c>
      <c r="G1385" s="190">
        <f>'2011'!I385</f>
        <v>0</v>
      </c>
    </row>
    <row r="1386" spans="1:7" ht="12.75" customHeight="1">
      <c r="A1386" s="190" t="str">
        <f>'2011'!C386</f>
        <v>Feuerwehr</v>
      </c>
      <c r="B1386" s="190">
        <f>'2011'!D386</f>
        <v>218861.04000000007</v>
      </c>
      <c r="C1386" s="190">
        <f>'2011'!E386</f>
        <v>239430.30000000005</v>
      </c>
      <c r="D1386" s="190">
        <f>'2011'!F386</f>
        <v>71210.28000000003</v>
      </c>
      <c r="E1386" s="190">
        <f>'2011'!G386</f>
        <v>529501.6200000001</v>
      </c>
      <c r="F1386" s="190">
        <f>'2011'!H386</f>
        <v>0</v>
      </c>
      <c r="G1386" s="190">
        <f>'2011'!I386</f>
        <v>529501.6200000001</v>
      </c>
    </row>
    <row r="1387" spans="1:7" ht="12.75" customHeight="1">
      <c r="A1387" s="190" t="str">
        <f>'2011'!C387</f>
        <v>Feuerwehr</v>
      </c>
      <c r="B1387" s="190">
        <f>'2011'!D387</f>
        <v>194083.94000000006</v>
      </c>
      <c r="C1387" s="190">
        <f>'2011'!E387</f>
        <v>200550.30000000005</v>
      </c>
      <c r="D1387" s="190">
        <f>'2011'!F387</f>
        <v>71210.28000000003</v>
      </c>
      <c r="E1387" s="190">
        <f>'2011'!G387</f>
        <v>465844.52000000014</v>
      </c>
      <c r="F1387" s="190">
        <f>'2011'!H387</f>
        <v>0</v>
      </c>
      <c r="G1387" s="190">
        <f>'2011'!I387</f>
        <v>465844.52000000014</v>
      </c>
    </row>
    <row r="1388" spans="1:7" ht="12.75" customHeight="1">
      <c r="A1388" s="190" t="str">
        <f>'2011'!C388</f>
        <v>Löschwasserversorgung</v>
      </c>
      <c r="B1388" s="190">
        <f>'2011'!D388</f>
        <v>24777.1</v>
      </c>
      <c r="C1388" s="190">
        <f>'2011'!E388</f>
        <v>38880</v>
      </c>
      <c r="D1388" s="190">
        <f>'2011'!F388</f>
        <v>0</v>
      </c>
      <c r="E1388" s="190">
        <f>'2011'!G388</f>
        <v>63657.1</v>
      </c>
      <c r="F1388" s="190">
        <f>'2011'!H388</f>
        <v>0</v>
      </c>
      <c r="G1388" s="190">
        <f>'2011'!I388</f>
        <v>63657.1</v>
      </c>
    </row>
    <row r="1389" spans="1:7" ht="12.75" customHeight="1">
      <c r="A1389" s="190" t="str">
        <f>'2011'!C389</f>
        <v>Regionale Feuerwehrorganisation</v>
      </c>
      <c r="B1389" s="190">
        <f>'2011'!D389</f>
        <v>0</v>
      </c>
      <c r="C1389" s="190">
        <f>'2011'!E389</f>
        <v>0</v>
      </c>
      <c r="D1389" s="190">
        <f>'2011'!F389</f>
        <v>0</v>
      </c>
      <c r="E1389" s="190">
        <f>'2011'!G389</f>
        <v>0</v>
      </c>
      <c r="F1389" s="190">
        <f>'2011'!H389</f>
        <v>0</v>
      </c>
      <c r="G1389" s="190">
        <f>'2011'!I389</f>
        <v>0</v>
      </c>
    </row>
    <row r="1390" spans="1:7" ht="12.75" customHeight="1">
      <c r="A1390" s="190" t="str">
        <f>'2011'!C390</f>
        <v>Militärische Verteidigung</v>
      </c>
      <c r="B1390" s="190">
        <f>'2011'!D390</f>
        <v>255371.3</v>
      </c>
      <c r="C1390" s="190">
        <f>'2011'!E390</f>
        <v>273018.3499999999</v>
      </c>
      <c r="D1390" s="190">
        <f>'2011'!F390</f>
        <v>475060.39999999997</v>
      </c>
      <c r="E1390" s="190">
        <f>'2011'!G390</f>
        <v>1003450.0499999998</v>
      </c>
      <c r="F1390" s="190">
        <f>'2011'!H390</f>
        <v>585489.9999999999</v>
      </c>
      <c r="G1390" s="190">
        <f>'2011'!I390</f>
        <v>1588940.0499999998</v>
      </c>
    </row>
    <row r="1391" spans="1:7" ht="12.75" customHeight="1">
      <c r="A1391" s="190" t="str">
        <f>'2011'!C391</f>
        <v>Militärische Verteidigung</v>
      </c>
      <c r="B1391" s="190">
        <f>'2011'!D391</f>
        <v>68949.95</v>
      </c>
      <c r="C1391" s="190">
        <f>'2011'!E391</f>
        <v>54600.899999999994</v>
      </c>
      <c r="D1391" s="190">
        <f>'2011'!F391</f>
        <v>189734.3</v>
      </c>
      <c r="E1391" s="190">
        <f>'2011'!G391</f>
        <v>313285.14999999997</v>
      </c>
      <c r="F1391" s="190">
        <f>'2011'!H391</f>
        <v>93760.77999999991</v>
      </c>
      <c r="G1391" s="190">
        <f>'2011'!I391</f>
        <v>407045.9299999999</v>
      </c>
    </row>
    <row r="1392" spans="1:7" ht="12.75" customHeight="1">
      <c r="A1392" s="190" t="str">
        <f>'2011'!C392</f>
        <v>Zivilschutz (allgemein)</v>
      </c>
      <c r="B1392" s="190">
        <f>'2011'!D392</f>
        <v>166714.6</v>
      </c>
      <c r="C1392" s="190">
        <f>'2011'!E392</f>
        <v>217043.64999999997</v>
      </c>
      <c r="D1392" s="190">
        <f>'2011'!F392</f>
        <v>281766.39999999997</v>
      </c>
      <c r="E1392" s="190">
        <f>'2011'!G392</f>
        <v>665524.6499999999</v>
      </c>
      <c r="F1392" s="190">
        <f>'2011'!H392</f>
        <v>400138.27</v>
      </c>
      <c r="G1392" s="190">
        <f>'2011'!I392</f>
        <v>1065662.92</v>
      </c>
    </row>
    <row r="1393" spans="1:7" ht="12.75" customHeight="1">
      <c r="A1393" s="190" t="str">
        <f>'2011'!C393</f>
        <v>Ziviler Führungsstab</v>
      </c>
      <c r="B1393" s="190">
        <f>'2011'!D393</f>
        <v>19706.75</v>
      </c>
      <c r="C1393" s="190">
        <f>'2011'!E393</f>
        <v>1373.8</v>
      </c>
      <c r="D1393" s="190">
        <f>'2011'!F393</f>
        <v>3559.7</v>
      </c>
      <c r="E1393" s="190">
        <f>'2011'!G393</f>
        <v>24640.25</v>
      </c>
      <c r="F1393" s="190">
        <f>'2011'!H393</f>
        <v>91590.95</v>
      </c>
      <c r="G1393" s="190">
        <f>'2011'!I393</f>
        <v>116231.2</v>
      </c>
    </row>
    <row r="1394" spans="1:7" ht="12.75" customHeight="1">
      <c r="A1394" s="190" t="str">
        <f>'2011'!C394</f>
        <v>Regionale Zivilschutzorganisation</v>
      </c>
      <c r="B1394" s="190">
        <f>'2011'!D394</f>
        <v>0</v>
      </c>
      <c r="C1394" s="190">
        <f>'2011'!E394</f>
        <v>0</v>
      </c>
      <c r="D1394" s="190">
        <f>'2011'!F394</f>
        <v>0</v>
      </c>
      <c r="E1394" s="190">
        <f>'2011'!G394</f>
        <v>0</v>
      </c>
      <c r="F1394" s="190">
        <f>'2011'!H394</f>
        <v>0</v>
      </c>
      <c r="G1394" s="190">
        <f>'2011'!I394</f>
        <v>0</v>
      </c>
    </row>
    <row r="1395" spans="1:7" ht="12.75" customHeight="1">
      <c r="A1395" s="190" t="str">
        <f>'2011'!C395</f>
        <v>Militärische Hilfe im Ausland, Friedensförderung</v>
      </c>
      <c r="B1395" s="190">
        <f>'2011'!D395</f>
        <v>0</v>
      </c>
      <c r="C1395" s="190">
        <f>'2011'!E395</f>
        <v>0</v>
      </c>
      <c r="D1395" s="190">
        <f>'2011'!F395</f>
        <v>0</v>
      </c>
      <c r="E1395" s="190">
        <f>'2011'!G395</f>
        <v>0</v>
      </c>
      <c r="F1395" s="190">
        <f>'2011'!H395</f>
        <v>0</v>
      </c>
      <c r="G1395" s="190">
        <f>'2011'!I395</f>
        <v>0</v>
      </c>
    </row>
    <row r="1396" spans="1:7" ht="12.75" customHeight="1">
      <c r="A1396" s="190" t="str">
        <f>'2011'!C396</f>
        <v>F&amp;E in öff.Ordnung, Sicherheit, Verteidigung</v>
      </c>
      <c r="B1396" s="190">
        <f>'2011'!D396</f>
        <v>0</v>
      </c>
      <c r="C1396" s="190">
        <f>'2011'!E396</f>
        <v>0</v>
      </c>
      <c r="D1396" s="190">
        <f>'2011'!F396</f>
        <v>0</v>
      </c>
      <c r="E1396" s="190">
        <f>'2011'!G396</f>
        <v>0</v>
      </c>
      <c r="F1396" s="190">
        <f>'2011'!H396</f>
        <v>0</v>
      </c>
      <c r="G1396" s="190">
        <f>'2011'!I396</f>
        <v>0</v>
      </c>
    </row>
    <row r="1397" spans="1:7" ht="12.75" customHeight="1">
      <c r="A1397" s="190" t="str">
        <f>'2011'!C397</f>
        <v>F&amp;E in öff. Ordnung und Sicherheit</v>
      </c>
      <c r="B1397" s="190">
        <f>'2011'!D397</f>
        <v>0</v>
      </c>
      <c r="C1397" s="190">
        <f>'2011'!E397</f>
        <v>0</v>
      </c>
      <c r="D1397" s="190">
        <f>'2011'!F397</f>
        <v>0</v>
      </c>
      <c r="E1397" s="190">
        <f>'2011'!G397</f>
        <v>0</v>
      </c>
      <c r="F1397" s="190">
        <f>'2011'!H397</f>
        <v>0</v>
      </c>
      <c r="G1397" s="190">
        <f>'2011'!I397</f>
        <v>0</v>
      </c>
    </row>
    <row r="1398" spans="1:7" ht="12.75" customHeight="1">
      <c r="A1398" s="190" t="str">
        <f>'2011'!C398</f>
        <v>F&amp;E in Verteidigung</v>
      </c>
      <c r="B1398" s="190">
        <f>'2011'!D398</f>
        <v>0</v>
      </c>
      <c r="C1398" s="190">
        <f>'2011'!E398</f>
        <v>0</v>
      </c>
      <c r="D1398" s="190">
        <f>'2011'!F398</f>
        <v>0</v>
      </c>
      <c r="E1398" s="190">
        <f>'2011'!G398</f>
        <v>0</v>
      </c>
      <c r="F1398" s="190">
        <f>'2011'!H398</f>
        <v>0</v>
      </c>
      <c r="G1398" s="190">
        <f>'2011'!I398</f>
        <v>0</v>
      </c>
    </row>
    <row r="1399" spans="1:7" ht="12.75" customHeight="1">
      <c r="A1399" s="190" t="str">
        <f>'2011'!C399</f>
        <v>BILDUNG</v>
      </c>
      <c r="B1399" s="190">
        <f>'2011'!D399</f>
        <v>15409687</v>
      </c>
      <c r="C1399" s="190">
        <f>'2011'!E399</f>
        <v>18364003.1</v>
      </c>
      <c r="D1399" s="190">
        <f>'2011'!F399</f>
        <v>25531992.819999993</v>
      </c>
      <c r="E1399" s="190">
        <f>'2011'!G399</f>
        <v>59305682.919999994</v>
      </c>
      <c r="F1399" s="190">
        <f>'2011'!H399</f>
        <v>49951665.35</v>
      </c>
      <c r="G1399" s="190">
        <f>'2011'!I399</f>
        <v>109257348.27</v>
      </c>
    </row>
    <row r="1400" spans="1:7" ht="12.75" customHeight="1">
      <c r="A1400" s="190" t="str">
        <f>'2011'!C400</f>
        <v>Obligatorische Schule</v>
      </c>
      <c r="B1400" s="190">
        <f>'2011'!D400</f>
        <v>15376822</v>
      </c>
      <c r="C1400" s="190">
        <f>'2011'!E400</f>
        <v>18359003.1</v>
      </c>
      <c r="D1400" s="190">
        <f>'2011'!F400</f>
        <v>25353086.019999992</v>
      </c>
      <c r="E1400" s="190">
        <f>'2011'!G400</f>
        <v>59088911.11999999</v>
      </c>
      <c r="F1400" s="190">
        <f>'2011'!H400</f>
        <v>5229397.640000001</v>
      </c>
      <c r="G1400" s="190">
        <f>'2011'!I400</f>
        <v>64318308.75999999</v>
      </c>
    </row>
    <row r="1401" spans="1:7" ht="12.75" customHeight="1">
      <c r="A1401" s="190" t="str">
        <f>'2011'!C401</f>
        <v>Kindergarten</v>
      </c>
      <c r="B1401" s="190">
        <f>'2011'!D401</f>
        <v>1194465.94</v>
      </c>
      <c r="C1401" s="190">
        <f>'2011'!E401</f>
        <v>1586938.85</v>
      </c>
      <c r="D1401" s="190">
        <f>'2011'!F401</f>
        <v>1987502.44</v>
      </c>
      <c r="E1401" s="190">
        <f>'2011'!G401</f>
        <v>4768907.23</v>
      </c>
      <c r="F1401" s="190">
        <f>'2011'!H401</f>
        <v>0</v>
      </c>
      <c r="G1401" s="190">
        <f>'2011'!I401</f>
        <v>4768907.23</v>
      </c>
    </row>
    <row r="1402" spans="1:7" ht="12.75" customHeight="1">
      <c r="A1402" s="190" t="str">
        <f>'2011'!C402</f>
        <v>Grundstufe / Eingangsstufe / Basisstufe</v>
      </c>
      <c r="B1402" s="190">
        <f>'2011'!D402</f>
        <v>0</v>
      </c>
      <c r="C1402" s="190">
        <f>'2011'!E402</f>
        <v>0</v>
      </c>
      <c r="D1402" s="190">
        <f>'2011'!F402</f>
        <v>216791.8</v>
      </c>
      <c r="E1402" s="190">
        <f>'2011'!G402</f>
        <v>216791.8</v>
      </c>
      <c r="F1402" s="190">
        <f>'2011'!H402</f>
        <v>0</v>
      </c>
      <c r="G1402" s="190">
        <f>'2011'!I402</f>
        <v>216791.8</v>
      </c>
    </row>
    <row r="1403" spans="1:7" ht="12.75" customHeight="1">
      <c r="A1403" s="190" t="str">
        <f>'2011'!C403</f>
        <v>Primarstufe</v>
      </c>
      <c r="B1403" s="190">
        <f>'2011'!D403</f>
        <v>6120111.149999999</v>
      </c>
      <c r="C1403" s="190">
        <f>'2011'!E403</f>
        <v>8109038.85</v>
      </c>
      <c r="D1403" s="190">
        <f>'2011'!F403</f>
        <v>10081088.6</v>
      </c>
      <c r="E1403" s="190">
        <f>'2011'!G403</f>
        <v>24310238.6</v>
      </c>
      <c r="F1403" s="190">
        <f>'2011'!H403</f>
        <v>1584179.6</v>
      </c>
      <c r="G1403" s="190">
        <f>'2011'!I403</f>
        <v>25894418.200000003</v>
      </c>
    </row>
    <row r="1404" spans="1:7" ht="12.75" customHeight="1">
      <c r="A1404" s="190" t="str">
        <f>'2011'!C404</f>
        <v>Oberstufe</v>
      </c>
      <c r="B1404" s="190">
        <f>'2011'!D404</f>
        <v>4475352.359999999</v>
      </c>
      <c r="C1404" s="190">
        <f>'2011'!E404</f>
        <v>4703128.8</v>
      </c>
      <c r="D1404" s="190">
        <f>'2011'!F404</f>
        <v>6289733.85</v>
      </c>
      <c r="E1404" s="190">
        <f>'2011'!G404</f>
        <v>15468215.01</v>
      </c>
      <c r="F1404" s="190">
        <f>'2011'!H404</f>
        <v>2095818.07</v>
      </c>
      <c r="G1404" s="190">
        <f>'2011'!I404</f>
        <v>17564033.08</v>
      </c>
    </row>
    <row r="1405" spans="1:7" ht="12.75" customHeight="1">
      <c r="A1405" s="190" t="str">
        <f>'2011'!C405</f>
        <v>Musikschulen</v>
      </c>
      <c r="B1405" s="190">
        <f>'2011'!D405</f>
        <v>0</v>
      </c>
      <c r="C1405" s="190">
        <f>'2011'!E405</f>
        <v>0</v>
      </c>
      <c r="D1405" s="190">
        <f>'2011'!F405</f>
        <v>0</v>
      </c>
      <c r="E1405" s="190">
        <f>'2011'!G405</f>
        <v>0</v>
      </c>
      <c r="F1405" s="190">
        <f>'2011'!H405</f>
        <v>1098126.07</v>
      </c>
      <c r="G1405" s="190">
        <f>'2011'!I405</f>
        <v>1098126.07</v>
      </c>
    </row>
    <row r="1406" spans="1:7" ht="12.75" customHeight="1">
      <c r="A1406" s="190" t="str">
        <f>'2011'!C406</f>
        <v>Schulliegenschaften</v>
      </c>
      <c r="B1406" s="190">
        <f>'2011'!D406</f>
        <v>2322299.0500000003</v>
      </c>
      <c r="C1406" s="190">
        <f>'2011'!E406</f>
        <v>2272591.1</v>
      </c>
      <c r="D1406" s="190">
        <f>'2011'!F406</f>
        <v>4535638.4399999995</v>
      </c>
      <c r="E1406" s="190">
        <f>'2011'!G406</f>
        <v>9130528.59</v>
      </c>
      <c r="F1406" s="190">
        <f>'2011'!H406</f>
        <v>0</v>
      </c>
      <c r="G1406" s="190">
        <f>'2011'!I406</f>
        <v>9130528.59</v>
      </c>
    </row>
    <row r="1407" spans="1:7" ht="12.75" customHeight="1">
      <c r="A1407" s="190" t="str">
        <f>'2011'!C407</f>
        <v>Tagesbetreuung</v>
      </c>
      <c r="B1407" s="190">
        <f>'2011'!D407</f>
        <v>182636.45000000007</v>
      </c>
      <c r="C1407" s="190">
        <f>'2011'!E407</f>
        <v>151112.4</v>
      </c>
      <c r="D1407" s="190">
        <f>'2011'!F407</f>
        <v>168141.08000000002</v>
      </c>
      <c r="E1407" s="190">
        <f>'2011'!G407</f>
        <v>501889.9300000001</v>
      </c>
      <c r="F1407" s="190">
        <f>'2011'!H407</f>
        <v>395881.7</v>
      </c>
      <c r="G1407" s="190">
        <f>'2011'!I407</f>
        <v>897771.6300000001</v>
      </c>
    </row>
    <row r="1408" spans="1:7" ht="12.75" customHeight="1">
      <c r="A1408" s="190" t="str">
        <f>'2011'!C408</f>
        <v>Schulleitung u. Schulverwaltung</v>
      </c>
      <c r="B1408" s="190">
        <f>'2011'!D408</f>
        <v>865758.65</v>
      </c>
      <c r="C1408" s="190">
        <f>'2011'!E408</f>
        <v>1279009.6</v>
      </c>
      <c r="D1408" s="190">
        <f>'2011'!F408</f>
        <v>1423921.0599999998</v>
      </c>
      <c r="E1408" s="190">
        <f>'2011'!G408</f>
        <v>3568689.3099999996</v>
      </c>
      <c r="F1408" s="190">
        <f>'2011'!H408</f>
        <v>55392.2</v>
      </c>
      <c r="G1408" s="190">
        <f>'2011'!I408</f>
        <v>3624081.51</v>
      </c>
    </row>
    <row r="1409" spans="1:7" ht="12.75" customHeight="1">
      <c r="A1409" s="190" t="str">
        <f>'2011'!C409</f>
        <v>Volksschule Sonstiges</v>
      </c>
      <c r="B1409" s="190">
        <f>'2011'!D409</f>
        <v>216198.4</v>
      </c>
      <c r="C1409" s="190">
        <f>'2011'!E409</f>
        <v>257183.5</v>
      </c>
      <c r="D1409" s="190">
        <f>'2011'!F409</f>
        <v>650268.75</v>
      </c>
      <c r="E1409" s="190">
        <f>'2011'!G409</f>
        <v>1123650.65</v>
      </c>
      <c r="F1409" s="190">
        <f>'2011'!H409</f>
        <v>0</v>
      </c>
      <c r="G1409" s="190">
        <f>'2011'!I409</f>
        <v>1123650.65</v>
      </c>
    </row>
    <row r="1410" spans="1:7" ht="12.75" customHeight="1">
      <c r="A1410" s="190" t="str">
        <f>'2011'!C410</f>
        <v>Sonderschulen</v>
      </c>
      <c r="B1410" s="190">
        <f>'2011'!D410</f>
        <v>0</v>
      </c>
      <c r="C1410" s="190">
        <f>'2011'!E410</f>
        <v>0</v>
      </c>
      <c r="D1410" s="190">
        <f>'2011'!F410</f>
        <v>66173.3</v>
      </c>
      <c r="E1410" s="190">
        <f>'2011'!G410</f>
        <v>66173.3</v>
      </c>
      <c r="F1410" s="190">
        <f>'2011'!H410</f>
        <v>11206645.85</v>
      </c>
      <c r="G1410" s="190">
        <f>'2011'!I410</f>
        <v>11272819.15</v>
      </c>
    </row>
    <row r="1411" spans="1:7" ht="12.75" customHeight="1">
      <c r="A1411" s="190" t="str">
        <f>'2011'!C411</f>
        <v>Sonderschulen</v>
      </c>
      <c r="B1411" s="190">
        <f>'2011'!D411</f>
        <v>0</v>
      </c>
      <c r="C1411" s="190">
        <f>'2011'!E411</f>
        <v>0</v>
      </c>
      <c r="D1411" s="190">
        <f>'2011'!F411</f>
        <v>66173.3</v>
      </c>
      <c r="E1411" s="190">
        <f>'2011'!G411</f>
        <v>66173.3</v>
      </c>
      <c r="F1411" s="190">
        <f>'2011'!H411</f>
        <v>11206645.85</v>
      </c>
      <c r="G1411" s="190">
        <f>'2011'!I411</f>
        <v>11272819.15</v>
      </c>
    </row>
    <row r="1412" spans="1:7" ht="12.75" customHeight="1">
      <c r="A1412" s="190" t="str">
        <f>'2011'!C412</f>
        <v>Berufliche Grundbildung</v>
      </c>
      <c r="B1412" s="190">
        <f>'2011'!D412</f>
        <v>0</v>
      </c>
      <c r="C1412" s="190">
        <f>'2011'!E412</f>
        <v>0</v>
      </c>
      <c r="D1412" s="190">
        <f>'2011'!F412</f>
        <v>0</v>
      </c>
      <c r="E1412" s="190">
        <f>'2011'!G412</f>
        <v>0</v>
      </c>
      <c r="F1412" s="190">
        <f>'2011'!H412</f>
        <v>11954139.620000001</v>
      </c>
      <c r="G1412" s="190">
        <f>'2011'!I412</f>
        <v>11954139.620000001</v>
      </c>
    </row>
    <row r="1413" spans="1:7" ht="12.75" customHeight="1">
      <c r="A1413" s="190" t="str">
        <f>'2011'!C413</f>
        <v>Berufliche Grundbildung</v>
      </c>
      <c r="B1413" s="190">
        <f>'2011'!D413</f>
        <v>0</v>
      </c>
      <c r="C1413" s="190">
        <f>'2011'!E413</f>
        <v>0</v>
      </c>
      <c r="D1413" s="190">
        <f>'2011'!F413</f>
        <v>0</v>
      </c>
      <c r="E1413" s="190">
        <f>'2011'!G413</f>
        <v>0</v>
      </c>
      <c r="F1413" s="190">
        <f>'2011'!H413</f>
        <v>11954139.620000001</v>
      </c>
      <c r="G1413" s="190">
        <f>'2011'!I413</f>
        <v>11954139.620000001</v>
      </c>
    </row>
    <row r="1414" spans="1:7" ht="12.75" customHeight="1">
      <c r="A1414" s="190" t="str">
        <f>'2011'!C414</f>
        <v>Allgemeinbildende Schulen</v>
      </c>
      <c r="B1414" s="190">
        <f>'2011'!D414</f>
        <v>32865</v>
      </c>
      <c r="C1414" s="190">
        <f>'2011'!E414</f>
        <v>0</v>
      </c>
      <c r="D1414" s="190">
        <f>'2011'!F414</f>
        <v>0</v>
      </c>
      <c r="E1414" s="190">
        <f>'2011'!G414</f>
        <v>32865</v>
      </c>
      <c r="F1414" s="190">
        <f>'2011'!H414</f>
        <v>10245285.139999999</v>
      </c>
      <c r="G1414" s="190">
        <f>'2011'!I414</f>
        <v>10278150.139999999</v>
      </c>
    </row>
    <row r="1415" spans="1:7" ht="12.75" customHeight="1">
      <c r="A1415" s="190" t="str">
        <f>'2011'!C415</f>
        <v>Gymnasiale Maturitätsschulen</v>
      </c>
      <c r="B1415" s="190">
        <f>'2011'!D415</f>
        <v>32865</v>
      </c>
      <c r="C1415" s="190">
        <f>'2011'!E415</f>
        <v>0</v>
      </c>
      <c r="D1415" s="190">
        <f>'2011'!F415</f>
        <v>0</v>
      </c>
      <c r="E1415" s="190">
        <f>'2011'!G415</f>
        <v>32865</v>
      </c>
      <c r="F1415" s="190">
        <f>'2011'!H415</f>
        <v>10213885.139999999</v>
      </c>
      <c r="G1415" s="190">
        <f>'2011'!I415</f>
        <v>10246750.139999999</v>
      </c>
    </row>
    <row r="1416" spans="1:7" ht="12.75" customHeight="1">
      <c r="A1416" s="190" t="str">
        <f>'2011'!C416</f>
        <v>Fachmittelschulen u.a.allgemeinbild.Schulen</v>
      </c>
      <c r="B1416" s="190">
        <f>'2011'!D416</f>
        <v>0</v>
      </c>
      <c r="C1416" s="190">
        <f>'2011'!E416</f>
        <v>0</v>
      </c>
      <c r="D1416" s="190">
        <f>'2011'!F416</f>
        <v>0</v>
      </c>
      <c r="E1416" s="190">
        <f>'2011'!G416</f>
        <v>0</v>
      </c>
      <c r="F1416" s="190">
        <f>'2011'!H416</f>
        <v>31400</v>
      </c>
      <c r="G1416" s="190">
        <f>'2011'!I416</f>
        <v>31400</v>
      </c>
    </row>
    <row r="1417" spans="1:7" ht="12.75" customHeight="1">
      <c r="A1417" s="190" t="str">
        <f>'2011'!C417</f>
        <v>Höhere Berufsbildung</v>
      </c>
      <c r="B1417" s="190">
        <f>'2011'!D417</f>
        <v>0</v>
      </c>
      <c r="C1417" s="190">
        <f>'2011'!E417</f>
        <v>0</v>
      </c>
      <c r="D1417" s="190">
        <f>'2011'!F417</f>
        <v>0</v>
      </c>
      <c r="E1417" s="190">
        <f>'2011'!G417</f>
        <v>0</v>
      </c>
      <c r="F1417" s="190">
        <f>'2011'!H417</f>
        <v>1230265.1</v>
      </c>
      <c r="G1417" s="190">
        <f>'2011'!I417</f>
        <v>1230265.1</v>
      </c>
    </row>
    <row r="1418" spans="1:7" ht="12.75" customHeight="1">
      <c r="A1418" s="190" t="str">
        <f>'2011'!C418</f>
        <v>Höhere Berufsbildung</v>
      </c>
      <c r="B1418" s="190">
        <f>'2011'!D418</f>
        <v>0</v>
      </c>
      <c r="C1418" s="190">
        <f>'2011'!E418</f>
        <v>0</v>
      </c>
      <c r="D1418" s="190">
        <f>'2011'!F418</f>
        <v>0</v>
      </c>
      <c r="E1418" s="190">
        <f>'2011'!G418</f>
        <v>0</v>
      </c>
      <c r="F1418" s="190">
        <f>'2011'!H418</f>
        <v>1230265.1</v>
      </c>
      <c r="G1418" s="190">
        <f>'2011'!I418</f>
        <v>1230265.1</v>
      </c>
    </row>
    <row r="1419" spans="1:7" ht="12.75" customHeight="1">
      <c r="A1419" s="190" t="str">
        <f>'2011'!C419</f>
        <v>Hochschulen</v>
      </c>
      <c r="B1419" s="190">
        <f>'2011'!D419</f>
        <v>0</v>
      </c>
      <c r="C1419" s="190">
        <f>'2011'!E419</f>
        <v>0</v>
      </c>
      <c r="D1419" s="190">
        <f>'2011'!F419</f>
        <v>0</v>
      </c>
      <c r="E1419" s="190">
        <f>'2011'!G419</f>
        <v>0</v>
      </c>
      <c r="F1419" s="190">
        <f>'2011'!H419</f>
        <v>9314822.65</v>
      </c>
      <c r="G1419" s="190">
        <f>'2011'!I419</f>
        <v>9314822.65</v>
      </c>
    </row>
    <row r="1420" spans="1:7" ht="12.75" customHeight="1">
      <c r="A1420" s="190" t="str">
        <f>'2011'!C420</f>
        <v>Universitäre Hochschulen</v>
      </c>
      <c r="B1420" s="190">
        <f>'2011'!D420</f>
        <v>0</v>
      </c>
      <c r="C1420" s="190">
        <f>'2011'!E420</f>
        <v>0</v>
      </c>
      <c r="D1420" s="190">
        <f>'2011'!F420</f>
        <v>0</v>
      </c>
      <c r="E1420" s="190">
        <f>'2011'!G420</f>
        <v>0</v>
      </c>
      <c r="F1420" s="190">
        <f>'2011'!H420</f>
        <v>3867180.85</v>
      </c>
      <c r="G1420" s="190">
        <f>'2011'!I420</f>
        <v>3867180.85</v>
      </c>
    </row>
    <row r="1421" spans="1:7" ht="12.75" customHeight="1">
      <c r="A1421" s="190" t="str">
        <f>'2011'!C421</f>
        <v>Pädagogische Hochschulen</v>
      </c>
      <c r="B1421" s="190">
        <f>'2011'!D421</f>
        <v>0</v>
      </c>
      <c r="C1421" s="190">
        <f>'2011'!E421</f>
        <v>0</v>
      </c>
      <c r="D1421" s="190">
        <f>'2011'!F421</f>
        <v>0</v>
      </c>
      <c r="E1421" s="190">
        <f>'2011'!G421</f>
        <v>0</v>
      </c>
      <c r="F1421" s="190">
        <f>'2011'!H421</f>
        <v>2401275.35</v>
      </c>
      <c r="G1421" s="190">
        <f>'2011'!I421</f>
        <v>2401275.35</v>
      </c>
    </row>
    <row r="1422" spans="1:7" ht="12.75" customHeight="1">
      <c r="A1422" s="190" t="str">
        <f>'2011'!C422</f>
        <v>Fachhochschulen</v>
      </c>
      <c r="B1422" s="190">
        <f>'2011'!D422</f>
        <v>0</v>
      </c>
      <c r="C1422" s="190">
        <f>'2011'!E422</f>
        <v>0</v>
      </c>
      <c r="D1422" s="190">
        <f>'2011'!F422</f>
        <v>0</v>
      </c>
      <c r="E1422" s="190">
        <f>'2011'!G422</f>
        <v>0</v>
      </c>
      <c r="F1422" s="190">
        <f>'2011'!H422</f>
        <v>3046366.45</v>
      </c>
      <c r="G1422" s="190">
        <f>'2011'!I422</f>
        <v>3046366.45</v>
      </c>
    </row>
    <row r="1423" spans="1:7" ht="12.75" customHeight="1">
      <c r="A1423" s="190" t="str">
        <f>'2011'!C423</f>
        <v>Forschung</v>
      </c>
      <c r="B1423" s="190">
        <f>'2011'!D423</f>
        <v>0</v>
      </c>
      <c r="C1423" s="190">
        <f>'2011'!E423</f>
        <v>0</v>
      </c>
      <c r="D1423" s="190">
        <f>'2011'!F423</f>
        <v>0</v>
      </c>
      <c r="E1423" s="190">
        <f>'2011'!G423</f>
        <v>0</v>
      </c>
      <c r="F1423" s="190">
        <f>'2011'!H423</f>
        <v>0</v>
      </c>
      <c r="G1423" s="190">
        <f>'2011'!I423</f>
        <v>0</v>
      </c>
    </row>
    <row r="1424" spans="1:7" ht="12.75" customHeight="1">
      <c r="A1424" s="190" t="str">
        <f>'2011'!C424</f>
        <v>Grundlagenforschung</v>
      </c>
      <c r="B1424" s="190">
        <f>'2011'!D424</f>
        <v>0</v>
      </c>
      <c r="C1424" s="190">
        <f>'2011'!E424</f>
        <v>0</v>
      </c>
      <c r="D1424" s="190">
        <f>'2011'!F424</f>
        <v>0</v>
      </c>
      <c r="E1424" s="190">
        <f>'2011'!G424</f>
        <v>0</v>
      </c>
      <c r="F1424" s="190">
        <f>'2011'!H424</f>
        <v>0</v>
      </c>
      <c r="G1424" s="190">
        <f>'2011'!I424</f>
        <v>0</v>
      </c>
    </row>
    <row r="1425" spans="1:7" ht="12.75" customHeight="1">
      <c r="A1425" s="190" t="str">
        <f>'2011'!C425</f>
        <v>F&amp;E in Bildung</v>
      </c>
      <c r="B1425" s="190">
        <f>'2011'!D425</f>
        <v>0</v>
      </c>
      <c r="C1425" s="190">
        <f>'2011'!E425</f>
        <v>0</v>
      </c>
      <c r="D1425" s="190">
        <f>'2011'!F425</f>
        <v>0</v>
      </c>
      <c r="E1425" s="190">
        <f>'2011'!G425</f>
        <v>0</v>
      </c>
      <c r="F1425" s="190">
        <f>'2011'!H425</f>
        <v>0</v>
      </c>
      <c r="G1425" s="190">
        <f>'2011'!I425</f>
        <v>0</v>
      </c>
    </row>
    <row r="1426" spans="1:7" ht="12.75" customHeight="1">
      <c r="A1426" s="190" t="str">
        <f>'2011'!C426</f>
        <v>Übriges Bildungswesen</v>
      </c>
      <c r="B1426" s="190">
        <f>'2011'!D426</f>
        <v>0</v>
      </c>
      <c r="C1426" s="190">
        <f>'2011'!E426</f>
        <v>5000</v>
      </c>
      <c r="D1426" s="190">
        <f>'2011'!F426</f>
        <v>112733.5</v>
      </c>
      <c r="E1426" s="190">
        <f>'2011'!G426</f>
        <v>117733.5</v>
      </c>
      <c r="F1426" s="190">
        <f>'2011'!H426</f>
        <v>771109.35</v>
      </c>
      <c r="G1426" s="190">
        <f>'2011'!I426</f>
        <v>888842.85</v>
      </c>
    </row>
    <row r="1427" spans="1:7" ht="12.75" customHeight="1">
      <c r="A1427" s="190" t="str">
        <f>'2011'!C427</f>
        <v>Verwaltung</v>
      </c>
      <c r="B1427" s="190">
        <f>'2011'!D427</f>
        <v>0</v>
      </c>
      <c r="C1427" s="190">
        <f>'2011'!E427</f>
        <v>0</v>
      </c>
      <c r="D1427" s="190">
        <f>'2011'!F427</f>
        <v>0</v>
      </c>
      <c r="E1427" s="190">
        <f>'2011'!G427</f>
        <v>0</v>
      </c>
      <c r="F1427" s="190">
        <f>'2011'!H427</f>
        <v>366752.85</v>
      </c>
      <c r="G1427" s="190">
        <f>'2011'!I427</f>
        <v>366752.85</v>
      </c>
    </row>
    <row r="1428" spans="1:7" ht="12.75" customHeight="1">
      <c r="A1428" s="190" t="str">
        <f>'2011'!C428</f>
        <v>Bildung, n.a.g.</v>
      </c>
      <c r="B1428" s="190">
        <f>'2011'!D428</f>
        <v>0</v>
      </c>
      <c r="C1428" s="190">
        <f>'2011'!E428</f>
        <v>5000</v>
      </c>
      <c r="D1428" s="190">
        <f>'2011'!F428</f>
        <v>112733.5</v>
      </c>
      <c r="E1428" s="190">
        <f>'2011'!G428</f>
        <v>117733.5</v>
      </c>
      <c r="F1428" s="190">
        <f>'2011'!H428</f>
        <v>404356.5</v>
      </c>
      <c r="G1428" s="190">
        <f>'2011'!I428</f>
        <v>522090</v>
      </c>
    </row>
    <row r="1429" spans="1:7" ht="12.75" customHeight="1">
      <c r="A1429" s="190" t="str">
        <f>'2011'!C429</f>
        <v>KULTUR, SPORT UND FREIZEIT, KIRCHE</v>
      </c>
      <c r="B1429" s="190">
        <f>'2011'!D429</f>
        <v>714301.3500000001</v>
      </c>
      <c r="C1429" s="190">
        <f>'2011'!E429</f>
        <v>1716249.71</v>
      </c>
      <c r="D1429" s="190">
        <f>'2011'!F429</f>
        <v>2034348.27</v>
      </c>
      <c r="E1429" s="190">
        <f>'2011'!G429</f>
        <v>4464899.33</v>
      </c>
      <c r="F1429" s="190">
        <f>'2011'!H429</f>
        <v>3100335.1899999995</v>
      </c>
      <c r="G1429" s="190">
        <f>'2011'!I429</f>
        <v>7565234.52</v>
      </c>
    </row>
    <row r="1430" spans="1:7" ht="12.75" customHeight="1">
      <c r="A1430" s="190" t="str">
        <f>'2011'!C430</f>
        <v>Kulturerbe</v>
      </c>
      <c r="B1430" s="190">
        <f>'2011'!D430</f>
        <v>69505.95</v>
      </c>
      <c r="C1430" s="190">
        <f>'2011'!E430</f>
        <v>81690</v>
      </c>
      <c r="D1430" s="190">
        <f>'2011'!F430</f>
        <v>89117.15</v>
      </c>
      <c r="E1430" s="190">
        <f>'2011'!G430</f>
        <v>240313.1</v>
      </c>
      <c r="F1430" s="190">
        <f>'2011'!H430</f>
        <v>1051727.0499999998</v>
      </c>
      <c r="G1430" s="190">
        <f>'2011'!I430</f>
        <v>1292040.15</v>
      </c>
    </row>
    <row r="1431" spans="1:7" ht="12.75" customHeight="1">
      <c r="A1431" s="190" t="str">
        <f>'2011'!C431</f>
        <v>Museen und bildende Kunst</v>
      </c>
      <c r="B1431" s="190">
        <f>'2011'!D431</f>
        <v>0</v>
      </c>
      <c r="C1431" s="190">
        <f>'2011'!E431</f>
        <v>0</v>
      </c>
      <c r="D1431" s="190">
        <f>'2011'!F431</f>
        <v>23917.2</v>
      </c>
      <c r="E1431" s="190">
        <f>'2011'!G431</f>
        <v>23917.2</v>
      </c>
      <c r="F1431" s="190">
        <f>'2011'!H431</f>
        <v>545557.65</v>
      </c>
      <c r="G1431" s="190">
        <f>'2011'!I431</f>
        <v>569474.85</v>
      </c>
    </row>
    <row r="1432" spans="1:7" ht="12.75" customHeight="1">
      <c r="A1432" s="190" t="str">
        <f>'2011'!C432</f>
        <v>Dankmalpflege und Heimatschutz</v>
      </c>
      <c r="B1432" s="190">
        <f>'2011'!D432</f>
        <v>69505.95</v>
      </c>
      <c r="C1432" s="190">
        <f>'2011'!E432</f>
        <v>81690</v>
      </c>
      <c r="D1432" s="190">
        <f>'2011'!F432</f>
        <v>65199.95</v>
      </c>
      <c r="E1432" s="190">
        <f>'2011'!G432</f>
        <v>216395.90000000002</v>
      </c>
      <c r="F1432" s="190">
        <f>'2011'!H432</f>
        <v>506169.3999999999</v>
      </c>
      <c r="G1432" s="190">
        <f>'2011'!I432</f>
        <v>722565.2999999999</v>
      </c>
    </row>
    <row r="1433" spans="1:7" ht="12.75" customHeight="1">
      <c r="A1433" s="190" t="str">
        <f>'2011'!C433</f>
        <v>Kultur, übrige</v>
      </c>
      <c r="B1433" s="190">
        <f>'2011'!D433</f>
        <v>173952.45</v>
      </c>
      <c r="C1433" s="190">
        <f>'2011'!E433</f>
        <v>351347.4</v>
      </c>
      <c r="D1433" s="190">
        <f>'2011'!F433</f>
        <v>722249.5700000001</v>
      </c>
      <c r="E1433" s="190">
        <f>'2011'!G433</f>
        <v>1247549.4200000002</v>
      </c>
      <c r="F1433" s="190">
        <f>'2011'!H433</f>
        <v>872877.6499999999</v>
      </c>
      <c r="G1433" s="190">
        <f>'2011'!I433</f>
        <v>2120427.0700000003</v>
      </c>
    </row>
    <row r="1434" spans="1:7" ht="12.75" customHeight="1">
      <c r="A1434" s="190" t="str">
        <f>'2011'!C434</f>
        <v>Bibliotheken</v>
      </c>
      <c r="B1434" s="190">
        <f>'2011'!D434</f>
        <v>0</v>
      </c>
      <c r="C1434" s="190">
        <f>'2011'!E434</f>
        <v>16000</v>
      </c>
      <c r="D1434" s="190">
        <f>'2011'!F434</f>
        <v>163149.25</v>
      </c>
      <c r="E1434" s="190">
        <f>'2011'!G434</f>
        <v>179149.25</v>
      </c>
      <c r="F1434" s="190">
        <f>'2011'!H434</f>
        <v>513904.74999999994</v>
      </c>
      <c r="G1434" s="190">
        <f>'2011'!I434</f>
        <v>693054</v>
      </c>
    </row>
    <row r="1435" spans="1:7" ht="12.75" customHeight="1">
      <c r="A1435" s="190" t="str">
        <f>'2011'!C435</f>
        <v>Konzert und Theater</v>
      </c>
      <c r="B1435" s="190">
        <f>'2011'!D435</f>
        <v>0</v>
      </c>
      <c r="C1435" s="190">
        <f>'2011'!E435</f>
        <v>25210</v>
      </c>
      <c r="D1435" s="190">
        <f>'2011'!F435</f>
        <v>0</v>
      </c>
      <c r="E1435" s="190">
        <f>'2011'!G435</f>
        <v>25210</v>
      </c>
      <c r="F1435" s="190">
        <f>'2011'!H435</f>
        <v>0</v>
      </c>
      <c r="G1435" s="190">
        <f>'2011'!I435</f>
        <v>25210</v>
      </c>
    </row>
    <row r="1436" spans="1:7" ht="12.75" customHeight="1">
      <c r="A1436" s="190" t="str">
        <f>'2011'!C436</f>
        <v>Kultur n.a.g.</v>
      </c>
      <c r="B1436" s="190">
        <f>'2011'!D436</f>
        <v>173952.45</v>
      </c>
      <c r="C1436" s="190">
        <f>'2011'!E436</f>
        <v>310137.4</v>
      </c>
      <c r="D1436" s="190">
        <f>'2011'!F436</f>
        <v>559100.3200000001</v>
      </c>
      <c r="E1436" s="190">
        <f>'2011'!G436</f>
        <v>1043190.1700000002</v>
      </c>
      <c r="F1436" s="190">
        <f>'2011'!H436</f>
        <v>358972.9</v>
      </c>
      <c r="G1436" s="190">
        <f>'2011'!I436</f>
        <v>1402163.0700000003</v>
      </c>
    </row>
    <row r="1437" spans="1:7" ht="12.75" customHeight="1">
      <c r="A1437" s="190" t="str">
        <f>'2011'!C437</f>
        <v>Medien</v>
      </c>
      <c r="B1437" s="190">
        <f>'2011'!D437</f>
        <v>0</v>
      </c>
      <c r="C1437" s="190">
        <f>'2011'!E437</f>
        <v>0</v>
      </c>
      <c r="D1437" s="190">
        <f>'2011'!F437</f>
        <v>0</v>
      </c>
      <c r="E1437" s="190">
        <f>'2011'!G437</f>
        <v>0</v>
      </c>
      <c r="F1437" s="190">
        <f>'2011'!H437</f>
        <v>0</v>
      </c>
      <c r="G1437" s="190">
        <f>'2011'!I437</f>
        <v>0</v>
      </c>
    </row>
    <row r="1438" spans="1:7" ht="12.75" customHeight="1">
      <c r="A1438" s="190" t="str">
        <f>'2011'!C438</f>
        <v>Film und Kino</v>
      </c>
      <c r="B1438" s="190">
        <f>'2011'!D438</f>
        <v>0</v>
      </c>
      <c r="C1438" s="190">
        <f>'2011'!E438</f>
        <v>0</v>
      </c>
      <c r="D1438" s="190">
        <f>'2011'!F438</f>
        <v>0</v>
      </c>
      <c r="E1438" s="190">
        <f>'2011'!G438</f>
        <v>0</v>
      </c>
      <c r="F1438" s="190">
        <f>'2011'!H438</f>
        <v>0</v>
      </c>
      <c r="G1438" s="190">
        <f>'2011'!I438</f>
        <v>0</v>
      </c>
    </row>
    <row r="1439" spans="1:7" ht="12.75" customHeight="1">
      <c r="A1439" s="190" t="str">
        <f>'2011'!C439</f>
        <v>Massenmedien</v>
      </c>
      <c r="B1439" s="190">
        <f>'2011'!D439</f>
        <v>0</v>
      </c>
      <c r="C1439" s="190">
        <f>'2011'!E439</f>
        <v>0</v>
      </c>
      <c r="D1439" s="190">
        <f>'2011'!F439</f>
        <v>0</v>
      </c>
      <c r="E1439" s="190">
        <f>'2011'!G439</f>
        <v>0</v>
      </c>
      <c r="F1439" s="190">
        <f>'2011'!H439</f>
        <v>0</v>
      </c>
      <c r="G1439" s="190">
        <f>'2011'!I439</f>
        <v>0</v>
      </c>
    </row>
    <row r="1440" spans="1:7" ht="12.75" customHeight="1">
      <c r="A1440" s="190" t="str">
        <f>'2011'!C440</f>
        <v>Antennen- und Kabelanlagen (SF)</v>
      </c>
      <c r="B1440" s="190">
        <f>'2011'!D440</f>
        <v>0</v>
      </c>
      <c r="C1440" s="190">
        <f>'2011'!E440</f>
        <v>0</v>
      </c>
      <c r="D1440" s="190">
        <f>'2011'!F440</f>
        <v>0</v>
      </c>
      <c r="E1440" s="190">
        <f>'2011'!G440</f>
        <v>0</v>
      </c>
      <c r="F1440" s="190">
        <f>'2011'!H440</f>
        <v>0</v>
      </c>
      <c r="G1440" s="190">
        <f>'2011'!I440</f>
        <v>0</v>
      </c>
    </row>
    <row r="1441" spans="1:7" ht="12.75" customHeight="1">
      <c r="A1441" s="190" t="str">
        <f>'2011'!C441</f>
        <v>Sport und Freizeit</v>
      </c>
      <c r="B1441" s="190">
        <f>'2011'!D441</f>
        <v>470842.95</v>
      </c>
      <c r="C1441" s="190">
        <f>'2011'!E441</f>
        <v>1035556.21</v>
      </c>
      <c r="D1441" s="190">
        <f>'2011'!F441</f>
        <v>1222981.55</v>
      </c>
      <c r="E1441" s="190">
        <f>'2011'!G441</f>
        <v>2729380.71</v>
      </c>
      <c r="F1441" s="190">
        <f>'2011'!H441</f>
        <v>1175730.49</v>
      </c>
      <c r="G1441" s="190">
        <f>'2011'!I441</f>
        <v>3905111.2</v>
      </c>
    </row>
    <row r="1442" spans="1:7" ht="12.75" customHeight="1">
      <c r="A1442" s="190" t="str">
        <f>'2011'!C442</f>
        <v>Sport</v>
      </c>
      <c r="B1442" s="190">
        <f>'2011'!D442</f>
        <v>180299.05</v>
      </c>
      <c r="C1442" s="190">
        <f>'2011'!E442</f>
        <v>673047.46</v>
      </c>
      <c r="D1442" s="190">
        <f>'2011'!F442</f>
        <v>1048581.45</v>
      </c>
      <c r="E1442" s="190">
        <f>'2011'!G442</f>
        <v>1901927.96</v>
      </c>
      <c r="F1442" s="190">
        <f>'2011'!H442</f>
        <v>1125730.59</v>
      </c>
      <c r="G1442" s="190">
        <f>'2011'!I442</f>
        <v>3027658.55</v>
      </c>
    </row>
    <row r="1443" spans="1:7" ht="12.75" customHeight="1">
      <c r="A1443" s="190" t="str">
        <f>'2011'!C443</f>
        <v>Freizeit</v>
      </c>
      <c r="B1443" s="190">
        <f>'2011'!D443</f>
        <v>290543.9</v>
      </c>
      <c r="C1443" s="190">
        <f>'2011'!E443</f>
        <v>362508.75</v>
      </c>
      <c r="D1443" s="190">
        <f>'2011'!F443</f>
        <v>174400.1</v>
      </c>
      <c r="E1443" s="190">
        <f>'2011'!G443</f>
        <v>827452.75</v>
      </c>
      <c r="F1443" s="190">
        <f>'2011'!H443</f>
        <v>49999.9</v>
      </c>
      <c r="G1443" s="190">
        <f>'2011'!I443</f>
        <v>877452.65</v>
      </c>
    </row>
    <row r="1444" spans="1:7" ht="12.75" customHeight="1">
      <c r="A1444" s="190" t="str">
        <f>'2011'!C444</f>
        <v>Kirchen u. religiöse Angelegeneheiten</v>
      </c>
      <c r="B1444" s="190">
        <f>'2011'!D444</f>
        <v>0</v>
      </c>
      <c r="C1444" s="190">
        <f>'2011'!E444</f>
        <v>247656.1</v>
      </c>
      <c r="D1444" s="190">
        <f>'2011'!F444</f>
        <v>0</v>
      </c>
      <c r="E1444" s="190">
        <f>'2011'!G444</f>
        <v>247656.1</v>
      </c>
      <c r="F1444" s="190">
        <f>'2011'!H444</f>
        <v>0</v>
      </c>
      <c r="G1444" s="190">
        <f>'2011'!I444</f>
        <v>247656.1</v>
      </c>
    </row>
    <row r="1445" spans="1:7" ht="12.75" customHeight="1">
      <c r="A1445" s="190" t="str">
        <f>'2011'!C445</f>
        <v>Kirchen u. religiöse Angelegenheiten</v>
      </c>
      <c r="B1445" s="190">
        <f>'2011'!D445</f>
        <v>0</v>
      </c>
      <c r="C1445" s="190">
        <f>'2011'!E445</f>
        <v>247656.1</v>
      </c>
      <c r="D1445" s="190">
        <f>'2011'!F445</f>
        <v>0</v>
      </c>
      <c r="E1445" s="190">
        <f>'2011'!G445</f>
        <v>247656.1</v>
      </c>
      <c r="F1445" s="190">
        <f>'2011'!H445</f>
        <v>0</v>
      </c>
      <c r="G1445" s="190">
        <f>'2011'!I445</f>
        <v>247656.1</v>
      </c>
    </row>
    <row r="1446" spans="1:7" ht="12.75" customHeight="1">
      <c r="A1446" s="190" t="str">
        <f>'2011'!C446</f>
        <v>F&amp;E in Kultur, Sport, Freizeit u. Kirche</v>
      </c>
      <c r="B1446" s="190">
        <f>'2011'!D446</f>
        <v>0</v>
      </c>
      <c r="C1446" s="190">
        <f>'2011'!E446</f>
        <v>0</v>
      </c>
      <c r="D1446" s="190">
        <f>'2011'!F446</f>
        <v>0</v>
      </c>
      <c r="E1446" s="190">
        <f>'2011'!G446</f>
        <v>0</v>
      </c>
      <c r="F1446" s="190">
        <f>'2011'!H446</f>
        <v>0</v>
      </c>
      <c r="G1446" s="190">
        <f>'2011'!I446</f>
        <v>0</v>
      </c>
    </row>
    <row r="1447" spans="1:7" ht="12.75" customHeight="1">
      <c r="A1447" s="190" t="str">
        <f>'2011'!C447</f>
        <v>F&amp;E Kultur und Medien</v>
      </c>
      <c r="B1447" s="190">
        <f>'2011'!D447</f>
        <v>0</v>
      </c>
      <c r="C1447" s="190">
        <f>'2011'!E447</f>
        <v>0</v>
      </c>
      <c r="D1447" s="190">
        <f>'2011'!F447</f>
        <v>0</v>
      </c>
      <c r="E1447" s="190">
        <f>'2011'!G447</f>
        <v>0</v>
      </c>
      <c r="F1447" s="190">
        <f>'2011'!H447</f>
        <v>0</v>
      </c>
      <c r="G1447" s="190">
        <f>'2011'!I447</f>
        <v>0</v>
      </c>
    </row>
    <row r="1448" spans="1:7" ht="12.75" customHeight="1">
      <c r="A1448" s="190" t="str">
        <f>'2011'!C448</f>
        <v>F&amp;E in Sport und Freizeit</v>
      </c>
      <c r="B1448" s="190">
        <f>'2011'!D448</f>
        <v>0</v>
      </c>
      <c r="C1448" s="190">
        <f>'2011'!E448</f>
        <v>0</v>
      </c>
      <c r="D1448" s="190">
        <f>'2011'!F448</f>
        <v>0</v>
      </c>
      <c r="E1448" s="190">
        <f>'2011'!G448</f>
        <v>0</v>
      </c>
      <c r="F1448" s="190">
        <f>'2011'!H448</f>
        <v>0</v>
      </c>
      <c r="G1448" s="190">
        <f>'2011'!I448</f>
        <v>0</v>
      </c>
    </row>
    <row r="1449" spans="1:7" ht="12.75" customHeight="1">
      <c r="A1449" s="190" t="str">
        <f>'2011'!C449</f>
        <v>GESUNDHEIT</v>
      </c>
      <c r="B1449" s="190">
        <f>'2011'!D449</f>
        <v>2051279.7500000002</v>
      </c>
      <c r="C1449" s="190">
        <f>'2011'!E449</f>
        <v>2379957.85</v>
      </c>
      <c r="D1449" s="190">
        <f>'2011'!F449</f>
        <v>3716231.6500000004</v>
      </c>
      <c r="E1449" s="190">
        <f>'2011'!G449</f>
        <v>8147469.250000001</v>
      </c>
      <c r="F1449" s="190">
        <f>'2011'!H449</f>
        <v>49164886.87</v>
      </c>
      <c r="G1449" s="190">
        <f>'2011'!I449</f>
        <v>57312356.12</v>
      </c>
    </row>
    <row r="1450" spans="1:7" ht="12.75" customHeight="1">
      <c r="A1450" s="190" t="str">
        <f>'2011'!C450</f>
        <v>Spitäler, Kranken- u. Pflegeheime</v>
      </c>
      <c r="B1450" s="190">
        <f>'2011'!D450</f>
        <v>1853669.3</v>
      </c>
      <c r="C1450" s="190">
        <f>'2011'!E450</f>
        <v>2246020.9</v>
      </c>
      <c r="D1450" s="190">
        <f>'2011'!F450</f>
        <v>2955522.95</v>
      </c>
      <c r="E1450" s="190">
        <f>'2011'!G450</f>
        <v>7055213.15</v>
      </c>
      <c r="F1450" s="190">
        <f>'2011'!H450</f>
        <v>47193319.57</v>
      </c>
      <c r="G1450" s="190">
        <f>'2011'!I450</f>
        <v>54248532.72</v>
      </c>
    </row>
    <row r="1451" spans="1:7" ht="12.75" customHeight="1">
      <c r="A1451" s="190" t="str">
        <f>'2011'!C451</f>
        <v>Spitäler</v>
      </c>
      <c r="B1451" s="190">
        <f>'2011'!D451</f>
        <v>0</v>
      </c>
      <c r="C1451" s="190">
        <f>'2011'!E451</f>
        <v>0</v>
      </c>
      <c r="D1451" s="190">
        <f>'2011'!F451</f>
        <v>0</v>
      </c>
      <c r="E1451" s="190">
        <f>'2011'!G451</f>
        <v>0</v>
      </c>
      <c r="F1451" s="190">
        <f>'2011'!H451</f>
        <v>35752242.14</v>
      </c>
      <c r="G1451" s="190">
        <f>'2011'!I451</f>
        <v>35752242.14</v>
      </c>
    </row>
    <row r="1452" spans="1:7" ht="12.75" customHeight="1">
      <c r="A1452" s="190" t="str">
        <f>'2011'!C452</f>
        <v>Alters-, Kranken- u. Pflegeheime</v>
      </c>
      <c r="B1452" s="190">
        <f>'2011'!D452</f>
        <v>1853669.3</v>
      </c>
      <c r="C1452" s="190">
        <f>'2011'!E452</f>
        <v>2246020.9</v>
      </c>
      <c r="D1452" s="190">
        <f>'2011'!F452</f>
        <v>2955522.95</v>
      </c>
      <c r="E1452" s="190">
        <f>'2011'!G452</f>
        <v>7055213.15</v>
      </c>
      <c r="F1452" s="190">
        <f>'2011'!H452</f>
        <v>11441077.43</v>
      </c>
      <c r="G1452" s="190">
        <f>'2011'!I452</f>
        <v>18496290.58</v>
      </c>
    </row>
    <row r="1453" spans="1:7" ht="12.75" customHeight="1">
      <c r="A1453" s="190" t="str">
        <f>'2011'!C453</f>
        <v>Psychiatrische Kliniken</v>
      </c>
      <c r="B1453" s="190">
        <f>'2011'!D453</f>
        <v>0</v>
      </c>
      <c r="C1453" s="190">
        <f>'2011'!E453</f>
        <v>0</v>
      </c>
      <c r="D1453" s="190">
        <f>'2011'!F453</f>
        <v>0</v>
      </c>
      <c r="E1453" s="190">
        <f>'2011'!G453</f>
        <v>0</v>
      </c>
      <c r="F1453" s="190">
        <f>'2011'!H453</f>
        <v>0</v>
      </c>
      <c r="G1453" s="190">
        <f>'2011'!I453</f>
        <v>0</v>
      </c>
    </row>
    <row r="1454" spans="1:7" ht="12.75" customHeight="1">
      <c r="A1454" s="190" t="str">
        <f>'2011'!C454</f>
        <v>Ambulante Krankenpflege</v>
      </c>
      <c r="B1454" s="190">
        <f>'2011'!D454</f>
        <v>186138.6</v>
      </c>
      <c r="C1454" s="190">
        <f>'2011'!E454</f>
        <v>133936.95</v>
      </c>
      <c r="D1454" s="190">
        <f>'2011'!F454</f>
        <v>748616.7</v>
      </c>
      <c r="E1454" s="190">
        <f>'2011'!G454</f>
        <v>1068692.25</v>
      </c>
      <c r="F1454" s="190">
        <f>'2011'!H454</f>
        <v>717087.3</v>
      </c>
      <c r="G1454" s="190">
        <f>'2011'!I454</f>
        <v>1785779.55</v>
      </c>
    </row>
    <row r="1455" spans="1:7" ht="12.75" customHeight="1">
      <c r="A1455" s="190" t="str">
        <f>'2011'!C455</f>
        <v>Ambulante Krankenpflege</v>
      </c>
      <c r="B1455" s="190">
        <f>'2011'!D455</f>
        <v>186138.6</v>
      </c>
      <c r="C1455" s="190">
        <f>'2011'!E455</f>
        <v>133936.95</v>
      </c>
      <c r="D1455" s="190">
        <f>'2011'!F455</f>
        <v>748616.7</v>
      </c>
      <c r="E1455" s="190">
        <f>'2011'!G455</f>
        <v>1068692.25</v>
      </c>
      <c r="F1455" s="190">
        <f>'2011'!H455</f>
        <v>717087.3</v>
      </c>
      <c r="G1455" s="190">
        <f>'2011'!I455</f>
        <v>1785779.55</v>
      </c>
    </row>
    <row r="1456" spans="1:7" ht="12.75" customHeight="1">
      <c r="A1456" s="190" t="str">
        <f>'2011'!C456</f>
        <v>Rettungsdienste</v>
      </c>
      <c r="B1456" s="190">
        <f>'2011'!D456</f>
        <v>0</v>
      </c>
      <c r="C1456" s="190">
        <f>'2011'!E456</f>
        <v>0</v>
      </c>
      <c r="D1456" s="190">
        <f>'2011'!F456</f>
        <v>0</v>
      </c>
      <c r="E1456" s="190">
        <f>'2011'!G456</f>
        <v>0</v>
      </c>
      <c r="F1456" s="190">
        <f>'2011'!H456</f>
        <v>0</v>
      </c>
      <c r="G1456" s="190">
        <f>'2011'!I456</f>
        <v>0</v>
      </c>
    </row>
    <row r="1457" spans="1:7" ht="12.75" customHeight="1">
      <c r="A1457" s="190" t="str">
        <f>'2011'!C457</f>
        <v>Gesundheitsprävention</v>
      </c>
      <c r="B1457" s="190">
        <f>'2011'!D457</f>
        <v>11471.85</v>
      </c>
      <c r="C1457" s="190">
        <f>'2011'!E457</f>
        <v>0</v>
      </c>
      <c r="D1457" s="190">
        <f>'2011'!F457</f>
        <v>0</v>
      </c>
      <c r="E1457" s="190">
        <f>'2011'!G457</f>
        <v>11471.85</v>
      </c>
      <c r="F1457" s="190">
        <f>'2011'!H457</f>
        <v>903563.8500000001</v>
      </c>
      <c r="G1457" s="190">
        <f>'2011'!I457</f>
        <v>915035.7000000001</v>
      </c>
    </row>
    <row r="1458" spans="1:7" ht="12.75" customHeight="1">
      <c r="A1458" s="190" t="str">
        <f>'2011'!C458</f>
        <v>Alkohol- und Drogenmissbrauch</v>
      </c>
      <c r="B1458" s="190">
        <f>'2011'!D458</f>
        <v>0</v>
      </c>
      <c r="C1458" s="190">
        <f>'2011'!E458</f>
        <v>0</v>
      </c>
      <c r="D1458" s="190">
        <f>'2011'!F458</f>
        <v>0</v>
      </c>
      <c r="E1458" s="190">
        <f>'2011'!G458</f>
        <v>0</v>
      </c>
      <c r="F1458" s="190">
        <f>'2011'!H458</f>
        <v>0</v>
      </c>
      <c r="G1458" s="190">
        <f>'2011'!I458</f>
        <v>0</v>
      </c>
    </row>
    <row r="1459" spans="1:7" ht="12.75" customHeight="1">
      <c r="A1459" s="190" t="str">
        <f>'2011'!C459</f>
        <v>Krankheitsbekämpfung, übrige</v>
      </c>
      <c r="B1459" s="190">
        <f>'2011'!D459</f>
        <v>1082.6</v>
      </c>
      <c r="C1459" s="190">
        <f>'2011'!E459</f>
        <v>0</v>
      </c>
      <c r="D1459" s="190">
        <f>'2011'!F459</f>
        <v>0</v>
      </c>
      <c r="E1459" s="190">
        <f>'2011'!G459</f>
        <v>1082.6</v>
      </c>
      <c r="F1459" s="190">
        <f>'2011'!H459</f>
        <v>267250.10000000003</v>
      </c>
      <c r="G1459" s="190">
        <f>'2011'!I459</f>
        <v>268332.7</v>
      </c>
    </row>
    <row r="1460" spans="1:7" ht="12.75" customHeight="1">
      <c r="A1460" s="190" t="str">
        <f>'2011'!C460</f>
        <v>Schulgesundheitsdienst</v>
      </c>
      <c r="B1460" s="190">
        <f>'2011'!D460</f>
        <v>10389.25</v>
      </c>
      <c r="C1460" s="190">
        <f>'2011'!E460</f>
        <v>0</v>
      </c>
      <c r="D1460" s="190">
        <f>'2011'!F460</f>
        <v>0</v>
      </c>
      <c r="E1460" s="190">
        <f>'2011'!G460</f>
        <v>10389.25</v>
      </c>
      <c r="F1460" s="190">
        <f>'2011'!H460</f>
        <v>112654.2</v>
      </c>
      <c r="G1460" s="190">
        <f>'2011'!I460</f>
        <v>123043.45</v>
      </c>
    </row>
    <row r="1461" spans="1:7" ht="12.75" customHeight="1">
      <c r="A1461" s="190" t="str">
        <f>'2011'!C461</f>
        <v>Lebensmittelkontrolle</v>
      </c>
      <c r="B1461" s="190">
        <f>'2011'!D461</f>
        <v>0</v>
      </c>
      <c r="C1461" s="190">
        <f>'2011'!E461</f>
        <v>0</v>
      </c>
      <c r="D1461" s="190">
        <f>'2011'!F461</f>
        <v>0</v>
      </c>
      <c r="E1461" s="190">
        <f>'2011'!G461</f>
        <v>0</v>
      </c>
      <c r="F1461" s="190">
        <f>'2011'!H461</f>
        <v>523659.55</v>
      </c>
      <c r="G1461" s="190">
        <f>'2011'!I461</f>
        <v>523659.55</v>
      </c>
    </row>
    <row r="1462" spans="1:7" ht="12.75" customHeight="1">
      <c r="A1462" s="190" t="str">
        <f>'2011'!C462</f>
        <v>F&amp;E in Gesundheit</v>
      </c>
      <c r="B1462" s="190">
        <f>'2011'!D462</f>
        <v>0</v>
      </c>
      <c r="C1462" s="190">
        <f>'2011'!E462</f>
        <v>0</v>
      </c>
      <c r="D1462" s="190">
        <f>'2011'!F462</f>
        <v>0</v>
      </c>
      <c r="E1462" s="190">
        <f>'2011'!G462</f>
        <v>0</v>
      </c>
      <c r="F1462" s="190">
        <f>'2011'!H462</f>
        <v>0</v>
      </c>
      <c r="G1462" s="190">
        <f>'2011'!I462</f>
        <v>0</v>
      </c>
    </row>
    <row r="1463" spans="1:7" ht="12.75" customHeight="1">
      <c r="A1463" s="190" t="str">
        <f>'2011'!C463</f>
        <v>F&amp;E in Gesundheit</v>
      </c>
      <c r="B1463" s="190">
        <f>'2011'!D463</f>
        <v>0</v>
      </c>
      <c r="C1463" s="190">
        <f>'2011'!E463</f>
        <v>0</v>
      </c>
      <c r="D1463" s="190">
        <f>'2011'!F463</f>
        <v>0</v>
      </c>
      <c r="E1463" s="190">
        <f>'2011'!G463</f>
        <v>0</v>
      </c>
      <c r="F1463" s="190">
        <f>'2011'!H463</f>
        <v>0</v>
      </c>
      <c r="G1463" s="190">
        <f>'2011'!I463</f>
        <v>0</v>
      </c>
    </row>
    <row r="1464" spans="1:7" ht="12.75" customHeight="1">
      <c r="A1464" s="190" t="str">
        <f>'2011'!C464</f>
        <v>Gesundheitswesen, n.a.g.</v>
      </c>
      <c r="B1464" s="190">
        <f>'2011'!D464</f>
        <v>0</v>
      </c>
      <c r="C1464" s="190">
        <f>'2011'!E464</f>
        <v>0</v>
      </c>
      <c r="D1464" s="190">
        <f>'2011'!F464</f>
        <v>12092</v>
      </c>
      <c r="E1464" s="190">
        <f>'2011'!G464</f>
        <v>12092</v>
      </c>
      <c r="F1464" s="190">
        <f>'2011'!H464</f>
        <v>350916.15</v>
      </c>
      <c r="G1464" s="190">
        <f>'2011'!I464</f>
        <v>363008.15</v>
      </c>
    </row>
    <row r="1465" spans="1:7" ht="12.75" customHeight="1">
      <c r="A1465" s="190" t="str">
        <f>'2011'!C465</f>
        <v>Gesundheitswesen, n.a.g.</v>
      </c>
      <c r="B1465" s="190">
        <f>'2011'!D465</f>
        <v>0</v>
      </c>
      <c r="C1465" s="190">
        <f>'2011'!E465</f>
        <v>0</v>
      </c>
      <c r="D1465" s="190">
        <f>'2011'!F465</f>
        <v>12092</v>
      </c>
      <c r="E1465" s="190">
        <f>'2011'!G465</f>
        <v>12092</v>
      </c>
      <c r="F1465" s="190">
        <f>'2011'!H465</f>
        <v>350916.15</v>
      </c>
      <c r="G1465" s="190">
        <f>'2011'!I465</f>
        <v>363008.15</v>
      </c>
    </row>
    <row r="1466" spans="1:7" ht="12.75" customHeight="1">
      <c r="A1466" s="190" t="str">
        <f>'2011'!C466</f>
        <v>SOZIALE SICHERHEIT</v>
      </c>
      <c r="B1466" s="190">
        <f>'2011'!D466</f>
        <v>254054.35</v>
      </c>
      <c r="C1466" s="190">
        <f>'2011'!E466</f>
        <v>491588.94999999995</v>
      </c>
      <c r="D1466" s="190">
        <f>'2011'!F466</f>
        <v>575969.92</v>
      </c>
      <c r="E1466" s="190">
        <f>'2011'!G466</f>
        <v>1321613.22</v>
      </c>
      <c r="F1466" s="190">
        <f>'2011'!H466</f>
        <v>35218680.36999999</v>
      </c>
      <c r="G1466" s="190">
        <f>'2011'!I466</f>
        <v>36540293.58999999</v>
      </c>
    </row>
    <row r="1467" spans="1:7" ht="12.75" customHeight="1">
      <c r="A1467" s="190" t="str">
        <f>'2011'!C467</f>
        <v>Krankheit und Unfall</v>
      </c>
      <c r="B1467" s="190">
        <f>'2011'!D467</f>
        <v>0</v>
      </c>
      <c r="C1467" s="190">
        <f>'2011'!E467</f>
        <v>0</v>
      </c>
      <c r="D1467" s="190">
        <f>'2011'!F467</f>
        <v>0</v>
      </c>
      <c r="E1467" s="190">
        <f>'2011'!G467</f>
        <v>0</v>
      </c>
      <c r="F1467" s="190">
        <f>'2011'!H467</f>
        <v>6705882.1499999985</v>
      </c>
      <c r="G1467" s="190">
        <f>'2011'!I467</f>
        <v>6705882.1499999985</v>
      </c>
    </row>
    <row r="1468" spans="1:7" ht="12.75" customHeight="1">
      <c r="A1468" s="190" t="str">
        <f>'2011'!C468</f>
        <v>Krankenversicherung</v>
      </c>
      <c r="B1468" s="190">
        <f>'2011'!D468</f>
        <v>0</v>
      </c>
      <c r="C1468" s="190">
        <f>'2011'!E468</f>
        <v>0</v>
      </c>
      <c r="D1468" s="190">
        <f>'2011'!F468</f>
        <v>0</v>
      </c>
      <c r="E1468" s="190">
        <f>'2011'!G468</f>
        <v>0</v>
      </c>
      <c r="F1468" s="190">
        <f>'2011'!H468</f>
        <v>0</v>
      </c>
      <c r="G1468" s="190">
        <f>'2011'!I468</f>
        <v>0</v>
      </c>
    </row>
    <row r="1469" spans="1:7" ht="12.75" customHeight="1">
      <c r="A1469" s="190" t="str">
        <f>'2011'!C469</f>
        <v>Prämienverbilligung</v>
      </c>
      <c r="B1469" s="190">
        <f>'2011'!D469</f>
        <v>0</v>
      </c>
      <c r="C1469" s="190">
        <f>'2011'!E469</f>
        <v>0</v>
      </c>
      <c r="D1469" s="190">
        <f>'2011'!F469</f>
        <v>0</v>
      </c>
      <c r="E1469" s="190">
        <f>'2011'!G469</f>
        <v>0</v>
      </c>
      <c r="F1469" s="190">
        <f>'2011'!H469</f>
        <v>6705882.1499999985</v>
      </c>
      <c r="G1469" s="190">
        <f>'2011'!I469</f>
        <v>6705882.1499999985</v>
      </c>
    </row>
    <row r="1470" spans="1:7" ht="12.75" customHeight="1">
      <c r="A1470" s="190" t="str">
        <f>'2011'!C470</f>
        <v>Unfallversicherung</v>
      </c>
      <c r="B1470" s="190">
        <f>'2011'!D470</f>
        <v>0</v>
      </c>
      <c r="C1470" s="190">
        <f>'2011'!E470</f>
        <v>0</v>
      </c>
      <c r="D1470" s="190">
        <f>'2011'!F470</f>
        <v>0</v>
      </c>
      <c r="E1470" s="190">
        <f>'2011'!G470</f>
        <v>0</v>
      </c>
      <c r="F1470" s="190">
        <f>'2011'!H470</f>
        <v>0</v>
      </c>
      <c r="G1470" s="190">
        <f>'2011'!I470</f>
        <v>0</v>
      </c>
    </row>
    <row r="1471" spans="1:7" ht="12.75" customHeight="1">
      <c r="A1471" s="190" t="str">
        <f>'2011'!C471</f>
        <v>Militärversicherung</v>
      </c>
      <c r="B1471" s="190">
        <f>'2011'!D471</f>
        <v>0</v>
      </c>
      <c r="C1471" s="190">
        <f>'2011'!E471</f>
        <v>0</v>
      </c>
      <c r="D1471" s="190">
        <f>'2011'!F471</f>
        <v>0</v>
      </c>
      <c r="E1471" s="190">
        <f>'2011'!G471</f>
        <v>0</v>
      </c>
      <c r="F1471" s="190">
        <f>'2011'!H471</f>
        <v>0</v>
      </c>
      <c r="G1471" s="190">
        <f>'2011'!I471</f>
        <v>0</v>
      </c>
    </row>
    <row r="1472" spans="1:7" ht="12.75" customHeight="1">
      <c r="A1472" s="190" t="str">
        <f>'2011'!C472</f>
        <v>Invalidität</v>
      </c>
      <c r="B1472" s="190">
        <f>'2011'!D472</f>
        <v>0</v>
      </c>
      <c r="C1472" s="190">
        <f>'2011'!E472</f>
        <v>0</v>
      </c>
      <c r="D1472" s="190">
        <f>'2011'!F472</f>
        <v>0</v>
      </c>
      <c r="E1472" s="190">
        <f>'2011'!G472</f>
        <v>0</v>
      </c>
      <c r="F1472" s="190">
        <f>'2011'!H472</f>
        <v>8353729</v>
      </c>
      <c r="G1472" s="190">
        <f>'2011'!I472</f>
        <v>8353729</v>
      </c>
    </row>
    <row r="1473" spans="1:7" ht="12.75" customHeight="1">
      <c r="A1473" s="190" t="str">
        <f>'2011'!C473</f>
        <v>Invalidenversicherung IV</v>
      </c>
      <c r="B1473" s="190">
        <f>'2011'!D473</f>
        <v>0</v>
      </c>
      <c r="C1473" s="190">
        <f>'2011'!E473</f>
        <v>0</v>
      </c>
      <c r="D1473" s="190">
        <f>'2011'!F473</f>
        <v>0</v>
      </c>
      <c r="E1473" s="190">
        <f>'2011'!G473</f>
        <v>0</v>
      </c>
      <c r="F1473" s="190">
        <f>'2011'!H473</f>
        <v>0</v>
      </c>
      <c r="G1473" s="190">
        <f>'2011'!I473</f>
        <v>0</v>
      </c>
    </row>
    <row r="1474" spans="1:7" ht="12.75" customHeight="1">
      <c r="A1474" s="190" t="str">
        <f>'2011'!C474</f>
        <v>Ergänzungsleistungen IV</v>
      </c>
      <c r="B1474" s="190">
        <f>'2011'!D474</f>
        <v>0</v>
      </c>
      <c r="C1474" s="190">
        <f>'2011'!E474</f>
        <v>0</v>
      </c>
      <c r="D1474" s="190">
        <f>'2011'!F474</f>
        <v>0</v>
      </c>
      <c r="E1474" s="190">
        <f>'2011'!G474</f>
        <v>0</v>
      </c>
      <c r="F1474" s="190">
        <f>'2011'!H474</f>
        <v>6640398.4</v>
      </c>
      <c r="G1474" s="190">
        <f>'2011'!I474</f>
        <v>6640398.4</v>
      </c>
    </row>
    <row r="1475" spans="1:7" ht="12.75" customHeight="1">
      <c r="A1475" s="190" t="str">
        <f>'2011'!C475</f>
        <v>Invalidenheime</v>
      </c>
      <c r="B1475" s="190">
        <f>'2011'!D475</f>
        <v>0</v>
      </c>
      <c r="C1475" s="190">
        <f>'2011'!E475</f>
        <v>0</v>
      </c>
      <c r="D1475" s="190">
        <f>'2011'!F475</f>
        <v>0</v>
      </c>
      <c r="E1475" s="190">
        <f>'2011'!G475</f>
        <v>0</v>
      </c>
      <c r="F1475" s="190">
        <f>'2011'!H475</f>
        <v>1600730.6</v>
      </c>
      <c r="G1475" s="190">
        <f>'2011'!I475</f>
        <v>1600730.6</v>
      </c>
    </row>
    <row r="1476" spans="1:7" ht="12.75" customHeight="1">
      <c r="A1476" s="190" t="str">
        <f>'2011'!C476</f>
        <v>Leistungen an Invalide</v>
      </c>
      <c r="B1476" s="190">
        <f>'2011'!D476</f>
        <v>0</v>
      </c>
      <c r="C1476" s="190">
        <f>'2011'!E476</f>
        <v>0</v>
      </c>
      <c r="D1476" s="190">
        <f>'2011'!F476</f>
        <v>0</v>
      </c>
      <c r="E1476" s="190">
        <f>'2011'!G476</f>
        <v>0</v>
      </c>
      <c r="F1476" s="190">
        <f>'2011'!H476</f>
        <v>112600</v>
      </c>
      <c r="G1476" s="190">
        <f>'2011'!I476</f>
        <v>112600</v>
      </c>
    </row>
    <row r="1477" spans="1:7" ht="12.75" customHeight="1">
      <c r="A1477" s="190" t="str">
        <f>'2011'!C477</f>
        <v>Alter und Hinterlassene</v>
      </c>
      <c r="B1477" s="190">
        <f>'2011'!D477</f>
        <v>115564.25</v>
      </c>
      <c r="C1477" s="190">
        <f>'2011'!E477</f>
        <v>103444.1</v>
      </c>
      <c r="D1477" s="190">
        <f>'2011'!F477</f>
        <v>-800</v>
      </c>
      <c r="E1477" s="190">
        <f>'2011'!G477</f>
        <v>218208.35</v>
      </c>
      <c r="F1477" s="190">
        <f>'2011'!H477</f>
        <v>6697608.119999999</v>
      </c>
      <c r="G1477" s="190">
        <f>'2011'!I477</f>
        <v>6915816.469999999</v>
      </c>
    </row>
    <row r="1478" spans="1:7" ht="12.75" customHeight="1">
      <c r="A1478" s="190" t="str">
        <f>'2011'!C478</f>
        <v>Alters- u. Hinterlassenenversich.AHV</v>
      </c>
      <c r="B1478" s="190">
        <f>'2011'!D478</f>
        <v>44931.85</v>
      </c>
      <c r="C1478" s="190">
        <f>'2011'!E478</f>
        <v>700</v>
      </c>
      <c r="D1478" s="190">
        <f>'2011'!F478</f>
        <v>-800</v>
      </c>
      <c r="E1478" s="190">
        <f>'2011'!G478</f>
        <v>44831.85</v>
      </c>
      <c r="F1478" s="190">
        <f>'2011'!H478</f>
        <v>8189.199999999721</v>
      </c>
      <c r="G1478" s="190">
        <f>'2011'!I478</f>
        <v>53021.04999999972</v>
      </c>
    </row>
    <row r="1479" spans="1:7" ht="12.75" customHeight="1">
      <c r="A1479" s="190" t="str">
        <f>'2011'!C479</f>
        <v>Ergänzungsleistungen AHV</v>
      </c>
      <c r="B1479" s="190">
        <f>'2011'!D479</f>
        <v>0</v>
      </c>
      <c r="C1479" s="190">
        <f>'2011'!E479</f>
        <v>0</v>
      </c>
      <c r="D1479" s="190">
        <f>'2011'!F479</f>
        <v>0</v>
      </c>
      <c r="E1479" s="190">
        <f>'2011'!G479</f>
        <v>0</v>
      </c>
      <c r="F1479" s="190">
        <f>'2011'!H479</f>
        <v>5660602.42</v>
      </c>
      <c r="G1479" s="190">
        <f>'2011'!I479</f>
        <v>5660602.42</v>
      </c>
    </row>
    <row r="1480" spans="1:7" ht="12.75" customHeight="1">
      <c r="A1480" s="190" t="str">
        <f>'2011'!C480</f>
        <v>Leistungen an Pensionierte</v>
      </c>
      <c r="B1480" s="190">
        <f>'2011'!D480</f>
        <v>70632.4</v>
      </c>
      <c r="C1480" s="190">
        <f>'2011'!E480</f>
        <v>102744.1</v>
      </c>
      <c r="D1480" s="190">
        <f>'2011'!F480</f>
        <v>0</v>
      </c>
      <c r="E1480" s="190">
        <f>'2011'!G480</f>
        <v>173376.5</v>
      </c>
      <c r="F1480" s="190">
        <f>'2011'!H480</f>
        <v>843816.5</v>
      </c>
      <c r="G1480" s="190">
        <f>'2011'!I480</f>
        <v>1017193</v>
      </c>
    </row>
    <row r="1481" spans="1:7" ht="12.75" customHeight="1">
      <c r="A1481" s="190" t="str">
        <f>'2011'!C481</f>
        <v>Alterswohnungen</v>
      </c>
      <c r="B1481" s="190">
        <f>'2011'!D481</f>
        <v>0</v>
      </c>
      <c r="C1481" s="190">
        <f>'2011'!E481</f>
        <v>0</v>
      </c>
      <c r="D1481" s="190">
        <f>'2011'!F481</f>
        <v>0</v>
      </c>
      <c r="E1481" s="190">
        <f>'2011'!G481</f>
        <v>0</v>
      </c>
      <c r="F1481" s="190">
        <f>'2011'!H481</f>
        <v>0</v>
      </c>
      <c r="G1481" s="190">
        <f>'2011'!I481</f>
        <v>0</v>
      </c>
    </row>
    <row r="1482" spans="1:7" ht="12.75" customHeight="1">
      <c r="A1482" s="190" t="str">
        <f>'2011'!C482</f>
        <v>Leistungen an Alter</v>
      </c>
      <c r="B1482" s="190">
        <f>'2011'!D482</f>
        <v>0</v>
      </c>
      <c r="C1482" s="190">
        <f>'2011'!E482</f>
        <v>0</v>
      </c>
      <c r="D1482" s="190">
        <f>'2011'!F482</f>
        <v>0</v>
      </c>
      <c r="E1482" s="190">
        <f>'2011'!G482</f>
        <v>0</v>
      </c>
      <c r="F1482" s="190">
        <f>'2011'!H482</f>
        <v>185000</v>
      </c>
      <c r="G1482" s="190">
        <f>'2011'!I482</f>
        <v>185000</v>
      </c>
    </row>
    <row r="1483" spans="1:7" ht="12.75" customHeight="1">
      <c r="A1483" s="190" t="str">
        <f>'2011'!C483</f>
        <v>Familie und Jugend</v>
      </c>
      <c r="B1483" s="190">
        <f>'2011'!D483</f>
        <v>52955.7</v>
      </c>
      <c r="C1483" s="190">
        <f>'2011'!E483</f>
        <v>249691.59999999998</v>
      </c>
      <c r="D1483" s="190">
        <f>'2011'!F483</f>
        <v>213079.87</v>
      </c>
      <c r="E1483" s="190">
        <f>'2011'!G483</f>
        <v>515727.17</v>
      </c>
      <c r="F1483" s="190">
        <f>'2011'!H483</f>
        <v>429136</v>
      </c>
      <c r="G1483" s="190">
        <f>'2011'!I483</f>
        <v>944863.1699999999</v>
      </c>
    </row>
    <row r="1484" spans="1:7" ht="12.75" customHeight="1">
      <c r="A1484" s="190" t="str">
        <f>'2011'!C484</f>
        <v>Familienzulagen</v>
      </c>
      <c r="B1484" s="190">
        <f>'2011'!D484</f>
        <v>0</v>
      </c>
      <c r="C1484" s="190">
        <f>'2011'!E484</f>
        <v>0</v>
      </c>
      <c r="D1484" s="190">
        <f>'2011'!F484</f>
        <v>0</v>
      </c>
      <c r="E1484" s="190">
        <f>'2011'!G484</f>
        <v>0</v>
      </c>
      <c r="F1484" s="190">
        <f>'2011'!H484</f>
        <v>0</v>
      </c>
      <c r="G1484" s="190">
        <f>'2011'!I484</f>
        <v>0</v>
      </c>
    </row>
    <row r="1485" spans="1:7" ht="12.75" customHeight="1">
      <c r="A1485" s="190" t="str">
        <f>'2011'!C485</f>
        <v>Mutterschaftsversicherung</v>
      </c>
      <c r="B1485" s="190">
        <f>'2011'!D485</f>
        <v>0</v>
      </c>
      <c r="C1485" s="190">
        <f>'2011'!E485</f>
        <v>0</v>
      </c>
      <c r="D1485" s="190">
        <f>'2011'!F485</f>
        <v>0</v>
      </c>
      <c r="E1485" s="190">
        <f>'2011'!G485</f>
        <v>0</v>
      </c>
      <c r="F1485" s="190">
        <f>'2011'!H485</f>
        <v>0</v>
      </c>
      <c r="G1485" s="190">
        <f>'2011'!I485</f>
        <v>0</v>
      </c>
    </row>
    <row r="1486" spans="1:7" ht="12.75" customHeight="1">
      <c r="A1486" s="190" t="str">
        <f>'2011'!C486</f>
        <v>Alimentenbevorschussund u. -Inkasso</v>
      </c>
      <c r="B1486" s="190">
        <f>'2011'!D486</f>
        <v>0</v>
      </c>
      <c r="C1486" s="190">
        <f>'2011'!E486</f>
        <v>0</v>
      </c>
      <c r="D1486" s="190">
        <f>'2011'!F486</f>
        <v>0</v>
      </c>
      <c r="E1486" s="190">
        <f>'2011'!G486</f>
        <v>0</v>
      </c>
      <c r="F1486" s="190">
        <f>'2011'!H486</f>
        <v>0</v>
      </c>
      <c r="G1486" s="190">
        <f>'2011'!I486</f>
        <v>0</v>
      </c>
    </row>
    <row r="1487" spans="1:7" ht="12.75" customHeight="1">
      <c r="A1487" s="190" t="str">
        <f>'2011'!C487</f>
        <v>Jugendschutz (allgemein)</v>
      </c>
      <c r="B1487" s="190">
        <f>'2011'!D487</f>
        <v>52955.7</v>
      </c>
      <c r="C1487" s="190">
        <f>'2011'!E487</f>
        <v>122617.74999999999</v>
      </c>
      <c r="D1487" s="190">
        <f>'2011'!F487</f>
        <v>175987.97</v>
      </c>
      <c r="E1487" s="190">
        <f>'2011'!G487</f>
        <v>351561.42</v>
      </c>
      <c r="F1487" s="190">
        <f>'2011'!H487</f>
        <v>0</v>
      </c>
      <c r="G1487" s="190">
        <f>'2011'!I487</f>
        <v>351561.42</v>
      </c>
    </row>
    <row r="1488" spans="1:7" ht="12.75" customHeight="1">
      <c r="A1488" s="190" t="str">
        <f>'2011'!C488</f>
        <v>Kinder- und Jugenheime</v>
      </c>
      <c r="B1488" s="190">
        <f>'2011'!D488</f>
        <v>0</v>
      </c>
      <c r="C1488" s="190">
        <f>'2011'!E488</f>
        <v>0</v>
      </c>
      <c r="D1488" s="190">
        <f>'2011'!F488</f>
        <v>0</v>
      </c>
      <c r="E1488" s="190">
        <f>'2011'!G488</f>
        <v>0</v>
      </c>
      <c r="F1488" s="190">
        <f>'2011'!H488</f>
        <v>90500</v>
      </c>
      <c r="G1488" s="190">
        <f>'2011'!I488</f>
        <v>90500</v>
      </c>
    </row>
    <row r="1489" spans="1:7" ht="12.75" customHeight="1">
      <c r="A1489" s="190" t="str">
        <f>'2011'!C489</f>
        <v>Leistungen an Familien (allgemein)</v>
      </c>
      <c r="B1489" s="190">
        <f>'2011'!D489</f>
        <v>0</v>
      </c>
      <c r="C1489" s="190">
        <f>'2011'!E489</f>
        <v>0</v>
      </c>
      <c r="D1489" s="190">
        <f>'2011'!F489</f>
        <v>0</v>
      </c>
      <c r="E1489" s="190">
        <f>'2011'!G489</f>
        <v>0</v>
      </c>
      <c r="F1489" s="190">
        <f>'2011'!H489</f>
        <v>250000</v>
      </c>
      <c r="G1489" s="190">
        <f>'2011'!I489</f>
        <v>250000</v>
      </c>
    </row>
    <row r="1490" spans="1:7" ht="12.75" customHeight="1">
      <c r="A1490" s="190" t="str">
        <f>'2011'!C490</f>
        <v>Kinderkrippen und Kinderhorte</v>
      </c>
      <c r="B1490" s="190">
        <f>'2011'!D490</f>
        <v>0</v>
      </c>
      <c r="C1490" s="190">
        <f>'2011'!E490</f>
        <v>127073.85</v>
      </c>
      <c r="D1490" s="190">
        <f>'2011'!F490</f>
        <v>37091.9</v>
      </c>
      <c r="E1490" s="190">
        <f>'2011'!G490</f>
        <v>164165.75</v>
      </c>
      <c r="F1490" s="190">
        <f>'2011'!H490</f>
        <v>88636</v>
      </c>
      <c r="G1490" s="190">
        <f>'2011'!I490</f>
        <v>252801.75</v>
      </c>
    </row>
    <row r="1491" spans="1:7" ht="12.75" customHeight="1">
      <c r="A1491" s="190" t="str">
        <f>'2011'!C491</f>
        <v>Arbeitslosigkeit</v>
      </c>
      <c r="B1491" s="190">
        <f>'2011'!D491</f>
        <v>0</v>
      </c>
      <c r="C1491" s="190">
        <f>'2011'!E491</f>
        <v>0</v>
      </c>
      <c r="D1491" s="190">
        <f>'2011'!F491</f>
        <v>0</v>
      </c>
      <c r="E1491" s="190">
        <f>'2011'!G491</f>
        <v>0</v>
      </c>
      <c r="F1491" s="190">
        <f>'2011'!H491</f>
        <v>718867.5899999999</v>
      </c>
      <c r="G1491" s="190">
        <f>'2011'!I491</f>
        <v>718867.5899999999</v>
      </c>
    </row>
    <row r="1492" spans="1:7" ht="12.75" customHeight="1">
      <c r="A1492" s="190" t="str">
        <f>'2011'!C492</f>
        <v>Arbeitslosenversicherung</v>
      </c>
      <c r="B1492" s="190">
        <f>'2011'!D492</f>
        <v>0</v>
      </c>
      <c r="C1492" s="190">
        <f>'2011'!E492</f>
        <v>0</v>
      </c>
      <c r="D1492" s="190">
        <f>'2011'!F492</f>
        <v>0</v>
      </c>
      <c r="E1492" s="190">
        <f>'2011'!G492</f>
        <v>0</v>
      </c>
      <c r="F1492" s="190">
        <f>'2011'!H492</f>
        <v>0</v>
      </c>
      <c r="G1492" s="190">
        <f>'2011'!I492</f>
        <v>0</v>
      </c>
    </row>
    <row r="1493" spans="1:7" ht="12.75" customHeight="1">
      <c r="A1493" s="190" t="str">
        <f>'2011'!C493</f>
        <v>Leistungen Arbeitslose</v>
      </c>
      <c r="B1493" s="190">
        <f>'2011'!D493</f>
        <v>0</v>
      </c>
      <c r="C1493" s="190">
        <f>'2011'!E493</f>
        <v>0</v>
      </c>
      <c r="D1493" s="190">
        <f>'2011'!F493</f>
        <v>0</v>
      </c>
      <c r="E1493" s="190">
        <f>'2011'!G493</f>
        <v>0</v>
      </c>
      <c r="F1493" s="190">
        <f>'2011'!H493</f>
        <v>0</v>
      </c>
      <c r="G1493" s="190">
        <f>'2011'!I493</f>
        <v>0</v>
      </c>
    </row>
    <row r="1494" spans="1:7" ht="12.75" customHeight="1">
      <c r="A1494" s="190" t="str">
        <f>'2011'!C494</f>
        <v>Arbeitslosigkeit n.a.g.</v>
      </c>
      <c r="B1494" s="190">
        <f>'2011'!D494</f>
        <v>0</v>
      </c>
      <c r="C1494" s="190">
        <f>'2011'!E494</f>
        <v>0</v>
      </c>
      <c r="D1494" s="190">
        <f>'2011'!F494</f>
        <v>0</v>
      </c>
      <c r="E1494" s="190">
        <f>'2011'!G494</f>
        <v>0</v>
      </c>
      <c r="F1494" s="190">
        <f>'2011'!H494</f>
        <v>718867.5899999999</v>
      </c>
      <c r="G1494" s="190">
        <f>'2011'!I494</f>
        <v>718867.5899999999</v>
      </c>
    </row>
    <row r="1495" spans="1:7" ht="12.75" customHeight="1">
      <c r="A1495" s="190" t="str">
        <f>'2011'!C495</f>
        <v>Soziales Wohnungswesen</v>
      </c>
      <c r="B1495" s="190">
        <f>'2011'!D495</f>
        <v>0</v>
      </c>
      <c r="C1495" s="190">
        <f>'2011'!E495</f>
        <v>0</v>
      </c>
      <c r="D1495" s="190">
        <f>'2011'!F495</f>
        <v>0</v>
      </c>
      <c r="E1495" s="190">
        <f>'2011'!G495</f>
        <v>0</v>
      </c>
      <c r="F1495" s="190">
        <f>'2011'!H495</f>
        <v>0</v>
      </c>
      <c r="G1495" s="190">
        <f>'2011'!I495</f>
        <v>0</v>
      </c>
    </row>
    <row r="1496" spans="1:7" ht="12.75" customHeight="1">
      <c r="A1496" s="190" t="str">
        <f>'2011'!C496</f>
        <v>Soziales Wohnungswesen</v>
      </c>
      <c r="B1496" s="190">
        <f>'2011'!D496</f>
        <v>0</v>
      </c>
      <c r="C1496" s="190">
        <f>'2011'!E496</f>
        <v>0</v>
      </c>
      <c r="D1496" s="190">
        <f>'2011'!F496</f>
        <v>0</v>
      </c>
      <c r="E1496" s="190">
        <f>'2011'!G496</f>
        <v>0</v>
      </c>
      <c r="F1496" s="190">
        <f>'2011'!H496</f>
        <v>0</v>
      </c>
      <c r="G1496" s="190">
        <f>'2011'!I496</f>
        <v>0</v>
      </c>
    </row>
    <row r="1497" spans="1:7" ht="12.75" customHeight="1">
      <c r="A1497" s="190" t="str">
        <f>'2011'!C497</f>
        <v>Sozialhilfe und Asylwesen</v>
      </c>
      <c r="B1497" s="190">
        <f>'2011'!D497</f>
        <v>85534.4</v>
      </c>
      <c r="C1497" s="190">
        <f>'2011'!E497</f>
        <v>128453.25</v>
      </c>
      <c r="D1497" s="190">
        <f>'2011'!F497</f>
        <v>356990.25</v>
      </c>
      <c r="E1497" s="190">
        <f>'2011'!G497</f>
        <v>570977.9</v>
      </c>
      <c r="F1497" s="190">
        <f>'2011'!H497</f>
        <v>12313457.509999998</v>
      </c>
      <c r="G1497" s="190">
        <f>'2011'!I497</f>
        <v>12884435.409999998</v>
      </c>
    </row>
    <row r="1498" spans="1:7" ht="12.75" customHeight="1">
      <c r="A1498" s="190" t="str">
        <f>'2011'!C498</f>
        <v>Beihilfen</v>
      </c>
      <c r="B1498" s="190">
        <f>'2011'!D498</f>
        <v>85534.4</v>
      </c>
      <c r="C1498" s="190">
        <f>'2011'!E498</f>
        <v>128453.25</v>
      </c>
      <c r="D1498" s="190">
        <f>'2011'!F498</f>
        <v>356990.25</v>
      </c>
      <c r="E1498" s="190">
        <f>'2011'!G498</f>
        <v>570977.9</v>
      </c>
      <c r="F1498" s="190">
        <f>'2011'!H498</f>
        <v>0</v>
      </c>
      <c r="G1498" s="190">
        <f>'2011'!I498</f>
        <v>570977.9</v>
      </c>
    </row>
    <row r="1499" spans="1:7" ht="12.75" customHeight="1">
      <c r="A1499" s="190" t="str">
        <f>'2011'!C499</f>
        <v>Wirtschaftliche Hilfe</v>
      </c>
      <c r="B1499" s="190">
        <f>'2011'!D499</f>
        <v>0</v>
      </c>
      <c r="C1499" s="190">
        <f>'2011'!E499</f>
        <v>0</v>
      </c>
      <c r="D1499" s="190">
        <f>'2011'!F499</f>
        <v>0</v>
      </c>
      <c r="E1499" s="190">
        <f>'2011'!G499</f>
        <v>0</v>
      </c>
      <c r="F1499" s="190">
        <f>'2011'!H499</f>
        <v>0</v>
      </c>
      <c r="G1499" s="190">
        <f>'2011'!I499</f>
        <v>0</v>
      </c>
    </row>
    <row r="1500" spans="1:7" ht="12.75" customHeight="1">
      <c r="A1500" s="190" t="str">
        <f>'2011'!C500</f>
        <v>Freiwillige wirtschaftliche Hilfe</v>
      </c>
      <c r="B1500" s="190">
        <f>'2011'!D500</f>
        <v>0</v>
      </c>
      <c r="C1500" s="190">
        <f>'2011'!E500</f>
        <v>0</v>
      </c>
      <c r="D1500" s="190">
        <f>'2011'!F500</f>
        <v>0</v>
      </c>
      <c r="E1500" s="190">
        <f>'2011'!G500</f>
        <v>0</v>
      </c>
      <c r="F1500" s="190">
        <f>'2011'!H500</f>
        <v>0</v>
      </c>
      <c r="G1500" s="190">
        <f>'2011'!I500</f>
        <v>0</v>
      </c>
    </row>
    <row r="1501" spans="1:7" ht="12.75" customHeight="1">
      <c r="A1501" s="190" t="str">
        <f>'2011'!C501</f>
        <v>Asylwesen</v>
      </c>
      <c r="B1501" s="190">
        <f>'2011'!D501</f>
        <v>0</v>
      </c>
      <c r="C1501" s="190">
        <f>'2011'!E501</f>
        <v>0</v>
      </c>
      <c r="D1501" s="190">
        <f>'2011'!F501</f>
        <v>0</v>
      </c>
      <c r="E1501" s="190">
        <f>'2011'!G501</f>
        <v>0</v>
      </c>
      <c r="F1501" s="190">
        <f>'2011'!H501</f>
        <v>0</v>
      </c>
      <c r="G1501" s="190">
        <f>'2011'!I501</f>
        <v>0</v>
      </c>
    </row>
    <row r="1502" spans="1:7" ht="12.75" customHeight="1">
      <c r="A1502" s="190" t="str">
        <f>'2011'!C502</f>
        <v>Fürsorge, n.a.g.</v>
      </c>
      <c r="B1502" s="190">
        <f>'2011'!D502</f>
        <v>0</v>
      </c>
      <c r="C1502" s="190">
        <f>'2011'!E502</f>
        <v>0</v>
      </c>
      <c r="D1502" s="190">
        <f>'2011'!F502</f>
        <v>0</v>
      </c>
      <c r="E1502" s="190">
        <f>'2011'!G502</f>
        <v>0</v>
      </c>
      <c r="F1502" s="190">
        <f>'2011'!H502</f>
        <v>12313457.509999998</v>
      </c>
      <c r="G1502" s="190">
        <f>'2011'!I502</f>
        <v>12313457.509999998</v>
      </c>
    </row>
    <row r="1503" spans="1:7" ht="12.75" customHeight="1">
      <c r="A1503" s="190" t="str">
        <f>'2011'!C503</f>
        <v>F&amp;E in soziale Wohlfahrt</v>
      </c>
      <c r="B1503" s="190">
        <f>'2011'!D503</f>
        <v>0</v>
      </c>
      <c r="C1503" s="190">
        <f>'2011'!E503</f>
        <v>0</v>
      </c>
      <c r="D1503" s="190">
        <f>'2011'!F503</f>
        <v>0</v>
      </c>
      <c r="E1503" s="190">
        <f>'2011'!G503</f>
        <v>0</v>
      </c>
      <c r="F1503" s="190">
        <f>'2011'!H503</f>
        <v>0</v>
      </c>
      <c r="G1503" s="190">
        <f>'2011'!I503</f>
        <v>0</v>
      </c>
    </row>
    <row r="1504" spans="1:7" ht="12.75" customHeight="1">
      <c r="A1504" s="190" t="str">
        <f>'2011'!C504</f>
        <v>F&amp;E in soziale Wohlfahrt</v>
      </c>
      <c r="B1504" s="190">
        <f>'2011'!D504</f>
        <v>0</v>
      </c>
      <c r="C1504" s="190">
        <f>'2011'!E504</f>
        <v>0</v>
      </c>
      <c r="D1504" s="190">
        <f>'2011'!F504</f>
        <v>0</v>
      </c>
      <c r="E1504" s="190">
        <f>'2011'!G504</f>
        <v>0</v>
      </c>
      <c r="F1504" s="190">
        <f>'2011'!H504</f>
        <v>0</v>
      </c>
      <c r="G1504" s="190">
        <f>'2011'!I504</f>
        <v>0</v>
      </c>
    </row>
    <row r="1505" spans="1:7" ht="12.75" customHeight="1">
      <c r="A1505" s="190" t="str">
        <f>'2011'!C505</f>
        <v>Soziale Wohlfahrt n.a.g.</v>
      </c>
      <c r="B1505" s="190">
        <f>'2011'!D505</f>
        <v>0</v>
      </c>
      <c r="C1505" s="190">
        <f>'2011'!E505</f>
        <v>10000</v>
      </c>
      <c r="D1505" s="190">
        <f>'2011'!F505</f>
        <v>6699.8</v>
      </c>
      <c r="E1505" s="190">
        <f>'2011'!G505</f>
        <v>16699.8</v>
      </c>
      <c r="F1505" s="190">
        <f>'2011'!H505</f>
        <v>0</v>
      </c>
      <c r="G1505" s="190">
        <f>'2011'!I505</f>
        <v>16699.8</v>
      </c>
    </row>
    <row r="1506" spans="1:7" ht="12.75" customHeight="1">
      <c r="A1506" s="190" t="str">
        <f>'2011'!C506</f>
        <v>Erwerbsatzodnung</v>
      </c>
      <c r="B1506" s="190">
        <f>'2011'!D506</f>
        <v>0</v>
      </c>
      <c r="C1506" s="190">
        <f>'2011'!E506</f>
        <v>0</v>
      </c>
      <c r="D1506" s="190">
        <f>'2011'!F506</f>
        <v>0</v>
      </c>
      <c r="E1506" s="190">
        <f>'2011'!G506</f>
        <v>0</v>
      </c>
      <c r="F1506" s="190">
        <f>'2011'!H506</f>
        <v>0</v>
      </c>
      <c r="G1506" s="190">
        <f>'2011'!I506</f>
        <v>0</v>
      </c>
    </row>
    <row r="1507" spans="1:7" ht="12.75" customHeight="1">
      <c r="A1507" s="190" t="str">
        <f>'2011'!C507</f>
        <v>Hilfsaktionen im Inland</v>
      </c>
      <c r="B1507" s="190">
        <f>'2011'!D507</f>
        <v>0</v>
      </c>
      <c r="C1507" s="190">
        <f>'2011'!E507</f>
        <v>10000</v>
      </c>
      <c r="D1507" s="190">
        <f>'2011'!F507</f>
        <v>6699.8</v>
      </c>
      <c r="E1507" s="190">
        <f>'2011'!G507</f>
        <v>16699.8</v>
      </c>
      <c r="F1507" s="190">
        <f>'2011'!H507</f>
        <v>0</v>
      </c>
      <c r="G1507" s="190">
        <f>'2011'!I507</f>
        <v>16699.8</v>
      </c>
    </row>
    <row r="1508" spans="1:7" ht="12.75" customHeight="1">
      <c r="A1508" s="190" t="str">
        <f>'2011'!C508</f>
        <v>Hilfsaktionen im Ausland</v>
      </c>
      <c r="B1508" s="190">
        <f>'2011'!D508</f>
        <v>0</v>
      </c>
      <c r="C1508" s="190">
        <f>'2011'!E508</f>
        <v>0</v>
      </c>
      <c r="D1508" s="190">
        <f>'2011'!F508</f>
        <v>0</v>
      </c>
      <c r="E1508" s="190">
        <f>'2011'!G508</f>
        <v>0</v>
      </c>
      <c r="F1508" s="190">
        <f>'2011'!H508</f>
        <v>0</v>
      </c>
      <c r="G1508" s="190">
        <f>'2011'!I508</f>
        <v>0</v>
      </c>
    </row>
    <row r="1509" spans="1:7" ht="12.75" customHeight="1">
      <c r="A1509" s="190" t="str">
        <f>'2011'!C509</f>
        <v>VERKEHR</v>
      </c>
      <c r="B1509" s="190">
        <f>'2011'!D509</f>
        <v>2110918.51</v>
      </c>
      <c r="C1509" s="190">
        <f>'2011'!E509</f>
        <v>2776760.54</v>
      </c>
      <c r="D1509" s="190">
        <f>'2011'!F509</f>
        <v>2772087.2500000005</v>
      </c>
      <c r="E1509" s="190">
        <f>'2011'!G509</f>
        <v>7659766.300000001</v>
      </c>
      <c r="F1509" s="190">
        <f>'2011'!H509</f>
        <v>7665291.55</v>
      </c>
      <c r="G1509" s="190">
        <f>'2011'!I509</f>
        <v>15325057.850000001</v>
      </c>
    </row>
    <row r="1510" spans="1:7" ht="12.75" customHeight="1">
      <c r="A1510" s="190" t="str">
        <f>'2011'!C510</f>
        <v>Strassenverkehr</v>
      </c>
      <c r="B1510" s="190">
        <f>'2011'!D510</f>
        <v>2073323.6599999997</v>
      </c>
      <c r="C1510" s="190">
        <f>'2011'!E510</f>
        <v>2770274.59</v>
      </c>
      <c r="D1510" s="190">
        <f>'2011'!F510</f>
        <v>2755650.1500000004</v>
      </c>
      <c r="E1510" s="190">
        <f>'2011'!G510</f>
        <v>7599248.4</v>
      </c>
      <c r="F1510" s="190">
        <f>'2011'!H510</f>
        <v>0</v>
      </c>
      <c r="G1510" s="190">
        <f>'2011'!I510</f>
        <v>7599248.4</v>
      </c>
    </row>
    <row r="1511" spans="1:7" ht="12.75" customHeight="1">
      <c r="A1511" s="190" t="str">
        <f>'2011'!C511</f>
        <v>Natioanlstrasse</v>
      </c>
      <c r="B1511" s="190">
        <f>'2011'!D511</f>
        <v>0</v>
      </c>
      <c r="C1511" s="190">
        <f>'2011'!E511</f>
        <v>0</v>
      </c>
      <c r="D1511" s="190">
        <f>'2011'!F511</f>
        <v>0</v>
      </c>
      <c r="E1511" s="190">
        <f>'2011'!G511</f>
        <v>0</v>
      </c>
      <c r="F1511" s="190">
        <f>'2011'!H511</f>
        <v>0</v>
      </c>
      <c r="G1511" s="190">
        <f>'2011'!I511</f>
        <v>0</v>
      </c>
    </row>
    <row r="1512" spans="1:7" ht="12.75" customHeight="1">
      <c r="A1512" s="190" t="str">
        <f>'2011'!C512</f>
        <v>Hauptstrasse nach Bundesrecht</v>
      </c>
      <c r="B1512" s="190">
        <f>'2011'!D512</f>
        <v>0</v>
      </c>
      <c r="C1512" s="190">
        <f>'2011'!E512</f>
        <v>0</v>
      </c>
      <c r="D1512" s="190">
        <f>'2011'!F512</f>
        <v>0</v>
      </c>
      <c r="E1512" s="190">
        <f>'2011'!G512</f>
        <v>0</v>
      </c>
      <c r="F1512" s="190">
        <f>'2011'!H512</f>
        <v>0</v>
      </c>
      <c r="G1512" s="190">
        <f>'2011'!I512</f>
        <v>0</v>
      </c>
    </row>
    <row r="1513" spans="1:7" ht="12.75" customHeight="1">
      <c r="A1513" s="190" t="str">
        <f>'2011'!C513</f>
        <v>Kantonsstrassen, übrige</v>
      </c>
      <c r="B1513" s="190">
        <f>'2011'!D513</f>
        <v>70656.05</v>
      </c>
      <c r="C1513" s="190">
        <f>'2011'!E513</f>
        <v>60462.85</v>
      </c>
      <c r="D1513" s="190">
        <f>'2011'!F513</f>
        <v>19725.25</v>
      </c>
      <c r="E1513" s="190">
        <f>'2011'!G513</f>
        <v>150844.15</v>
      </c>
      <c r="F1513" s="190">
        <f>'2011'!H513</f>
        <v>0</v>
      </c>
      <c r="G1513" s="190">
        <f>'2011'!I513</f>
        <v>150844.15</v>
      </c>
    </row>
    <row r="1514" spans="1:7" ht="12.75" customHeight="1">
      <c r="A1514" s="190" t="str">
        <f>'2011'!C514</f>
        <v>Gemeindestrassen</v>
      </c>
      <c r="B1514" s="190">
        <f>'2011'!D514</f>
        <v>1637432.16</v>
      </c>
      <c r="C1514" s="190">
        <f>'2011'!E514</f>
        <v>2644126</v>
      </c>
      <c r="D1514" s="190">
        <f>'2011'!F514</f>
        <v>2544554.1100000003</v>
      </c>
      <c r="E1514" s="190">
        <f>'2011'!G514</f>
        <v>6826112.2700000005</v>
      </c>
      <c r="F1514" s="190">
        <f>'2011'!H514</f>
        <v>0</v>
      </c>
      <c r="G1514" s="190">
        <f>'2011'!I514</f>
        <v>6826112.2700000005</v>
      </c>
    </row>
    <row r="1515" spans="1:7" ht="12.75" customHeight="1">
      <c r="A1515" s="190" t="str">
        <f>'2011'!C515</f>
        <v>Privatstrassen</v>
      </c>
      <c r="B1515" s="190">
        <f>'2011'!D515</f>
        <v>469.6</v>
      </c>
      <c r="C1515" s="190">
        <f>'2011'!E515</f>
        <v>0</v>
      </c>
      <c r="D1515" s="190">
        <f>'2011'!F515</f>
        <v>0</v>
      </c>
      <c r="E1515" s="190">
        <f>'2011'!G515</f>
        <v>469.6</v>
      </c>
      <c r="F1515" s="190">
        <f>'2011'!H515</f>
        <v>0</v>
      </c>
      <c r="G1515" s="190">
        <f>'2011'!I515</f>
        <v>469.6</v>
      </c>
    </row>
    <row r="1516" spans="1:7" ht="12.75" customHeight="1">
      <c r="A1516" s="190" t="str">
        <f>'2011'!C516</f>
        <v>Strassen n.a.g.</v>
      </c>
      <c r="B1516" s="190">
        <f>'2011'!D516</f>
        <v>364765.8499999996</v>
      </c>
      <c r="C1516" s="190">
        <f>'2011'!E516</f>
        <v>65685.73999999976</v>
      </c>
      <c r="D1516" s="190">
        <f>'2011'!F516</f>
        <v>191370.79</v>
      </c>
      <c r="E1516" s="190">
        <f>'2011'!G516</f>
        <v>621822.3799999994</v>
      </c>
      <c r="F1516" s="190">
        <f>'2011'!H516</f>
        <v>0</v>
      </c>
      <c r="G1516" s="190">
        <f>'2011'!I516</f>
        <v>621822.3799999994</v>
      </c>
    </row>
    <row r="1517" spans="1:7" ht="12.75" customHeight="1">
      <c r="A1517" s="190" t="str">
        <f>'2011'!C517</f>
        <v>Öffentlicher Verkehr</v>
      </c>
      <c r="B1517" s="190">
        <f>'2011'!D517</f>
        <v>37594.85</v>
      </c>
      <c r="C1517" s="190">
        <f>'2011'!E517</f>
        <v>6485.95</v>
      </c>
      <c r="D1517" s="190">
        <f>'2011'!F517</f>
        <v>-34702</v>
      </c>
      <c r="E1517" s="190">
        <f>'2011'!G517</f>
        <v>9378.799999999996</v>
      </c>
      <c r="F1517" s="190">
        <f>'2011'!H517</f>
        <v>7665291.55</v>
      </c>
      <c r="G1517" s="190">
        <f>'2011'!I517</f>
        <v>7674670.35</v>
      </c>
    </row>
    <row r="1518" spans="1:7" ht="12.75" customHeight="1">
      <c r="A1518" s="190" t="str">
        <f>'2011'!C518</f>
        <v>Bahninfrastruktur</v>
      </c>
      <c r="B1518" s="190">
        <f>'2011'!D518</f>
        <v>27465.85</v>
      </c>
      <c r="C1518" s="190">
        <f>'2011'!E518</f>
        <v>0</v>
      </c>
      <c r="D1518" s="190">
        <f>'2011'!F518</f>
        <v>0</v>
      </c>
      <c r="E1518" s="190">
        <f>'2011'!G518</f>
        <v>27465.85</v>
      </c>
      <c r="F1518" s="190">
        <f>'2011'!H518</f>
        <v>0</v>
      </c>
      <c r="G1518" s="190">
        <f>'2011'!I518</f>
        <v>27465.85</v>
      </c>
    </row>
    <row r="1519" spans="1:7" ht="12.75" customHeight="1">
      <c r="A1519" s="190" t="str">
        <f>'2011'!C519</f>
        <v>Regionalverkehr</v>
      </c>
      <c r="B1519" s="190">
        <f>'2011'!D519</f>
        <v>10129</v>
      </c>
      <c r="C1519" s="190">
        <f>'2011'!E519</f>
        <v>0</v>
      </c>
      <c r="D1519" s="190">
        <f>'2011'!F519</f>
        <v>0</v>
      </c>
      <c r="E1519" s="190">
        <f>'2011'!G519</f>
        <v>10129</v>
      </c>
      <c r="F1519" s="190">
        <f>'2011'!H519</f>
        <v>0</v>
      </c>
      <c r="G1519" s="190">
        <f>'2011'!I519</f>
        <v>10129</v>
      </c>
    </row>
    <row r="1520" spans="1:7" ht="12.75" customHeight="1">
      <c r="A1520" s="190" t="str">
        <f>'2011'!C520</f>
        <v>Agglomerationsverkehr</v>
      </c>
      <c r="B1520" s="190">
        <f>'2011'!D520</f>
        <v>0</v>
      </c>
      <c r="C1520" s="190">
        <f>'2011'!E520</f>
        <v>0</v>
      </c>
      <c r="D1520" s="190">
        <f>'2011'!F520</f>
        <v>0</v>
      </c>
      <c r="E1520" s="190">
        <f>'2011'!G520</f>
        <v>0</v>
      </c>
      <c r="F1520" s="190">
        <f>'2011'!H520</f>
        <v>0</v>
      </c>
      <c r="G1520" s="190">
        <f>'2011'!I520</f>
        <v>0</v>
      </c>
    </row>
    <row r="1521" spans="1:7" ht="12.75" customHeight="1">
      <c r="A1521" s="190" t="str">
        <f>'2011'!C521</f>
        <v>Öffentlicher Verkehr n.a.g.</v>
      </c>
      <c r="B1521" s="190">
        <f>'2011'!D521</f>
        <v>0</v>
      </c>
      <c r="C1521" s="190">
        <f>'2011'!E521</f>
        <v>6485.95</v>
      </c>
      <c r="D1521" s="190">
        <f>'2011'!F521</f>
        <v>-34702</v>
      </c>
      <c r="E1521" s="190">
        <f>'2011'!G521</f>
        <v>-28216.05</v>
      </c>
      <c r="F1521" s="190">
        <f>'2011'!H521</f>
        <v>7665291.55</v>
      </c>
      <c r="G1521" s="190">
        <f>'2011'!I521</f>
        <v>7637075.5</v>
      </c>
    </row>
    <row r="1522" spans="1:7" ht="12.75" customHeight="1">
      <c r="A1522" s="190" t="str">
        <f>'2011'!C522</f>
        <v>Verkehr, übrige</v>
      </c>
      <c r="B1522" s="190">
        <f>'2011'!D522</f>
        <v>0</v>
      </c>
      <c r="C1522" s="190">
        <f>'2011'!E522</f>
        <v>0</v>
      </c>
      <c r="D1522" s="190">
        <f>'2011'!F522</f>
        <v>51139.1</v>
      </c>
      <c r="E1522" s="190">
        <f>'2011'!G522</f>
        <v>51139.1</v>
      </c>
      <c r="F1522" s="190">
        <f>'2011'!H522</f>
        <v>0</v>
      </c>
      <c r="G1522" s="190">
        <f>'2011'!I522</f>
        <v>51139.1</v>
      </c>
    </row>
    <row r="1523" spans="1:7" ht="12.75" customHeight="1">
      <c r="A1523" s="190" t="str">
        <f>'2011'!C523</f>
        <v>Schifffahrt</v>
      </c>
      <c r="B1523" s="190">
        <f>'2011'!D523</f>
        <v>0</v>
      </c>
      <c r="C1523" s="190">
        <f>'2011'!E523</f>
        <v>0</v>
      </c>
      <c r="D1523" s="190">
        <f>'2011'!F523</f>
        <v>0</v>
      </c>
      <c r="E1523" s="190">
        <f>'2011'!G523</f>
        <v>0</v>
      </c>
      <c r="F1523" s="190">
        <f>'2011'!H523</f>
        <v>0</v>
      </c>
      <c r="G1523" s="190">
        <f>'2011'!I523</f>
        <v>0</v>
      </c>
    </row>
    <row r="1524" spans="1:7" ht="12.75" customHeight="1">
      <c r="A1524" s="190" t="str">
        <f>'2011'!C524</f>
        <v>Luft- und Raumfahrt</v>
      </c>
      <c r="B1524" s="190">
        <f>'2011'!D524</f>
        <v>0</v>
      </c>
      <c r="C1524" s="190">
        <f>'2011'!E524</f>
        <v>0</v>
      </c>
      <c r="D1524" s="190">
        <f>'2011'!F524</f>
        <v>0</v>
      </c>
      <c r="E1524" s="190">
        <f>'2011'!G524</f>
        <v>0</v>
      </c>
      <c r="F1524" s="190">
        <f>'2011'!H524</f>
        <v>0</v>
      </c>
      <c r="G1524" s="190">
        <f>'2011'!I524</f>
        <v>0</v>
      </c>
    </row>
    <row r="1525" spans="1:7" ht="12.75" customHeight="1">
      <c r="A1525" s="190" t="str">
        <f>'2011'!C525</f>
        <v>Sonstige Transportsysteme</v>
      </c>
      <c r="B1525" s="190">
        <f>'2011'!D525</f>
        <v>0</v>
      </c>
      <c r="C1525" s="190">
        <f>'2011'!E525</f>
        <v>0</v>
      </c>
      <c r="D1525" s="190">
        <f>'2011'!F525</f>
        <v>51139.1</v>
      </c>
      <c r="E1525" s="190">
        <f>'2011'!G525</f>
        <v>51139.1</v>
      </c>
      <c r="F1525" s="190">
        <f>'2011'!H525</f>
        <v>0</v>
      </c>
      <c r="G1525" s="190">
        <f>'2011'!I525</f>
        <v>51139.1</v>
      </c>
    </row>
    <row r="1526" spans="1:7" ht="12.75" customHeight="1">
      <c r="A1526" s="190" t="str">
        <f>'2011'!C526</f>
        <v>Verkehrsplanung</v>
      </c>
      <c r="B1526" s="190">
        <f>'2011'!D526</f>
        <v>0</v>
      </c>
      <c r="C1526" s="190">
        <f>'2011'!E526</f>
        <v>0</v>
      </c>
      <c r="D1526" s="190">
        <f>'2011'!F526</f>
        <v>0</v>
      </c>
      <c r="E1526" s="190">
        <f>'2011'!G526</f>
        <v>0</v>
      </c>
      <c r="F1526" s="190">
        <f>'2011'!H526</f>
        <v>0</v>
      </c>
      <c r="G1526" s="190">
        <f>'2011'!I526</f>
        <v>0</v>
      </c>
    </row>
    <row r="1527" spans="1:7" ht="12.75" customHeight="1">
      <c r="A1527" s="190" t="str">
        <f>'2011'!C527</f>
        <v>Nachrichtenübermittlung</v>
      </c>
      <c r="B1527" s="190">
        <f>'2011'!D527</f>
        <v>0</v>
      </c>
      <c r="C1527" s="190">
        <f>'2011'!E527</f>
        <v>0</v>
      </c>
      <c r="D1527" s="190">
        <f>'2011'!F527</f>
        <v>0</v>
      </c>
      <c r="E1527" s="190">
        <f>'2011'!G527</f>
        <v>0</v>
      </c>
      <c r="F1527" s="190">
        <f>'2011'!H527</f>
        <v>0</v>
      </c>
      <c r="G1527" s="190">
        <f>'2011'!I527</f>
        <v>0</v>
      </c>
    </row>
    <row r="1528" spans="1:7" ht="12.75" customHeight="1">
      <c r="A1528" s="190" t="str">
        <f>'2011'!C528</f>
        <v>Nachrichtenübermitttlung</v>
      </c>
      <c r="B1528" s="190">
        <f>'2011'!D528</f>
        <v>0</v>
      </c>
      <c r="C1528" s="190">
        <f>'2011'!E528</f>
        <v>0</v>
      </c>
      <c r="D1528" s="190">
        <f>'2011'!F528</f>
        <v>0</v>
      </c>
      <c r="E1528" s="190">
        <f>'2011'!G528</f>
        <v>0</v>
      </c>
      <c r="F1528" s="190">
        <f>'2011'!H528</f>
        <v>0</v>
      </c>
      <c r="G1528" s="190">
        <f>'2011'!I528</f>
        <v>0</v>
      </c>
    </row>
    <row r="1529" spans="1:7" ht="12.75" customHeight="1">
      <c r="A1529" s="190" t="str">
        <f>'2011'!C529</f>
        <v>F&amp;E in Verkehr und Nachrichten</v>
      </c>
      <c r="B1529" s="190">
        <f>'2011'!D529</f>
        <v>0</v>
      </c>
      <c r="C1529" s="190">
        <f>'2011'!E529</f>
        <v>0</v>
      </c>
      <c r="D1529" s="190">
        <f>'2011'!F529</f>
        <v>0</v>
      </c>
      <c r="E1529" s="190">
        <f>'2011'!G529</f>
        <v>0</v>
      </c>
      <c r="F1529" s="190">
        <f>'2011'!H529</f>
        <v>0</v>
      </c>
      <c r="G1529" s="190">
        <f>'2011'!I529</f>
        <v>0</v>
      </c>
    </row>
    <row r="1530" spans="1:7" ht="12.75" customHeight="1">
      <c r="A1530" s="190" t="str">
        <f>'2011'!C530</f>
        <v>F&amp;E in Verkehr </v>
      </c>
      <c r="B1530" s="190">
        <f>'2011'!D530</f>
        <v>0</v>
      </c>
      <c r="C1530" s="190">
        <f>'2011'!E530</f>
        <v>0</v>
      </c>
      <c r="D1530" s="190">
        <f>'2011'!F530</f>
        <v>0</v>
      </c>
      <c r="E1530" s="190">
        <f>'2011'!G530</f>
        <v>0</v>
      </c>
      <c r="F1530" s="190">
        <f>'2011'!H530</f>
        <v>0</v>
      </c>
      <c r="G1530" s="190">
        <f>'2011'!I530</f>
        <v>0</v>
      </c>
    </row>
    <row r="1531" spans="1:7" ht="12.75" customHeight="1">
      <c r="A1531" s="190" t="str">
        <f>'2011'!C531</f>
        <v>F&amp;E in Nachrichtenübermittlung</v>
      </c>
      <c r="B1531" s="190">
        <f>'2011'!D531</f>
        <v>0</v>
      </c>
      <c r="C1531" s="190">
        <f>'2011'!E531</f>
        <v>0</v>
      </c>
      <c r="D1531" s="190">
        <f>'2011'!F531</f>
        <v>0</v>
      </c>
      <c r="E1531" s="190">
        <f>'2011'!G531</f>
        <v>0</v>
      </c>
      <c r="F1531" s="190">
        <f>'2011'!H531</f>
        <v>0</v>
      </c>
      <c r="G1531" s="190">
        <f>'2011'!I531</f>
        <v>0</v>
      </c>
    </row>
    <row r="1532" spans="1:7" ht="12.75" customHeight="1">
      <c r="A1532" s="190" t="str">
        <f>'2011'!C532</f>
        <v>UMWELTSCHUTTZ UND RAUMORDNUNG</v>
      </c>
      <c r="B1532" s="190">
        <f>'2011'!D532</f>
        <v>412874.11999999994</v>
      </c>
      <c r="C1532" s="190">
        <f>'2011'!E532</f>
        <v>238842.15000000002</v>
      </c>
      <c r="D1532" s="190">
        <f>'2011'!F532</f>
        <v>892617.74</v>
      </c>
      <c r="E1532" s="190">
        <f>'2011'!G532</f>
        <v>1544334.01</v>
      </c>
      <c r="F1532" s="190">
        <f>'2011'!H532</f>
        <v>5013374.16</v>
      </c>
      <c r="G1532" s="190">
        <f>'2011'!I532</f>
        <v>6557708.17</v>
      </c>
    </row>
    <row r="1533" spans="1:7" ht="12.75" customHeight="1">
      <c r="A1533" s="190" t="str">
        <f>'2011'!C533</f>
        <v>Wasserversorgung</v>
      </c>
      <c r="B1533" s="190">
        <f>'2011'!D533</f>
        <v>765.3</v>
      </c>
      <c r="C1533" s="190">
        <f>'2011'!E533</f>
        <v>52483.55</v>
      </c>
      <c r="D1533" s="190">
        <f>'2011'!F533</f>
        <v>0</v>
      </c>
      <c r="E1533" s="190">
        <f>'2011'!G533</f>
        <v>53248.850000000006</v>
      </c>
      <c r="F1533" s="190">
        <f>'2011'!H533</f>
        <v>0</v>
      </c>
      <c r="G1533" s="190">
        <f>'2011'!I533</f>
        <v>53248.850000000006</v>
      </c>
    </row>
    <row r="1534" spans="1:7" ht="12.75" customHeight="1">
      <c r="A1534" s="190" t="str">
        <f>'2011'!C534</f>
        <v>Wasserversorgung (allgemein)</v>
      </c>
      <c r="B1534" s="190">
        <f>'2011'!D534</f>
        <v>765.3</v>
      </c>
      <c r="C1534" s="190">
        <f>'2011'!E534</f>
        <v>52483.55</v>
      </c>
      <c r="D1534" s="190">
        <f>'2011'!F534</f>
        <v>0</v>
      </c>
      <c r="E1534" s="190">
        <f>'2011'!G534</f>
        <v>53248.850000000006</v>
      </c>
      <c r="F1534" s="190">
        <f>'2011'!H534</f>
        <v>0</v>
      </c>
      <c r="G1534" s="190">
        <f>'2011'!I534</f>
        <v>53248.850000000006</v>
      </c>
    </row>
    <row r="1535" spans="1:7" ht="12.75" customHeight="1">
      <c r="A1535" s="190" t="str">
        <f>'2011'!C535</f>
        <v>Wasserwerk (SF)</v>
      </c>
      <c r="B1535" s="190">
        <f>'2011'!D535</f>
        <v>0</v>
      </c>
      <c r="C1535" s="190">
        <f>'2011'!E535</f>
        <v>0</v>
      </c>
      <c r="D1535" s="190">
        <f>'2011'!F535</f>
        <v>0</v>
      </c>
      <c r="E1535" s="190">
        <f>'2011'!G535</f>
        <v>0</v>
      </c>
      <c r="F1535" s="190">
        <f>'2011'!H535</f>
        <v>0</v>
      </c>
      <c r="G1535" s="190">
        <f>'2011'!I535</f>
        <v>0</v>
      </c>
    </row>
    <row r="1536" spans="1:7" ht="12.75" customHeight="1">
      <c r="A1536" s="190" t="str">
        <f>'2011'!C536</f>
        <v>Abwasserbeseitigung</v>
      </c>
      <c r="B1536" s="190">
        <f>'2011'!D536</f>
        <v>0</v>
      </c>
      <c r="C1536" s="190">
        <f>'2011'!E536</f>
        <v>67581.9</v>
      </c>
      <c r="D1536" s="190">
        <f>'2011'!F536</f>
        <v>93377.17</v>
      </c>
      <c r="E1536" s="190">
        <f>'2011'!G536</f>
        <v>160959.07</v>
      </c>
      <c r="F1536" s="190">
        <f>'2011'!H536</f>
        <v>1404931.06</v>
      </c>
      <c r="G1536" s="190">
        <f>'2011'!I536</f>
        <v>1565890.1300000001</v>
      </c>
    </row>
    <row r="1537" spans="1:7" ht="12.75" customHeight="1">
      <c r="A1537" s="190" t="str">
        <f>'2011'!C537</f>
        <v>Abwasserbeseitigung (allgemein)</v>
      </c>
      <c r="B1537" s="190">
        <f>'2011'!D537</f>
        <v>0</v>
      </c>
      <c r="C1537" s="190">
        <f>'2011'!E537</f>
        <v>67581.9</v>
      </c>
      <c r="D1537" s="190">
        <f>'2011'!F537</f>
        <v>93377.17</v>
      </c>
      <c r="E1537" s="190">
        <f>'2011'!G537</f>
        <v>160959.07</v>
      </c>
      <c r="F1537" s="190">
        <f>'2011'!H537</f>
        <v>1404931.06</v>
      </c>
      <c r="G1537" s="190">
        <f>'2011'!I537</f>
        <v>1565890.1300000001</v>
      </c>
    </row>
    <row r="1538" spans="1:7" ht="12.75" customHeight="1">
      <c r="A1538" s="190" t="str">
        <f>'2011'!C538</f>
        <v>Abwasserbeseitigung (SF)</v>
      </c>
      <c r="B1538" s="190">
        <f>'2011'!D538</f>
        <v>0</v>
      </c>
      <c r="C1538" s="190">
        <f>'2011'!E538</f>
        <v>0</v>
      </c>
      <c r="D1538" s="190">
        <f>'2011'!F538</f>
        <v>0</v>
      </c>
      <c r="E1538" s="190">
        <f>'2011'!G538</f>
        <v>0</v>
      </c>
      <c r="F1538" s="190">
        <f>'2011'!H538</f>
        <v>0</v>
      </c>
      <c r="G1538" s="190">
        <f>'2011'!I538</f>
        <v>0</v>
      </c>
    </row>
    <row r="1539" spans="1:7" ht="12.75" customHeight="1">
      <c r="A1539" s="190" t="str">
        <f>'2011'!C539</f>
        <v>Kläranlagen (SF)</v>
      </c>
      <c r="B1539" s="190">
        <f>'2011'!D539</f>
        <v>0</v>
      </c>
      <c r="C1539" s="190">
        <f>'2011'!E539</f>
        <v>0</v>
      </c>
      <c r="D1539" s="190">
        <f>'2011'!F539</f>
        <v>0</v>
      </c>
      <c r="E1539" s="190">
        <f>'2011'!G539</f>
        <v>0</v>
      </c>
      <c r="F1539" s="190">
        <f>'2011'!H539</f>
        <v>0</v>
      </c>
      <c r="G1539" s="190">
        <f>'2011'!I539</f>
        <v>0</v>
      </c>
    </row>
    <row r="1540" spans="1:7" ht="12.75" customHeight="1">
      <c r="A1540" s="190" t="str">
        <f>'2011'!C540</f>
        <v>Abfallwirtschaft</v>
      </c>
      <c r="B1540" s="190">
        <f>'2011'!D540</f>
        <v>-88409.12000000002</v>
      </c>
      <c r="C1540" s="190">
        <f>'2011'!E540</f>
        <v>-346289.7</v>
      </c>
      <c r="D1540" s="190">
        <f>'2011'!F540</f>
        <v>-150572.02000000002</v>
      </c>
      <c r="E1540" s="190">
        <f>'2011'!G540</f>
        <v>-585270.8400000001</v>
      </c>
      <c r="F1540" s="190">
        <f>'2011'!H540</f>
        <v>-8301.800000000003</v>
      </c>
      <c r="G1540" s="190">
        <f>'2011'!I540</f>
        <v>-593572.6400000001</v>
      </c>
    </row>
    <row r="1541" spans="1:7" ht="12.75" customHeight="1">
      <c r="A1541" s="190" t="str">
        <f>'2011'!C541</f>
        <v>Abfallwirtschaft (allgemein)</v>
      </c>
      <c r="B1541" s="190">
        <f>'2011'!D541</f>
        <v>23381.28</v>
      </c>
      <c r="C1541" s="190">
        <f>'2011'!E541</f>
        <v>22173.799999999996</v>
      </c>
      <c r="D1541" s="190">
        <f>'2011'!F541</f>
        <v>0</v>
      </c>
      <c r="E1541" s="190">
        <f>'2011'!G541</f>
        <v>45555.079999999994</v>
      </c>
      <c r="F1541" s="190">
        <f>'2011'!H541</f>
        <v>-8301.800000000003</v>
      </c>
      <c r="G1541" s="190">
        <f>'2011'!I541</f>
        <v>37253.27999999999</v>
      </c>
    </row>
    <row r="1542" spans="1:7" ht="12.75" customHeight="1">
      <c r="A1542" s="190" t="str">
        <f>'2011'!C542</f>
        <v>Abfallwirtschaft (SF)</v>
      </c>
      <c r="B1542" s="190">
        <f>'2011'!D542</f>
        <v>-111790.40000000002</v>
      </c>
      <c r="C1542" s="190">
        <f>'2011'!E542</f>
        <v>0</v>
      </c>
      <c r="D1542" s="190">
        <f>'2011'!F542</f>
        <v>0</v>
      </c>
      <c r="E1542" s="190">
        <f>'2011'!G542</f>
        <v>-111790.40000000002</v>
      </c>
      <c r="F1542" s="190">
        <f>'2011'!H542</f>
        <v>0</v>
      </c>
      <c r="G1542" s="190">
        <f>'2011'!I542</f>
        <v>-111790.40000000002</v>
      </c>
    </row>
    <row r="1543" spans="1:7" ht="12.75" customHeight="1">
      <c r="A1543" s="190" t="str">
        <f>'2011'!C543</f>
        <v>Kehrichtverbrennungsanlagen</v>
      </c>
      <c r="B1543" s="190">
        <f>'2011'!D543</f>
        <v>0</v>
      </c>
      <c r="C1543" s="190">
        <f>'2011'!E543</f>
        <v>0</v>
      </c>
      <c r="D1543" s="190">
        <f>'2011'!F543</f>
        <v>0</v>
      </c>
      <c r="E1543" s="190">
        <f>'2011'!G543</f>
        <v>0</v>
      </c>
      <c r="F1543" s="190">
        <f>'2011'!H543</f>
        <v>0</v>
      </c>
      <c r="G1543" s="190">
        <f>'2011'!I543</f>
        <v>0</v>
      </c>
    </row>
    <row r="1544" spans="1:7" ht="12.75" customHeight="1">
      <c r="A1544" s="190" t="str">
        <f>'2011'!C544</f>
        <v>Deponien</v>
      </c>
      <c r="B1544" s="190">
        <f>'2011'!D544</f>
        <v>0</v>
      </c>
      <c r="C1544" s="190">
        <f>'2011'!E544</f>
        <v>-368463.5</v>
      </c>
      <c r="D1544" s="190">
        <f>'2011'!F544</f>
        <v>-150572.02000000002</v>
      </c>
      <c r="E1544" s="190">
        <f>'2011'!G544</f>
        <v>-519035.52</v>
      </c>
      <c r="F1544" s="190">
        <f>'2011'!H544</f>
        <v>0</v>
      </c>
      <c r="G1544" s="190">
        <f>'2011'!I544</f>
        <v>-519035.52</v>
      </c>
    </row>
    <row r="1545" spans="1:7" ht="12.75" customHeight="1">
      <c r="A1545" s="190" t="str">
        <f>'2011'!C545</f>
        <v>Verbauungen</v>
      </c>
      <c r="B1545" s="190">
        <f>'2011'!D545</f>
        <v>250080.19999999998</v>
      </c>
      <c r="C1545" s="190">
        <f>'2011'!E545</f>
        <v>231826.95</v>
      </c>
      <c r="D1545" s="190">
        <f>'2011'!F545</f>
        <v>560888.98</v>
      </c>
      <c r="E1545" s="190">
        <f>'2011'!G545</f>
        <v>1042796.13</v>
      </c>
      <c r="F1545" s="190">
        <f>'2011'!H545</f>
        <v>1925301.87</v>
      </c>
      <c r="G1545" s="190">
        <f>'2011'!I545</f>
        <v>2968098</v>
      </c>
    </row>
    <row r="1546" spans="1:7" ht="12.75" customHeight="1">
      <c r="A1546" s="190" t="str">
        <f>'2011'!C546</f>
        <v>Gewässerverbauungen</v>
      </c>
      <c r="B1546" s="190">
        <f>'2011'!D546</f>
        <v>229337.69999999998</v>
      </c>
      <c r="C1546" s="190">
        <f>'2011'!E546</f>
        <v>230794.45</v>
      </c>
      <c r="D1546" s="190">
        <f>'2011'!F546</f>
        <v>555835.58</v>
      </c>
      <c r="E1546" s="190">
        <f>'2011'!G546</f>
        <v>1015967.73</v>
      </c>
      <c r="F1546" s="190">
        <f>'2011'!H546</f>
        <v>1925301.87</v>
      </c>
      <c r="G1546" s="190">
        <f>'2011'!I546</f>
        <v>2941269.6</v>
      </c>
    </row>
    <row r="1547" spans="1:7" ht="12.75" customHeight="1">
      <c r="A1547" s="190" t="str">
        <f>'2011'!C547</f>
        <v>Lawinenverbauungen</v>
      </c>
      <c r="B1547" s="190">
        <f>'2011'!D547</f>
        <v>20742.500000000007</v>
      </c>
      <c r="C1547" s="190">
        <f>'2011'!E547</f>
        <v>1032.5</v>
      </c>
      <c r="D1547" s="190">
        <f>'2011'!F547</f>
        <v>5053.4</v>
      </c>
      <c r="E1547" s="190">
        <f>'2011'!G547</f>
        <v>26828.40000000001</v>
      </c>
      <c r="F1547" s="190">
        <f>'2011'!H547</f>
        <v>0</v>
      </c>
      <c r="G1547" s="190">
        <f>'2011'!I547</f>
        <v>26828.40000000001</v>
      </c>
    </row>
    <row r="1548" spans="1:7" ht="12.75" customHeight="1">
      <c r="A1548" s="190" t="str">
        <f>'2011'!C548</f>
        <v>Arten- und Landschaftsschutz</v>
      </c>
      <c r="B1548" s="190">
        <f>'2011'!D548</f>
        <v>16624.15</v>
      </c>
      <c r="C1548" s="190">
        <f>'2011'!E548</f>
        <v>3419</v>
      </c>
      <c r="D1548" s="190">
        <f>'2011'!F548</f>
        <v>5151.5</v>
      </c>
      <c r="E1548" s="190">
        <f>'2011'!G548</f>
        <v>25194.65</v>
      </c>
      <c r="F1548" s="190">
        <f>'2011'!H548</f>
        <v>463905.94999999995</v>
      </c>
      <c r="G1548" s="190">
        <f>'2011'!I548</f>
        <v>489100.6</v>
      </c>
    </row>
    <row r="1549" spans="1:7" ht="12.75" customHeight="1">
      <c r="A1549" s="190" t="str">
        <f>'2011'!C549</f>
        <v>Arten- und Landschaftsschutz</v>
      </c>
      <c r="B1549" s="190">
        <f>'2011'!D549</f>
        <v>16624.15</v>
      </c>
      <c r="C1549" s="190">
        <f>'2011'!E549</f>
        <v>3419</v>
      </c>
      <c r="D1549" s="190">
        <f>'2011'!F549</f>
        <v>5151.5</v>
      </c>
      <c r="E1549" s="190">
        <f>'2011'!G549</f>
        <v>25194.65</v>
      </c>
      <c r="F1549" s="190">
        <f>'2011'!H549</f>
        <v>463905.94999999995</v>
      </c>
      <c r="G1549" s="190">
        <f>'2011'!I549</f>
        <v>489100.6</v>
      </c>
    </row>
    <row r="1550" spans="1:7" ht="12.75" customHeight="1">
      <c r="A1550" s="190" t="str">
        <f>'2011'!C550</f>
        <v>Bekämpfung von Umweltverschmutzung</v>
      </c>
      <c r="B1550" s="190">
        <f>'2011'!D550</f>
        <v>0</v>
      </c>
      <c r="C1550" s="190">
        <f>'2011'!E550</f>
        <v>0</v>
      </c>
      <c r="D1550" s="190">
        <f>'2011'!F550</f>
        <v>0</v>
      </c>
      <c r="E1550" s="190">
        <f>'2011'!G550</f>
        <v>0</v>
      </c>
      <c r="F1550" s="190">
        <f>'2011'!H550</f>
        <v>1217858.83</v>
      </c>
      <c r="G1550" s="190">
        <f>'2011'!I550</f>
        <v>1217858.83</v>
      </c>
    </row>
    <row r="1551" spans="1:7" ht="12.75" customHeight="1">
      <c r="A1551" s="190" t="str">
        <f>'2011'!C551</f>
        <v>Luftreinhaltung und Klimaschutz</v>
      </c>
      <c r="B1551" s="190">
        <f>'2011'!D551</f>
        <v>0</v>
      </c>
      <c r="C1551" s="190">
        <f>'2011'!E551</f>
        <v>0</v>
      </c>
      <c r="D1551" s="190">
        <f>'2011'!F551</f>
        <v>0</v>
      </c>
      <c r="E1551" s="190">
        <f>'2011'!G551</f>
        <v>0</v>
      </c>
      <c r="F1551" s="190">
        <f>'2011'!H551</f>
        <v>1217858.83</v>
      </c>
      <c r="G1551" s="190">
        <f>'2011'!I551</f>
        <v>1217858.83</v>
      </c>
    </row>
    <row r="1552" spans="1:7" ht="12.75" customHeight="1">
      <c r="A1552" s="190" t="str">
        <f>'2011'!C552</f>
        <v>Bekämpfung von Umweltverschmutzung, n.a.g.</v>
      </c>
      <c r="B1552" s="190">
        <f>'2011'!D552</f>
        <v>0</v>
      </c>
      <c r="C1552" s="190">
        <f>'2011'!E552</f>
        <v>0</v>
      </c>
      <c r="D1552" s="190">
        <f>'2011'!F552</f>
        <v>0</v>
      </c>
      <c r="E1552" s="190">
        <f>'2011'!G552</f>
        <v>0</v>
      </c>
      <c r="F1552" s="190">
        <f>'2011'!H552</f>
        <v>0</v>
      </c>
      <c r="G1552" s="190">
        <f>'2011'!I552</f>
        <v>0</v>
      </c>
    </row>
    <row r="1553" spans="1:7" ht="12.75" customHeight="1">
      <c r="A1553" s="190" t="str">
        <f>'2011'!C553</f>
        <v>Übriger Umweltschutz</v>
      </c>
      <c r="B1553" s="190">
        <f>'2011'!D553</f>
        <v>175760.03999999998</v>
      </c>
      <c r="C1553" s="190">
        <f>'2011'!E553</f>
        <v>142021.2</v>
      </c>
      <c r="D1553" s="190">
        <f>'2011'!F553</f>
        <v>101633.21000000002</v>
      </c>
      <c r="E1553" s="190">
        <f>'2011'!G553</f>
        <v>419414.45</v>
      </c>
      <c r="F1553" s="190">
        <f>'2011'!H553</f>
        <v>0</v>
      </c>
      <c r="G1553" s="190">
        <f>'2011'!I553</f>
        <v>419414.45</v>
      </c>
    </row>
    <row r="1554" spans="1:7" ht="12.75" customHeight="1">
      <c r="A1554" s="190" t="str">
        <f>'2011'!C554</f>
        <v>Friedhof und Bestattung (allgemein)</v>
      </c>
      <c r="B1554" s="190">
        <f>'2011'!D554</f>
        <v>172185.63999999998</v>
      </c>
      <c r="C1554" s="190">
        <f>'2011'!E554</f>
        <v>125331.65000000002</v>
      </c>
      <c r="D1554" s="190">
        <f>'2011'!F554</f>
        <v>101633.21000000002</v>
      </c>
      <c r="E1554" s="190">
        <f>'2011'!G554</f>
        <v>399150.50000000006</v>
      </c>
      <c r="F1554" s="190">
        <f>'2011'!H554</f>
        <v>0</v>
      </c>
      <c r="G1554" s="190">
        <f>'2011'!I554</f>
        <v>399150.50000000006</v>
      </c>
    </row>
    <row r="1555" spans="1:7" ht="12.75" customHeight="1">
      <c r="A1555" s="190" t="str">
        <f>'2011'!C555</f>
        <v>Regionale Friedhoforganisation</v>
      </c>
      <c r="B1555" s="190">
        <f>'2011'!D555</f>
        <v>0</v>
      </c>
      <c r="C1555" s="190">
        <f>'2011'!E555</f>
        <v>0</v>
      </c>
      <c r="D1555" s="190">
        <f>'2011'!F555</f>
        <v>0</v>
      </c>
      <c r="E1555" s="190">
        <f>'2011'!G555</f>
        <v>0</v>
      </c>
      <c r="F1555" s="190">
        <f>'2011'!H555</f>
        <v>0</v>
      </c>
      <c r="G1555" s="190">
        <f>'2011'!I555</f>
        <v>0</v>
      </c>
    </row>
    <row r="1556" spans="1:7" ht="12.75" customHeight="1">
      <c r="A1556" s="190" t="str">
        <f>'2011'!C556</f>
        <v>Umweltschutz n.a.g.</v>
      </c>
      <c r="B1556" s="190">
        <f>'2011'!D556</f>
        <v>3574.4</v>
      </c>
      <c r="C1556" s="190">
        <f>'2011'!E556</f>
        <v>16689.55</v>
      </c>
      <c r="D1556" s="190">
        <f>'2011'!F556</f>
        <v>0</v>
      </c>
      <c r="E1556" s="190">
        <f>'2011'!G556</f>
        <v>20263.95</v>
      </c>
      <c r="F1556" s="190">
        <f>'2011'!H556</f>
        <v>0</v>
      </c>
      <c r="G1556" s="190">
        <f>'2011'!I556</f>
        <v>20263.95</v>
      </c>
    </row>
    <row r="1557" spans="1:7" ht="12.75" customHeight="1">
      <c r="A1557" s="190" t="str">
        <f>'2011'!C557</f>
        <v>F&amp;E in Umweltschutz</v>
      </c>
      <c r="B1557" s="190">
        <f>'2011'!D557</f>
        <v>0</v>
      </c>
      <c r="C1557" s="190">
        <f>'2011'!E557</f>
        <v>0</v>
      </c>
      <c r="D1557" s="190">
        <f>'2011'!F557</f>
        <v>0</v>
      </c>
      <c r="E1557" s="190">
        <f>'2011'!G557</f>
        <v>0</v>
      </c>
      <c r="F1557" s="190">
        <f>'2011'!H557</f>
        <v>0</v>
      </c>
      <c r="G1557" s="190">
        <f>'2011'!I557</f>
        <v>0</v>
      </c>
    </row>
    <row r="1558" spans="1:7" ht="12.75" customHeight="1">
      <c r="A1558" s="190" t="str">
        <f>'2011'!C558</f>
        <v>F&amp;E in Umwelt</v>
      </c>
      <c r="B1558" s="190">
        <f>'2011'!D558</f>
        <v>0</v>
      </c>
      <c r="C1558" s="190">
        <f>'2011'!E558</f>
        <v>0</v>
      </c>
      <c r="D1558" s="190">
        <f>'2011'!F558</f>
        <v>0</v>
      </c>
      <c r="E1558" s="190">
        <f>'2011'!G558</f>
        <v>0</v>
      </c>
      <c r="F1558" s="190">
        <f>'2011'!H558</f>
        <v>0</v>
      </c>
      <c r="G1558" s="190">
        <f>'2011'!I558</f>
        <v>0</v>
      </c>
    </row>
    <row r="1559" spans="1:7" ht="12.75" customHeight="1">
      <c r="A1559" s="190" t="str">
        <f>'2011'!C559</f>
        <v>F&amp;E in Raumordung</v>
      </c>
      <c r="B1559" s="190">
        <f>'2011'!D559</f>
        <v>0</v>
      </c>
      <c r="C1559" s="190">
        <f>'2011'!E559</f>
        <v>0</v>
      </c>
      <c r="D1559" s="190">
        <f>'2011'!F559</f>
        <v>0</v>
      </c>
      <c r="E1559" s="190">
        <f>'2011'!G559</f>
        <v>0</v>
      </c>
      <c r="F1559" s="190">
        <f>'2011'!H559</f>
        <v>0</v>
      </c>
      <c r="G1559" s="190">
        <f>'2011'!I559</f>
        <v>0</v>
      </c>
    </row>
    <row r="1560" spans="1:7" ht="12.75" customHeight="1">
      <c r="A1560" s="190" t="str">
        <f>'2011'!C560</f>
        <v>Raumordung</v>
      </c>
      <c r="B1560" s="190">
        <f>'2011'!D560</f>
        <v>58053.549999999996</v>
      </c>
      <c r="C1560" s="190">
        <f>'2011'!E560</f>
        <v>87799.25</v>
      </c>
      <c r="D1560" s="190">
        <f>'2011'!F560</f>
        <v>282138.9</v>
      </c>
      <c r="E1560" s="190">
        <f>'2011'!G560</f>
        <v>427991.7</v>
      </c>
      <c r="F1560" s="190">
        <f>'2011'!H560</f>
        <v>9678.25</v>
      </c>
      <c r="G1560" s="190">
        <f>'2011'!I560</f>
        <v>437669.95</v>
      </c>
    </row>
    <row r="1561" spans="1:7" ht="12.75" customHeight="1">
      <c r="A1561" s="190" t="str">
        <f>'2011'!C561</f>
        <v>Raumordnung (allgemein)</v>
      </c>
      <c r="B1561" s="190">
        <f>'2011'!D561</f>
        <v>36666.6</v>
      </c>
      <c r="C1561" s="190">
        <f>'2011'!E561</f>
        <v>87799.25</v>
      </c>
      <c r="D1561" s="190">
        <f>'2011'!F561</f>
        <v>282138.9</v>
      </c>
      <c r="E1561" s="190">
        <f>'2011'!G561</f>
        <v>406604.75</v>
      </c>
      <c r="F1561" s="190">
        <f>'2011'!H561</f>
        <v>9678.25</v>
      </c>
      <c r="G1561" s="190">
        <f>'2011'!I561</f>
        <v>416283</v>
      </c>
    </row>
    <row r="1562" spans="1:7" ht="12.75" customHeight="1">
      <c r="A1562" s="190" t="str">
        <f>'2011'!C562</f>
        <v>Regionale Planungsgruppen</v>
      </c>
      <c r="B1562" s="190">
        <f>'2011'!D562</f>
        <v>21386.949999999997</v>
      </c>
      <c r="C1562" s="190">
        <f>'2011'!E562</f>
        <v>0</v>
      </c>
      <c r="D1562" s="190">
        <f>'2011'!F562</f>
        <v>0</v>
      </c>
      <c r="E1562" s="190">
        <f>'2011'!G562</f>
        <v>21386.949999999997</v>
      </c>
      <c r="F1562" s="190">
        <f>'2011'!H562</f>
        <v>0</v>
      </c>
      <c r="G1562" s="190">
        <f>'2011'!I562</f>
        <v>21386.949999999997</v>
      </c>
    </row>
    <row r="1563" spans="1:7" ht="12.75" customHeight="1">
      <c r="A1563" s="190" t="str">
        <f>'2011'!C563</f>
        <v>VOLKSWIRTSCHAFT</v>
      </c>
      <c r="B1563" s="190">
        <f>'2011'!D563</f>
        <v>963430.4700000002</v>
      </c>
      <c r="C1563" s="190">
        <f>'2011'!E563</f>
        <v>-581891.2399999999</v>
      </c>
      <c r="D1563" s="190">
        <f>'2011'!F563</f>
        <v>1055704.4000000004</v>
      </c>
      <c r="E1563" s="190">
        <f>'2011'!G563</f>
        <v>1437243.6300000008</v>
      </c>
      <c r="F1563" s="190">
        <f>'2011'!H563</f>
        <v>3630402.4500000007</v>
      </c>
      <c r="G1563" s="190">
        <f>'2011'!I563</f>
        <v>5067646.080000002</v>
      </c>
    </row>
    <row r="1564" spans="1:7" ht="12.75" customHeight="1">
      <c r="A1564" s="190" t="str">
        <f>'2011'!C564</f>
        <v>Landwirtschaft</v>
      </c>
      <c r="B1564" s="190">
        <f>'2011'!D564</f>
        <v>574992.35</v>
      </c>
      <c r="C1564" s="190">
        <f>'2011'!E564</f>
        <v>52293.399999999994</v>
      </c>
      <c r="D1564" s="190">
        <f>'2011'!F564</f>
        <v>358270.8</v>
      </c>
      <c r="E1564" s="190">
        <f>'2011'!G564</f>
        <v>985556.55</v>
      </c>
      <c r="F1564" s="190">
        <f>'2011'!H564</f>
        <v>2306388.5500000007</v>
      </c>
      <c r="G1564" s="190">
        <f>'2011'!I564</f>
        <v>3291945.1000000006</v>
      </c>
    </row>
    <row r="1565" spans="1:7" ht="12.75" customHeight="1">
      <c r="A1565" s="190" t="str">
        <f>'2011'!C565</f>
        <v>Verwaltung Landwirtschaft, Vollzug u. Kontrolle</v>
      </c>
      <c r="B1565" s="190">
        <f>'2011'!D565</f>
        <v>63182.55</v>
      </c>
      <c r="C1565" s="190">
        <f>'2011'!E565</f>
        <v>0</v>
      </c>
      <c r="D1565" s="190">
        <f>'2011'!F565</f>
        <v>18120</v>
      </c>
      <c r="E1565" s="190">
        <f>'2011'!G565</f>
        <v>81302.55</v>
      </c>
      <c r="F1565" s="190">
        <f>'2011'!H565</f>
        <v>857285.55</v>
      </c>
      <c r="G1565" s="190">
        <f>'2011'!I565</f>
        <v>938588.1000000001</v>
      </c>
    </row>
    <row r="1566" spans="1:7" ht="12.75" customHeight="1">
      <c r="A1566" s="190" t="str">
        <f>'2011'!C566</f>
        <v>Landw. Strukturverbesserungen</v>
      </c>
      <c r="B1566" s="190">
        <f>'2011'!D566</f>
        <v>0</v>
      </c>
      <c r="C1566" s="190">
        <f>'2011'!E566</f>
        <v>0</v>
      </c>
      <c r="D1566" s="190">
        <f>'2011'!F566</f>
        <v>124234.15</v>
      </c>
      <c r="E1566" s="190">
        <f>'2011'!G566</f>
        <v>124234.15</v>
      </c>
      <c r="F1566" s="190">
        <f>'2011'!H566</f>
        <v>672693.6000000001</v>
      </c>
      <c r="G1566" s="190">
        <f>'2011'!I566</f>
        <v>796927.7500000001</v>
      </c>
    </row>
    <row r="1567" spans="1:7" ht="12.75" customHeight="1">
      <c r="A1567" s="190" t="str">
        <f>'2011'!C567</f>
        <v>Landw. Produktionsverbesserungen Vieh</v>
      </c>
      <c r="B1567" s="190">
        <f>'2011'!D567</f>
        <v>5883.7</v>
      </c>
      <c r="C1567" s="190">
        <f>'2011'!E567</f>
        <v>0</v>
      </c>
      <c r="D1567" s="190">
        <f>'2011'!F567</f>
        <v>0</v>
      </c>
      <c r="E1567" s="190">
        <f>'2011'!G567</f>
        <v>5883.7</v>
      </c>
      <c r="F1567" s="190">
        <f>'2011'!H567</f>
        <v>285191.75</v>
      </c>
      <c r="G1567" s="190">
        <f>'2011'!I567</f>
        <v>291075.45</v>
      </c>
    </row>
    <row r="1568" spans="1:7" ht="12.75" customHeight="1">
      <c r="A1568" s="190" t="str">
        <f>'2011'!C568</f>
        <v>Landw. Produktionsverbesserungen Pflanzen</v>
      </c>
      <c r="B1568" s="190">
        <f>'2011'!D568</f>
        <v>0</v>
      </c>
      <c r="C1568" s="190">
        <f>'2011'!E568</f>
        <v>0</v>
      </c>
      <c r="D1568" s="190">
        <f>'2011'!F568</f>
        <v>520</v>
      </c>
      <c r="E1568" s="190">
        <f>'2011'!G568</f>
        <v>520</v>
      </c>
      <c r="F1568" s="190">
        <f>'2011'!H568</f>
        <v>54704.09999999999</v>
      </c>
      <c r="G1568" s="190">
        <f>'2011'!I568</f>
        <v>55224.09999999999</v>
      </c>
    </row>
    <row r="1569" spans="1:7" ht="12.75" customHeight="1">
      <c r="A1569" s="190" t="str">
        <f>'2011'!C569</f>
        <v>Wirtschaftliche Massnahmen in der Landwirtschaft</v>
      </c>
      <c r="B1569" s="190">
        <f>'2011'!D569</f>
        <v>0</v>
      </c>
      <c r="C1569" s="190">
        <f>'2011'!E569</f>
        <v>0</v>
      </c>
      <c r="D1569" s="190">
        <f>'2011'!F569</f>
        <v>0</v>
      </c>
      <c r="E1569" s="190">
        <f>'2011'!G569</f>
        <v>0</v>
      </c>
      <c r="F1569" s="190">
        <f>'2011'!H569</f>
        <v>46300.45</v>
      </c>
      <c r="G1569" s="190">
        <f>'2011'!I569</f>
        <v>46300.45</v>
      </c>
    </row>
    <row r="1570" spans="1:7" ht="12.75" customHeight="1">
      <c r="A1570" s="190" t="str">
        <f>'2011'!C570</f>
        <v>Direktzahlungen an die Landwirtschaft</v>
      </c>
      <c r="B1570" s="190">
        <f>'2011'!D570</f>
        <v>0</v>
      </c>
      <c r="C1570" s="190">
        <f>'2011'!E570</f>
        <v>0</v>
      </c>
      <c r="D1570" s="190">
        <f>'2011'!F570</f>
        <v>0</v>
      </c>
      <c r="E1570" s="190">
        <f>'2011'!G570</f>
        <v>0</v>
      </c>
      <c r="F1570" s="190">
        <f>'2011'!H570</f>
        <v>53362.800000000745</v>
      </c>
      <c r="G1570" s="190">
        <f>'2011'!I570</f>
        <v>53362.800000000745</v>
      </c>
    </row>
    <row r="1571" spans="1:7" ht="12.75" customHeight="1">
      <c r="A1571" s="190" t="str">
        <f>'2011'!C571</f>
        <v>Soziale Massnahmen in der Landwirtschaft</v>
      </c>
      <c r="B1571" s="190">
        <f>'2011'!D571</f>
        <v>0</v>
      </c>
      <c r="C1571" s="190">
        <f>'2011'!E571</f>
        <v>0</v>
      </c>
      <c r="D1571" s="190">
        <f>'2011'!F571</f>
        <v>0</v>
      </c>
      <c r="E1571" s="190">
        <f>'2011'!G571</f>
        <v>0</v>
      </c>
      <c r="F1571" s="190">
        <f>'2011'!H571</f>
        <v>336850.3</v>
      </c>
      <c r="G1571" s="190">
        <f>'2011'!I571</f>
        <v>336850.3</v>
      </c>
    </row>
    <row r="1572" spans="1:7" ht="12.75" customHeight="1">
      <c r="A1572" s="190" t="str">
        <f>'2011'!C572</f>
        <v>Alpwirtschaft</v>
      </c>
      <c r="B1572" s="190">
        <f>'2011'!D572</f>
        <v>505926.1</v>
      </c>
      <c r="C1572" s="190">
        <f>'2011'!E572</f>
        <v>52293.399999999994</v>
      </c>
      <c r="D1572" s="190">
        <f>'2011'!F572</f>
        <v>215396.65</v>
      </c>
      <c r="E1572" s="190">
        <f>'2011'!G572</f>
        <v>773616.15</v>
      </c>
      <c r="F1572" s="190">
        <f>'2011'!H572</f>
        <v>0</v>
      </c>
      <c r="G1572" s="190">
        <f>'2011'!I572</f>
        <v>773616.15</v>
      </c>
    </row>
    <row r="1573" spans="1:7" ht="12.75" customHeight="1">
      <c r="A1573" s="190" t="str">
        <f>'2011'!C573</f>
        <v>Landwirtschaft n.a.g.</v>
      </c>
      <c r="B1573" s="190">
        <f>'2011'!D573</f>
        <v>0</v>
      </c>
      <c r="C1573" s="190">
        <f>'2011'!E573</f>
        <v>0</v>
      </c>
      <c r="D1573" s="190">
        <f>'2011'!F573</f>
        <v>0</v>
      </c>
      <c r="E1573" s="190">
        <f>'2011'!G573</f>
        <v>0</v>
      </c>
      <c r="F1573" s="190">
        <f>'2011'!H573</f>
        <v>0</v>
      </c>
      <c r="G1573" s="190">
        <f>'2011'!I573</f>
        <v>0</v>
      </c>
    </row>
    <row r="1574" spans="1:7" ht="12.75" customHeight="1">
      <c r="A1574" s="190" t="str">
        <f>'2011'!C574</f>
        <v>Forstwirtschaft</v>
      </c>
      <c r="B1574" s="190">
        <f>'2011'!D574</f>
        <v>1180131.87</v>
      </c>
      <c r="C1574" s="190">
        <f>'2011'!E574</f>
        <v>200651.66000000015</v>
      </c>
      <c r="D1574" s="190">
        <f>'2011'!F574</f>
        <v>778289.2200000002</v>
      </c>
      <c r="E1574" s="190">
        <f>'2011'!G574</f>
        <v>2159072.7500000005</v>
      </c>
      <c r="F1574" s="190">
        <f>'2011'!H574</f>
        <v>1897458.9100000001</v>
      </c>
      <c r="G1574" s="190">
        <f>'2011'!I574</f>
        <v>4056531.6600000006</v>
      </c>
    </row>
    <row r="1575" spans="1:7" ht="12.75" customHeight="1">
      <c r="A1575" s="190" t="str">
        <f>'2011'!C575</f>
        <v>Forstwirtschaft</v>
      </c>
      <c r="B1575" s="190">
        <f>'2011'!D575</f>
        <v>1180131.87</v>
      </c>
      <c r="C1575" s="190">
        <f>'2011'!E575</f>
        <v>200651.66000000015</v>
      </c>
      <c r="D1575" s="190">
        <f>'2011'!F575</f>
        <v>778289.2200000002</v>
      </c>
      <c r="E1575" s="190">
        <f>'2011'!G575</f>
        <v>2159072.7500000005</v>
      </c>
      <c r="F1575" s="190">
        <f>'2011'!H575</f>
        <v>1897458.9100000001</v>
      </c>
      <c r="G1575" s="190">
        <f>'2011'!I575</f>
        <v>4056531.6600000006</v>
      </c>
    </row>
    <row r="1576" spans="1:7" ht="12.75" customHeight="1">
      <c r="A1576" s="190" t="str">
        <f>'2011'!C576</f>
        <v>Jagd und Fischerei</v>
      </c>
      <c r="B1576" s="190">
        <f>'2011'!D576</f>
        <v>0</v>
      </c>
      <c r="C1576" s="190">
        <f>'2011'!E576</f>
        <v>10993.95</v>
      </c>
      <c r="D1576" s="190">
        <f>'2011'!F576</f>
        <v>11502.5</v>
      </c>
      <c r="E1576" s="190">
        <f>'2011'!G576</f>
        <v>22496.45</v>
      </c>
      <c r="F1576" s="190">
        <f>'2011'!H576</f>
        <v>199372.54999999993</v>
      </c>
      <c r="G1576" s="190">
        <f>'2011'!I576</f>
        <v>221868.99999999994</v>
      </c>
    </row>
    <row r="1577" spans="1:7" ht="12.75" customHeight="1">
      <c r="A1577" s="190" t="str">
        <f>'2011'!C577</f>
        <v>Jagd und Fischerei</v>
      </c>
      <c r="B1577" s="190">
        <f>'2011'!D577</f>
        <v>0</v>
      </c>
      <c r="C1577" s="190">
        <f>'2011'!E577</f>
        <v>10993.95</v>
      </c>
      <c r="D1577" s="190">
        <f>'2011'!F577</f>
        <v>11502.5</v>
      </c>
      <c r="E1577" s="190">
        <f>'2011'!G577</f>
        <v>22496.45</v>
      </c>
      <c r="F1577" s="190">
        <f>'2011'!H577</f>
        <v>199372.54999999993</v>
      </c>
      <c r="G1577" s="190">
        <f>'2011'!I577</f>
        <v>221868.99999999994</v>
      </c>
    </row>
    <row r="1578" spans="1:7" ht="12.75" customHeight="1">
      <c r="A1578" s="190" t="str">
        <f>'2011'!C578</f>
        <v>Tourismus</v>
      </c>
      <c r="B1578" s="190">
        <f>'2011'!D578</f>
        <v>55337.25</v>
      </c>
      <c r="C1578" s="190">
        <f>'2011'!E578</f>
        <v>54169.75</v>
      </c>
      <c r="D1578" s="190">
        <f>'2011'!F578</f>
        <v>-473.4199999999837</v>
      </c>
      <c r="E1578" s="190">
        <f>'2011'!G578</f>
        <v>109033.58000000002</v>
      </c>
      <c r="F1578" s="190">
        <f>'2011'!H578</f>
        <v>500000</v>
      </c>
      <c r="G1578" s="190">
        <f>'2011'!I578</f>
        <v>609033.5800000001</v>
      </c>
    </row>
    <row r="1579" spans="1:7" ht="12.75" customHeight="1">
      <c r="A1579" s="190" t="str">
        <f>'2011'!C579</f>
        <v>Tourismus</v>
      </c>
      <c r="B1579" s="190">
        <f>'2011'!D579</f>
        <v>55337.25</v>
      </c>
      <c r="C1579" s="190">
        <f>'2011'!E579</f>
        <v>54169.75</v>
      </c>
      <c r="D1579" s="190">
        <f>'2011'!F579</f>
        <v>-473.4199999999837</v>
      </c>
      <c r="E1579" s="190">
        <f>'2011'!G579</f>
        <v>109033.58000000002</v>
      </c>
      <c r="F1579" s="190">
        <f>'2011'!H579</f>
        <v>500000</v>
      </c>
      <c r="G1579" s="190">
        <f>'2011'!I579</f>
        <v>609033.5800000001</v>
      </c>
    </row>
    <row r="1580" spans="1:7" ht="12.75" customHeight="1">
      <c r="A1580" s="190" t="str">
        <f>'2011'!C580</f>
        <v>Industrie, Gewerbe, Handel</v>
      </c>
      <c r="B1580" s="190">
        <f>'2011'!D580</f>
        <v>0</v>
      </c>
      <c r="C1580" s="190">
        <f>'2011'!E580</f>
        <v>0</v>
      </c>
      <c r="D1580" s="190">
        <f>'2011'!F580</f>
        <v>108115.3</v>
      </c>
      <c r="E1580" s="190">
        <f>'2011'!G580</f>
        <v>108115.3</v>
      </c>
      <c r="F1580" s="190">
        <f>'2011'!H580</f>
        <v>1025190.2399999999</v>
      </c>
      <c r="G1580" s="190">
        <f>'2011'!I580</f>
        <v>1133305.5399999998</v>
      </c>
    </row>
    <row r="1581" spans="1:7" ht="12.75" customHeight="1">
      <c r="A1581" s="190" t="str">
        <f>'2011'!C581</f>
        <v>Industrie, Gewerbe, Handel</v>
      </c>
      <c r="B1581" s="190">
        <f>'2011'!D581</f>
        <v>0</v>
      </c>
      <c r="C1581" s="190">
        <f>'2011'!E581</f>
        <v>0</v>
      </c>
      <c r="D1581" s="190">
        <f>'2011'!F581</f>
        <v>108115.3</v>
      </c>
      <c r="E1581" s="190">
        <f>'2011'!G581</f>
        <v>108115.3</v>
      </c>
      <c r="F1581" s="190">
        <f>'2011'!H581</f>
        <v>1025190.2399999999</v>
      </c>
      <c r="G1581" s="190">
        <f>'2011'!I581</f>
        <v>1133305.5399999998</v>
      </c>
    </row>
    <row r="1582" spans="1:7" ht="12.75" customHeight="1">
      <c r="A1582" s="190" t="str">
        <f>'2011'!C582</f>
        <v>Banken</v>
      </c>
      <c r="B1582" s="190">
        <f>'2011'!D582</f>
        <v>0</v>
      </c>
      <c r="C1582" s="190">
        <f>'2011'!E582</f>
        <v>0</v>
      </c>
      <c r="D1582" s="190">
        <f>'2011'!F582</f>
        <v>0</v>
      </c>
      <c r="E1582" s="190">
        <f>'2011'!G582</f>
        <v>0</v>
      </c>
      <c r="F1582" s="190">
        <f>'2011'!H582</f>
        <v>-1914000</v>
      </c>
      <c r="G1582" s="190">
        <f>'2011'!I582</f>
        <v>-1914000</v>
      </c>
    </row>
    <row r="1583" spans="1:7" ht="12.75" customHeight="1">
      <c r="A1583" s="190" t="str">
        <f>'2011'!C583</f>
        <v>Banken</v>
      </c>
      <c r="B1583" s="190">
        <f>'2011'!D583</f>
        <v>0</v>
      </c>
      <c r="C1583" s="190">
        <f>'2011'!E583</f>
        <v>0</v>
      </c>
      <c r="D1583" s="190">
        <f>'2011'!F583</f>
        <v>0</v>
      </c>
      <c r="E1583" s="190">
        <f>'2011'!G583</f>
        <v>0</v>
      </c>
      <c r="F1583" s="190">
        <f>'2011'!H583</f>
        <v>-1914000</v>
      </c>
      <c r="G1583" s="190">
        <f>'2011'!I583</f>
        <v>-1914000</v>
      </c>
    </row>
    <row r="1584" spans="1:7" ht="12.75" customHeight="1">
      <c r="A1584" s="190" t="str">
        <f>'2011'!C584</f>
        <v>Brennstoffe und Energie</v>
      </c>
      <c r="B1584" s="190">
        <f>'2011'!D584</f>
        <v>-847031</v>
      </c>
      <c r="C1584" s="190">
        <f>'2011'!E584</f>
        <v>-900000</v>
      </c>
      <c r="D1584" s="190">
        <f>'2011'!F584</f>
        <v>-200000</v>
      </c>
      <c r="E1584" s="190">
        <f>'2011'!G584</f>
        <v>-1947031</v>
      </c>
      <c r="F1584" s="190">
        <f>'2011'!H584</f>
        <v>-124007.80000000016</v>
      </c>
      <c r="G1584" s="190">
        <f>'2011'!I584</f>
        <v>-2071038.8000000003</v>
      </c>
    </row>
    <row r="1585" spans="1:7" ht="12.75" customHeight="1">
      <c r="A1585" s="190" t="str">
        <f>'2011'!C585</f>
        <v>Elektrizität (allgemein)</v>
      </c>
      <c r="B1585" s="190">
        <f>'2011'!D585</f>
        <v>-847031</v>
      </c>
      <c r="C1585" s="190">
        <f>'2011'!E585</f>
        <v>-900000</v>
      </c>
      <c r="D1585" s="190">
        <f>'2011'!F585</f>
        <v>-200000</v>
      </c>
      <c r="E1585" s="190">
        <f>'2011'!G585</f>
        <v>-1947031</v>
      </c>
      <c r="F1585" s="190">
        <f>'2011'!H585</f>
        <v>0</v>
      </c>
      <c r="G1585" s="190">
        <f>'2011'!I585</f>
        <v>-1947031</v>
      </c>
    </row>
    <row r="1586" spans="1:7" ht="12.75" customHeight="1">
      <c r="A1586" s="190" t="str">
        <f>'2011'!C586</f>
        <v>Elektrizitätswerk, -Netz (SF)</v>
      </c>
      <c r="B1586" s="190">
        <f>'2011'!D586</f>
        <v>0</v>
      </c>
      <c r="C1586" s="190">
        <f>'2011'!E586</f>
        <v>0</v>
      </c>
      <c r="D1586" s="190">
        <f>'2011'!F586</f>
        <v>0</v>
      </c>
      <c r="E1586" s="190">
        <f>'2011'!G586</f>
        <v>0</v>
      </c>
      <c r="F1586" s="190">
        <f>'2011'!H586</f>
        <v>0</v>
      </c>
      <c r="G1586" s="190">
        <f>'2011'!I586</f>
        <v>0</v>
      </c>
    </row>
    <row r="1587" spans="1:7" ht="12.75" customHeight="1">
      <c r="A1587" s="190" t="str">
        <f>'2011'!C587</f>
        <v>Elektrizitätswerk-Stromhandel (SF)</v>
      </c>
      <c r="B1587" s="190">
        <f>'2011'!D587</f>
        <v>0</v>
      </c>
      <c r="C1587" s="190">
        <f>'2011'!E587</f>
        <v>0</v>
      </c>
      <c r="D1587" s="190">
        <f>'2011'!F587</f>
        <v>0</v>
      </c>
      <c r="E1587" s="190">
        <f>'2011'!G587</f>
        <v>0</v>
      </c>
      <c r="F1587" s="190">
        <f>'2011'!H587</f>
        <v>-186532.3500000001</v>
      </c>
      <c r="G1587" s="190">
        <f>'2011'!I587</f>
        <v>-186532.3500000001</v>
      </c>
    </row>
    <row r="1588" spans="1:7" ht="12.75" customHeight="1">
      <c r="A1588" s="190" t="str">
        <f>'2011'!C588</f>
        <v>Erdäl und Gas (allgemein)</v>
      </c>
      <c r="B1588" s="190">
        <f>'2011'!D588</f>
        <v>0</v>
      </c>
      <c r="C1588" s="190">
        <f>'2011'!E588</f>
        <v>0</v>
      </c>
      <c r="D1588" s="190">
        <f>'2011'!F588</f>
        <v>0</v>
      </c>
      <c r="E1588" s="190">
        <f>'2011'!G588</f>
        <v>0</v>
      </c>
      <c r="F1588" s="190">
        <f>'2011'!H588</f>
        <v>0</v>
      </c>
      <c r="G1588" s="190">
        <f>'2011'!I588</f>
        <v>0</v>
      </c>
    </row>
    <row r="1589" spans="1:7" ht="12.75" customHeight="1">
      <c r="A1589" s="190" t="str">
        <f>'2011'!C589</f>
        <v>Nichtelektrische Energie (allgemein)</v>
      </c>
      <c r="B1589" s="190">
        <f>'2011'!D589</f>
        <v>0</v>
      </c>
      <c r="C1589" s="190">
        <f>'2011'!E589</f>
        <v>0</v>
      </c>
      <c r="D1589" s="190">
        <f>'2011'!F589</f>
        <v>0</v>
      </c>
      <c r="E1589" s="190">
        <f>'2011'!G589</f>
        <v>0</v>
      </c>
      <c r="F1589" s="190">
        <f>'2011'!H589</f>
        <v>62524.54999999993</v>
      </c>
      <c r="G1589" s="190">
        <f>'2011'!I589</f>
        <v>62524.54999999993</v>
      </c>
    </row>
    <row r="1590" spans="1:7" ht="12.75" customHeight="1">
      <c r="A1590" s="190" t="str">
        <f>'2011'!C590</f>
        <v>Fernwärmebetrieb nichteletr. Energie (SF)</v>
      </c>
      <c r="B1590" s="190">
        <f>'2011'!D590</f>
        <v>0</v>
      </c>
      <c r="C1590" s="190">
        <f>'2011'!E590</f>
        <v>0</v>
      </c>
      <c r="D1590" s="190">
        <f>'2011'!F590</f>
        <v>0</v>
      </c>
      <c r="E1590" s="190">
        <f>'2011'!G590</f>
        <v>0</v>
      </c>
      <c r="F1590" s="190">
        <f>'2011'!H590</f>
        <v>0</v>
      </c>
      <c r="G1590" s="190">
        <f>'2011'!I590</f>
        <v>0</v>
      </c>
    </row>
    <row r="1591" spans="1:7" ht="12.75" customHeight="1">
      <c r="A1591" s="190" t="str">
        <f>'2011'!C591</f>
        <v>Brennstoffe, n.a.g.</v>
      </c>
      <c r="B1591" s="190">
        <f>'2011'!D591</f>
        <v>0</v>
      </c>
      <c r="C1591" s="190">
        <f>'2011'!E591</f>
        <v>0</v>
      </c>
      <c r="D1591" s="190">
        <f>'2011'!F591</f>
        <v>0</v>
      </c>
      <c r="E1591" s="190">
        <f>'2011'!G591</f>
        <v>0</v>
      </c>
      <c r="F1591" s="190">
        <f>'2011'!H591</f>
        <v>0</v>
      </c>
      <c r="G1591" s="190">
        <f>'2011'!I591</f>
        <v>0</v>
      </c>
    </row>
    <row r="1592" spans="1:7" ht="12.75" customHeight="1">
      <c r="A1592" s="190" t="str">
        <f>'2011'!C592</f>
        <v>Fernwärmebetrieb Brennstoffe, n.a.g. (SF)</v>
      </c>
      <c r="B1592" s="190">
        <f>'2011'!D592</f>
        <v>0</v>
      </c>
      <c r="C1592" s="190">
        <f>'2011'!E592</f>
        <v>0</v>
      </c>
      <c r="D1592" s="190">
        <f>'2011'!F592</f>
        <v>0</v>
      </c>
      <c r="E1592" s="190">
        <f>'2011'!G592</f>
        <v>0</v>
      </c>
      <c r="F1592" s="190">
        <f>'2011'!H592</f>
        <v>0</v>
      </c>
      <c r="G1592" s="190">
        <f>'2011'!I592</f>
        <v>0</v>
      </c>
    </row>
    <row r="1593" spans="1:7" ht="12.75" customHeight="1">
      <c r="A1593" s="190" t="str">
        <f>'2011'!C593</f>
        <v>F&amp;E in Volkswirtschaft</v>
      </c>
      <c r="B1593" s="190">
        <f>'2011'!D593</f>
        <v>0</v>
      </c>
      <c r="C1593" s="190">
        <f>'2011'!E593</f>
        <v>0</v>
      </c>
      <c r="D1593" s="190">
        <f>'2011'!F593</f>
        <v>0</v>
      </c>
      <c r="E1593" s="190">
        <f>'2011'!G593</f>
        <v>0</v>
      </c>
      <c r="F1593" s="190">
        <f>'2011'!H593</f>
        <v>0</v>
      </c>
      <c r="G1593" s="190">
        <f>'2011'!I593</f>
        <v>0</v>
      </c>
    </row>
    <row r="1594" spans="1:7" ht="12.75" customHeight="1">
      <c r="A1594" s="190" t="str">
        <f>'2011'!C594</f>
        <v>F&amp;E in Landwirtschaft</v>
      </c>
      <c r="B1594" s="190">
        <f>'2011'!D594</f>
        <v>0</v>
      </c>
      <c r="C1594" s="190">
        <f>'2011'!E594</f>
        <v>0</v>
      </c>
      <c r="D1594" s="190">
        <f>'2011'!F594</f>
        <v>0</v>
      </c>
      <c r="E1594" s="190">
        <f>'2011'!G594</f>
        <v>0</v>
      </c>
      <c r="F1594" s="190">
        <f>'2011'!H594</f>
        <v>0</v>
      </c>
      <c r="G1594" s="190">
        <f>'2011'!I594</f>
        <v>0</v>
      </c>
    </row>
    <row r="1595" spans="1:7" ht="12.75" customHeight="1">
      <c r="A1595" s="190" t="str">
        <f>'2011'!C595</f>
        <v>F&amp;E in Forstwirtschaft, Jagd u. Fischerei</v>
      </c>
      <c r="B1595" s="190">
        <f>'2011'!D595</f>
        <v>0</v>
      </c>
      <c r="C1595" s="190">
        <f>'2011'!E595</f>
        <v>0</v>
      </c>
      <c r="D1595" s="190">
        <f>'2011'!F595</f>
        <v>0</v>
      </c>
      <c r="E1595" s="190">
        <f>'2011'!G595</f>
        <v>0</v>
      </c>
      <c r="F1595" s="190">
        <f>'2011'!H595</f>
        <v>0</v>
      </c>
      <c r="G1595" s="190">
        <f>'2011'!I595</f>
        <v>0</v>
      </c>
    </row>
    <row r="1596" spans="1:7" ht="12.75" customHeight="1">
      <c r="A1596" s="190" t="str">
        <f>'2011'!C596</f>
        <v>F&amp;E in Brennstoffe und Energie</v>
      </c>
      <c r="B1596" s="190">
        <f>'2011'!D596</f>
        <v>0</v>
      </c>
      <c r="C1596" s="190">
        <f>'2011'!E596</f>
        <v>0</v>
      </c>
      <c r="D1596" s="190">
        <f>'2011'!F596</f>
        <v>0</v>
      </c>
      <c r="E1596" s="190">
        <f>'2011'!G596</f>
        <v>0</v>
      </c>
      <c r="F1596" s="190">
        <f>'2011'!H596</f>
        <v>0</v>
      </c>
      <c r="G1596" s="190">
        <f>'2011'!I596</f>
        <v>0</v>
      </c>
    </row>
    <row r="1597" spans="1:7" ht="12.75" customHeight="1">
      <c r="A1597" s="190" t="str">
        <f>'2011'!C597</f>
        <v>F&amp;E in übrige Volkswirtschaft</v>
      </c>
      <c r="B1597" s="190">
        <f>'2011'!D597</f>
        <v>0</v>
      </c>
      <c r="C1597" s="190">
        <f>'2011'!E597</f>
        <v>0</v>
      </c>
      <c r="D1597" s="190">
        <f>'2011'!F597</f>
        <v>0</v>
      </c>
      <c r="E1597" s="190">
        <f>'2011'!G597</f>
        <v>0</v>
      </c>
      <c r="F1597" s="190">
        <f>'2011'!H597</f>
        <v>0</v>
      </c>
      <c r="G1597" s="190">
        <f>'2011'!I597</f>
        <v>0</v>
      </c>
    </row>
    <row r="1598" spans="1:7" ht="12.75" customHeight="1">
      <c r="A1598" s="190" t="str">
        <f>'2011'!C598</f>
        <v>Sonstige gewerbliche Betriebe</v>
      </c>
      <c r="B1598" s="190">
        <f>'2011'!D598</f>
        <v>0</v>
      </c>
      <c r="C1598" s="190">
        <f>'2011'!E598</f>
        <v>0</v>
      </c>
      <c r="D1598" s="190">
        <f>'2011'!F598</f>
        <v>0</v>
      </c>
      <c r="E1598" s="190">
        <f>'2011'!G598</f>
        <v>0</v>
      </c>
      <c r="F1598" s="190">
        <f>'2011'!H598</f>
        <v>-260000</v>
      </c>
      <c r="G1598" s="190">
        <f>'2011'!I598</f>
        <v>-260000</v>
      </c>
    </row>
    <row r="1599" spans="1:7" ht="12.75" customHeight="1">
      <c r="A1599" s="190" t="str">
        <f>'2011'!C599</f>
        <v>Sonstige gewerbliche Betriebe</v>
      </c>
      <c r="B1599" s="190">
        <f>'2011'!D599</f>
        <v>0</v>
      </c>
      <c r="C1599" s="190">
        <f>'2011'!E599</f>
        <v>0</v>
      </c>
      <c r="D1599" s="190">
        <f>'2011'!F599</f>
        <v>0</v>
      </c>
      <c r="E1599" s="190">
        <f>'2011'!G599</f>
        <v>0</v>
      </c>
      <c r="F1599" s="190">
        <f>'2011'!H599</f>
        <v>-260000</v>
      </c>
      <c r="G1599" s="190">
        <f>'2011'!I599</f>
        <v>-260000</v>
      </c>
    </row>
    <row r="1600" spans="1:7" ht="12.75" customHeight="1">
      <c r="A1600" s="190" t="str">
        <f>'2011'!C600</f>
        <v>FINANZEN UND STEUERN</v>
      </c>
      <c r="B1600" s="190">
        <f>'2011'!D600</f>
        <v>-28208550.159999993</v>
      </c>
      <c r="C1600" s="190">
        <f>'2011'!E600</f>
        <v>-33991066.80000001</v>
      </c>
      <c r="D1600" s="190">
        <f>'2011'!F600</f>
        <v>-43500179.52</v>
      </c>
      <c r="E1600" s="190">
        <f>'2011'!G600</f>
        <v>-105699796.48000002</v>
      </c>
      <c r="F1600" s="190">
        <f>'2011'!H600</f>
        <v>-189635078.34</v>
      </c>
      <c r="G1600" s="190">
        <f>'2011'!I600</f>
        <v>-295334874.82000005</v>
      </c>
    </row>
    <row r="1601" spans="1:7" ht="12.75" customHeight="1">
      <c r="A1601" s="190" t="str">
        <f>'2011'!C601</f>
        <v>Steuern</v>
      </c>
      <c r="B1601" s="190">
        <f>'2011'!D601</f>
        <v>-22026155.549999997</v>
      </c>
      <c r="C1601" s="190">
        <f>'2011'!E601</f>
        <v>-27355533.230000004</v>
      </c>
      <c r="D1601" s="190">
        <f>'2011'!F601</f>
        <v>-36583801.57</v>
      </c>
      <c r="E1601" s="190">
        <f>'2011'!G601</f>
        <v>-85965490.35</v>
      </c>
      <c r="F1601" s="190">
        <f>'2011'!H601</f>
        <v>-89233690.03999999</v>
      </c>
      <c r="G1601" s="190">
        <f>'2011'!I601</f>
        <v>-175199180.39</v>
      </c>
    </row>
    <row r="1602" spans="1:7" ht="12.75" customHeight="1">
      <c r="A1602" s="190" t="str">
        <f>'2011'!C602</f>
        <v> Allgemeine Gemeindesteuern</v>
      </c>
      <c r="B1602" s="190">
        <f>'2011'!D602</f>
        <v>-21789746.299999997</v>
      </c>
      <c r="C1602" s="190">
        <f>'2011'!E602</f>
        <v>-27085327.180000003</v>
      </c>
      <c r="D1602" s="190">
        <f>'2011'!F602</f>
        <v>-36195990.57</v>
      </c>
      <c r="E1602" s="190">
        <f>'2011'!G602</f>
        <v>-85071064.05000001</v>
      </c>
      <c r="F1602" s="190">
        <f>'2011'!H602</f>
        <v>-87028342.28999999</v>
      </c>
      <c r="G1602" s="190">
        <f>'2011'!I602</f>
        <v>-172099406.34</v>
      </c>
    </row>
    <row r="1603" spans="1:7" ht="12.75" customHeight="1">
      <c r="A1603" s="190" t="str">
        <f>'2011'!C603</f>
        <v>Sondersteuern</v>
      </c>
      <c r="B1603" s="190">
        <f>'2011'!D603</f>
        <v>-236409.25</v>
      </c>
      <c r="C1603" s="190">
        <f>'2011'!E603</f>
        <v>-270206.05</v>
      </c>
      <c r="D1603" s="190">
        <f>'2011'!F603</f>
        <v>-387811</v>
      </c>
      <c r="E1603" s="190">
        <f>'2011'!G603</f>
        <v>-894426.3</v>
      </c>
      <c r="F1603" s="190">
        <f>'2011'!H603</f>
        <v>-2205347.75</v>
      </c>
      <c r="G1603" s="190">
        <f>'2011'!I603</f>
        <v>-3099774.05</v>
      </c>
    </row>
    <row r="1604" spans="1:7" ht="12.75" customHeight="1">
      <c r="A1604" s="190" t="str">
        <f>'2011'!C604</f>
        <v>Steuerabkommen</v>
      </c>
      <c r="B1604" s="190">
        <f>'2011'!D604</f>
        <v>0</v>
      </c>
      <c r="C1604" s="190">
        <f>'2011'!E604</f>
        <v>0</v>
      </c>
      <c r="D1604" s="190">
        <f>'2011'!F604</f>
        <v>0</v>
      </c>
      <c r="E1604" s="190">
        <f>'2011'!G604</f>
        <v>0</v>
      </c>
      <c r="F1604" s="190">
        <f>'2011'!H604</f>
        <v>0</v>
      </c>
      <c r="G1604" s="190">
        <f>'2011'!I604</f>
        <v>0</v>
      </c>
    </row>
    <row r="1605" spans="1:7" ht="12.75" customHeight="1">
      <c r="A1605" s="190" t="str">
        <f>'2011'!C605</f>
        <v>Steuerabkommen</v>
      </c>
      <c r="B1605" s="190">
        <f>'2011'!D605</f>
        <v>0</v>
      </c>
      <c r="C1605" s="190">
        <f>'2011'!E605</f>
        <v>0</v>
      </c>
      <c r="D1605" s="190">
        <f>'2011'!F605</f>
        <v>0</v>
      </c>
      <c r="E1605" s="190">
        <f>'2011'!G605</f>
        <v>0</v>
      </c>
      <c r="F1605" s="190">
        <f>'2011'!H605</f>
        <v>0</v>
      </c>
      <c r="G1605" s="190">
        <f>'2011'!I605</f>
        <v>0</v>
      </c>
    </row>
    <row r="1606" spans="1:7" ht="12.75" customHeight="1">
      <c r="A1606" s="190" t="str">
        <f>'2011'!C606</f>
        <v>Finanz- und Lastenausgleich</v>
      </c>
      <c r="B1606" s="190">
        <f>'2011'!D606</f>
        <v>-662420.72</v>
      </c>
      <c r="C1606" s="190">
        <f>'2011'!E606</f>
        <v>-149042.51</v>
      </c>
      <c r="D1606" s="190">
        <f>'2011'!F606</f>
        <v>-107614.76999999999</v>
      </c>
      <c r="E1606" s="190">
        <f>'2011'!G606</f>
        <v>-919078</v>
      </c>
      <c r="F1606" s="190">
        <f>'2011'!H606</f>
        <v>-68578299</v>
      </c>
      <c r="G1606" s="190">
        <f>'2011'!I606</f>
        <v>-69497377</v>
      </c>
    </row>
    <row r="1607" spans="1:7" ht="12.75" customHeight="1">
      <c r="A1607" s="190" t="str">
        <f>'2011'!C607</f>
        <v>Finanz- und Lastenausgleich</v>
      </c>
      <c r="B1607" s="190">
        <f>'2011'!D607</f>
        <v>-662420.72</v>
      </c>
      <c r="C1607" s="190">
        <f>'2011'!E607</f>
        <v>-149042.51</v>
      </c>
      <c r="D1607" s="190">
        <f>'2011'!F607</f>
        <v>-107614.76999999999</v>
      </c>
      <c r="E1607" s="190">
        <f>'2011'!G607</f>
        <v>-919078</v>
      </c>
      <c r="F1607" s="190">
        <f>'2011'!H607</f>
        <v>-68578299</v>
      </c>
      <c r="G1607" s="190">
        <f>'2011'!I607</f>
        <v>-69497377</v>
      </c>
    </row>
    <row r="1608" spans="1:7" ht="12.75" customHeight="1">
      <c r="A1608" s="190" t="str">
        <f>'2011'!C608</f>
        <v>Ertragsanteile an Bundeseinnahmen</v>
      </c>
      <c r="B1608" s="190">
        <f>'2011'!D608</f>
        <v>0</v>
      </c>
      <c r="C1608" s="190">
        <f>'2011'!E608</f>
        <v>0</v>
      </c>
      <c r="D1608" s="190">
        <f>'2011'!F608</f>
        <v>0</v>
      </c>
      <c r="E1608" s="190">
        <f>'2011'!G608</f>
        <v>0</v>
      </c>
      <c r="F1608" s="190">
        <f>'2011'!H608</f>
        <v>-18608008.65</v>
      </c>
      <c r="G1608" s="190">
        <f>'2011'!I608</f>
        <v>-18608008.65</v>
      </c>
    </row>
    <row r="1609" spans="1:7" ht="12.75" customHeight="1">
      <c r="A1609" s="190" t="str">
        <f>'2011'!C609</f>
        <v>Ertragsanteile an Bundeseinnahmen</v>
      </c>
      <c r="B1609" s="190">
        <f>'2011'!D609</f>
        <v>0</v>
      </c>
      <c r="C1609" s="190">
        <f>'2011'!E609</f>
        <v>0</v>
      </c>
      <c r="D1609" s="190">
        <f>'2011'!F609</f>
        <v>0</v>
      </c>
      <c r="E1609" s="190">
        <f>'2011'!G609</f>
        <v>0</v>
      </c>
      <c r="F1609" s="190">
        <f>'2011'!H609</f>
        <v>-18608008.65</v>
      </c>
      <c r="G1609" s="190">
        <f>'2011'!I609</f>
        <v>-18608008.65</v>
      </c>
    </row>
    <row r="1610" spans="1:7" ht="12.75" customHeight="1">
      <c r="A1610" s="190" t="str">
        <f>'2011'!C610</f>
        <v>Ertragsanteile, übrige</v>
      </c>
      <c r="B1610" s="190">
        <f>'2011'!D610</f>
        <v>-1122650.55</v>
      </c>
      <c r="C1610" s="190">
        <f>'2011'!E610</f>
        <v>-599623.35</v>
      </c>
      <c r="D1610" s="190">
        <f>'2011'!F610</f>
        <v>-268232.1</v>
      </c>
      <c r="E1610" s="190">
        <f>'2011'!G610</f>
        <v>-1990506</v>
      </c>
      <c r="F1610" s="190">
        <f>'2011'!H610</f>
        <v>-5240840.8</v>
      </c>
      <c r="G1610" s="190">
        <f>'2011'!I610</f>
        <v>-7231346.8</v>
      </c>
    </row>
    <row r="1611" spans="1:7" ht="12.75" customHeight="1">
      <c r="A1611" s="190" t="str">
        <f>'2011'!C611</f>
        <v>Ertragsanteile, übrige</v>
      </c>
      <c r="B1611" s="190">
        <f>'2011'!D611</f>
        <v>-1122650.55</v>
      </c>
      <c r="C1611" s="190">
        <f>'2011'!E611</f>
        <v>-599623.35</v>
      </c>
      <c r="D1611" s="190">
        <f>'2011'!F611</f>
        <v>-268232.1</v>
      </c>
      <c r="E1611" s="190">
        <f>'2011'!G611</f>
        <v>-1990506</v>
      </c>
      <c r="F1611" s="190">
        <f>'2011'!H611</f>
        <v>-5240840.8</v>
      </c>
      <c r="G1611" s="190">
        <f>'2011'!I611</f>
        <v>-7231346.8</v>
      </c>
    </row>
    <row r="1612" spans="1:7" ht="12.75" customHeight="1">
      <c r="A1612" s="190" t="str">
        <f>'2011'!C612</f>
        <v>Vermögens- und Schuldenverwaltung</v>
      </c>
      <c r="B1612" s="190">
        <f>'2011'!D612</f>
        <v>-463457.74</v>
      </c>
      <c r="C1612" s="190">
        <f>'2011'!E612</f>
        <v>-446753.43999999994</v>
      </c>
      <c r="D1612" s="190">
        <f>'2011'!F612</f>
        <v>-1310586.98</v>
      </c>
      <c r="E1612" s="190">
        <f>'2011'!G612</f>
        <v>-2220798.16</v>
      </c>
      <c r="F1612" s="190">
        <f>'2011'!H612</f>
        <v>-7379434.249999999</v>
      </c>
      <c r="G1612" s="190">
        <f>'2011'!I612</f>
        <v>-9600232.41</v>
      </c>
    </row>
    <row r="1613" spans="1:7" ht="12.75" customHeight="1">
      <c r="A1613" s="190" t="str">
        <f>'2011'!C613</f>
        <v>Zinsen</v>
      </c>
      <c r="B1613" s="190">
        <f>'2011'!D613</f>
        <v>359352.26</v>
      </c>
      <c r="C1613" s="190">
        <f>'2011'!E613</f>
        <v>-129976.29000000004</v>
      </c>
      <c r="D1613" s="190">
        <f>'2011'!F613</f>
        <v>24665.71000000008</v>
      </c>
      <c r="E1613" s="190">
        <f>'2011'!G613</f>
        <v>254041.68000000005</v>
      </c>
      <c r="F1613" s="190">
        <f>'2011'!H613</f>
        <v>-6803896.299999999</v>
      </c>
      <c r="G1613" s="190">
        <f>'2011'!I613</f>
        <v>-6549854.619999999</v>
      </c>
    </row>
    <row r="1614" spans="1:7" ht="12.75" customHeight="1">
      <c r="A1614" s="190" t="str">
        <f>'2011'!C614</f>
        <v>Emissionskosten</v>
      </c>
      <c r="B1614" s="190">
        <f>'2011'!D614</f>
        <v>0</v>
      </c>
      <c r="C1614" s="190">
        <f>'2011'!E614</f>
        <v>0</v>
      </c>
      <c r="D1614" s="190">
        <f>'2011'!F614</f>
        <v>0</v>
      </c>
      <c r="E1614" s="190">
        <f>'2011'!G614</f>
        <v>0</v>
      </c>
      <c r="F1614" s="190">
        <f>'2011'!H614</f>
        <v>0</v>
      </c>
      <c r="G1614" s="190">
        <f>'2011'!I614</f>
        <v>0</v>
      </c>
    </row>
    <row r="1615" spans="1:7" ht="12.75" customHeight="1">
      <c r="A1615" s="190" t="str">
        <f>'2011'!C615</f>
        <v>Liegenschaften des Finanzvermögens</v>
      </c>
      <c r="B1615" s="190">
        <f>'2011'!D615</f>
        <v>-240835</v>
      </c>
      <c r="C1615" s="190">
        <f>'2011'!E615</f>
        <v>-274002.1499999999</v>
      </c>
      <c r="D1615" s="190">
        <f>'2011'!F615</f>
        <v>-1146103.75</v>
      </c>
      <c r="E1615" s="190">
        <f>'2011'!G615</f>
        <v>-1660940.9</v>
      </c>
      <c r="F1615" s="190">
        <f>'2011'!H615</f>
        <v>-575537.9500000001</v>
      </c>
      <c r="G1615" s="190">
        <f>'2011'!I615</f>
        <v>-2236478.85</v>
      </c>
    </row>
    <row r="1616" spans="1:7" ht="12.75" customHeight="1">
      <c r="A1616" s="190" t="str">
        <f>'2011'!C616</f>
        <v>Finanzvermögen, n.a.g.</v>
      </c>
      <c r="B1616" s="190">
        <f>'2011'!D616</f>
        <v>-581975</v>
      </c>
      <c r="C1616" s="190">
        <f>'2011'!E616</f>
        <v>-42775</v>
      </c>
      <c r="D1616" s="190">
        <f>'2011'!F616</f>
        <v>-189148.94</v>
      </c>
      <c r="E1616" s="190">
        <f>'2011'!G616</f>
        <v>-813898.94</v>
      </c>
      <c r="F1616" s="190">
        <f>'2011'!H616</f>
        <v>0</v>
      </c>
      <c r="G1616" s="190">
        <f>'2011'!I616</f>
        <v>-813898.94</v>
      </c>
    </row>
    <row r="1617" spans="1:7" ht="12.75" customHeight="1">
      <c r="A1617" s="190" t="str">
        <f>'2011'!C617</f>
        <v>Rückverteilung</v>
      </c>
      <c r="B1617" s="190">
        <f>'2011'!D617</f>
        <v>-11413.45</v>
      </c>
      <c r="C1617" s="190">
        <f>'2011'!E617</f>
        <v>-12860.2</v>
      </c>
      <c r="D1617" s="190">
        <f>'2011'!F617</f>
        <v>0</v>
      </c>
      <c r="E1617" s="190">
        <f>'2011'!G617</f>
        <v>-24273.65</v>
      </c>
      <c r="F1617" s="190">
        <f>'2011'!H617</f>
        <v>-30244.850000000002</v>
      </c>
      <c r="G1617" s="190">
        <f>'2011'!I617</f>
        <v>-54518.5</v>
      </c>
    </row>
    <row r="1618" spans="1:7" ht="12.75" customHeight="1">
      <c r="A1618" s="190" t="str">
        <f>'2011'!C618</f>
        <v>Rückverteilung aus CO2-Abgabe</v>
      </c>
      <c r="B1618" s="190">
        <f>'2011'!D618</f>
        <v>-11413.45</v>
      </c>
      <c r="C1618" s="190">
        <f>'2011'!E618</f>
        <v>-12860.2</v>
      </c>
      <c r="D1618" s="190">
        <f>'2011'!F618</f>
        <v>0</v>
      </c>
      <c r="E1618" s="190">
        <f>'2011'!G618</f>
        <v>-24273.65</v>
      </c>
      <c r="F1618" s="190">
        <f>'2011'!H618</f>
        <v>-30244.850000000002</v>
      </c>
      <c r="G1618" s="190">
        <f>'2011'!I618</f>
        <v>-54518.5</v>
      </c>
    </row>
    <row r="1619" spans="1:7" ht="12.75" customHeight="1">
      <c r="A1619" s="190" t="str">
        <f>'2011'!C619</f>
        <v>Nicht aufgeteilte Posten</v>
      </c>
      <c r="B1619" s="190">
        <f>'2011'!D619</f>
        <v>-3922452.1499999994</v>
      </c>
      <c r="C1619" s="190">
        <f>'2011'!E619</f>
        <v>-5427254.07</v>
      </c>
      <c r="D1619" s="190">
        <f>'2011'!F619</f>
        <v>-5229944.100000001</v>
      </c>
      <c r="E1619" s="190">
        <f>'2011'!G619</f>
        <v>-14579650.32</v>
      </c>
      <c r="F1619" s="190">
        <f>'2011'!H619</f>
        <v>-564560.75</v>
      </c>
      <c r="G1619" s="190">
        <f>'2011'!I619</f>
        <v>-15144211.07</v>
      </c>
    </row>
    <row r="1620" spans="1:7" ht="12.75" customHeight="1">
      <c r="A1620" s="190" t="str">
        <f>'2011'!C620</f>
        <v>Nicht aufgeteilte Posten</v>
      </c>
      <c r="B1620" s="190">
        <f>'2011'!D620</f>
        <v>0</v>
      </c>
      <c r="C1620" s="190">
        <f>'2011'!E620</f>
        <v>0</v>
      </c>
      <c r="D1620" s="190">
        <f>'2011'!F620</f>
        <v>158345.35</v>
      </c>
      <c r="E1620" s="190">
        <f>'2011'!G620</f>
        <v>158345.35</v>
      </c>
      <c r="F1620" s="190">
        <f>'2011'!H620</f>
        <v>-564560.75</v>
      </c>
      <c r="G1620" s="190">
        <f>'2011'!I620</f>
        <v>-406215.4</v>
      </c>
    </row>
    <row r="1621" spans="1:7" ht="12.75" customHeight="1">
      <c r="A1621" s="190" t="str">
        <f>'2011'!C621</f>
        <v>Neutale Aufwendungen und Erträge</v>
      </c>
      <c r="B1621" s="190">
        <f>'2011'!D621</f>
        <v>-3922452.1499999994</v>
      </c>
      <c r="C1621" s="190">
        <f>'2011'!E621</f>
        <v>-5427254.07</v>
      </c>
      <c r="D1621" s="190">
        <f>'2011'!F621</f>
        <v>-5388289.45</v>
      </c>
      <c r="E1621" s="190">
        <f>'2011'!G621</f>
        <v>-14737995.669999998</v>
      </c>
      <c r="F1621" s="190">
        <f>'2011'!H621</f>
        <v>0</v>
      </c>
      <c r="G1621" s="190">
        <f>'2011'!I621</f>
        <v>-14737995.669999998</v>
      </c>
    </row>
    <row r="1622" spans="1:7" ht="12.75" customHeight="1">
      <c r="A1622" s="190" t="str">
        <f>'2011'!C622</f>
        <v>Abschluss</v>
      </c>
      <c r="B1622" s="190">
        <f>'2011'!D622</f>
        <v>0</v>
      </c>
      <c r="C1622" s="190">
        <f>'2011'!E622</f>
        <v>0</v>
      </c>
      <c r="D1622" s="190">
        <f>'2011'!F622</f>
        <v>0</v>
      </c>
      <c r="E1622" s="190">
        <f>'2011'!G622</f>
        <v>0</v>
      </c>
      <c r="F1622" s="190">
        <f>'2011'!H622</f>
        <v>0</v>
      </c>
      <c r="G1622" s="190">
        <f>'2011'!I622</f>
        <v>0</v>
      </c>
    </row>
    <row r="1623" spans="1:7" ht="12.75" customHeight="1">
      <c r="A1623" s="190">
        <f>'2011'!C623</f>
        <v>0</v>
      </c>
      <c r="B1623" s="190">
        <f>'2011'!D623</f>
        <v>0</v>
      </c>
      <c r="C1623" s="190">
        <f>'2011'!E623</f>
        <v>0</v>
      </c>
      <c r="D1623" s="190">
        <f>'2011'!F623</f>
        <v>0</v>
      </c>
      <c r="E1623" s="190">
        <f>'2011'!G623</f>
        <v>0</v>
      </c>
      <c r="F1623" s="190">
        <f>'2011'!H623</f>
        <v>0</v>
      </c>
      <c r="G1623" s="190">
        <f>'2011'!I623</f>
        <v>0</v>
      </c>
    </row>
    <row r="1624" spans="1:7" ht="12.75" customHeight="1">
      <c r="A1624" s="190" t="str">
        <f>'2011'!C624</f>
        <v>NETTOERGEBNIS (-=Gewinn/+=Verlust)</v>
      </c>
      <c r="B1624" s="190">
        <f>'2011'!D624</f>
        <v>-637558.599999994</v>
      </c>
      <c r="C1624" s="190">
        <f>'2011'!E624</f>
        <v>-3514457.1500000097</v>
      </c>
      <c r="D1624" s="190">
        <f>'2011'!F624</f>
        <v>-472270.26000000536</v>
      </c>
      <c r="E1624" s="190">
        <f>'2011'!G624</f>
        <v>-4624286.010000009</v>
      </c>
      <c r="F1624" s="190">
        <f>'2011'!H624</f>
        <v>-8102281.090000033</v>
      </c>
      <c r="G1624" s="190">
        <f>'2011'!I624</f>
        <v>-12726567.100000042</v>
      </c>
    </row>
    <row r="1625" spans="1:7" ht="12.75" customHeight="1">
      <c r="A1625" s="190" t="str">
        <f>'2011'!C625</f>
        <v>Kontrolle</v>
      </c>
      <c r="B1625" s="190">
        <f>'2011'!D625</f>
        <v>5.9371814131736755E-09</v>
      </c>
      <c r="C1625" s="190">
        <f>'2011'!E625</f>
        <v>-9.778887033462524E-09</v>
      </c>
      <c r="D1625" s="190">
        <f>'2011'!F625</f>
        <v>-5.3551048040390015E-09</v>
      </c>
      <c r="E1625" s="190">
        <f>'2011'!G625</f>
        <v>-9.313225746154785E-09</v>
      </c>
      <c r="F1625" s="190">
        <f>'2011'!H625</f>
        <v>-13.090000033378601</v>
      </c>
      <c r="G1625" s="190">
        <f>'2011'!I625</f>
        <v>-13.090000042691827</v>
      </c>
    </row>
    <row r="1626" spans="1:7" ht="12.75" customHeight="1">
      <c r="A1626" s="190">
        <f>'2011'!C626</f>
        <v>0</v>
      </c>
      <c r="B1626" s="190">
        <f>'2011'!D626</f>
        <v>0</v>
      </c>
      <c r="C1626" s="190">
        <f>'2011'!E626</f>
        <v>0</v>
      </c>
      <c r="D1626" s="190">
        <f>'2011'!F626</f>
        <v>0</v>
      </c>
      <c r="E1626" s="190">
        <f>'2011'!G626</f>
        <v>0</v>
      </c>
      <c r="F1626" s="190">
        <f>'2011'!H626</f>
        <v>0</v>
      </c>
      <c r="G1626" s="190">
        <f>'2011'!I626</f>
        <v>0</v>
      </c>
    </row>
    <row r="1627" spans="1:7" ht="12.75" customHeight="1">
      <c r="A1627" s="190">
        <f>'2011'!C627</f>
        <v>0</v>
      </c>
      <c r="B1627" s="190">
        <f>'2011'!D627</f>
        <v>0</v>
      </c>
      <c r="C1627" s="190">
        <f>'2011'!E627</f>
        <v>0</v>
      </c>
      <c r="D1627" s="190">
        <f>'2011'!F627</f>
        <v>0</v>
      </c>
      <c r="E1627" s="190">
        <f>'2011'!G627</f>
        <v>0</v>
      </c>
      <c r="F1627" s="190">
        <f>'2011'!H627</f>
        <v>0</v>
      </c>
      <c r="G1627" s="190">
        <f>'2011'!I627</f>
        <v>0</v>
      </c>
    </row>
    <row r="1628" spans="1:7" ht="12.75" customHeight="1">
      <c r="A1628" s="190" t="str">
        <f>'2011'!C628</f>
        <v>ALLGEMEINDE VERWALTUNG</v>
      </c>
      <c r="B1628" s="190">
        <f>'2011'!D628</f>
        <v>87892.8</v>
      </c>
      <c r="C1628" s="190">
        <f>'2011'!E628</f>
        <v>295703.1</v>
      </c>
      <c r="D1628" s="190">
        <f>'2011'!F628</f>
        <v>0</v>
      </c>
      <c r="E1628" s="190">
        <f>'2011'!G628</f>
        <v>383595.89999999997</v>
      </c>
      <c r="F1628" s="190">
        <f>'2011'!H628</f>
        <v>1826336</v>
      </c>
      <c r="G1628" s="190">
        <f>'2011'!I628</f>
        <v>2209931.9</v>
      </c>
    </row>
    <row r="1629" spans="1:7" ht="12.75" customHeight="1">
      <c r="A1629" s="190" t="str">
        <f>'2011'!C629</f>
        <v>Legislative und Exekutive</v>
      </c>
      <c r="B1629" s="190">
        <f>'2011'!D629</f>
        <v>0</v>
      </c>
      <c r="C1629" s="190">
        <f>'2011'!E629</f>
        <v>0</v>
      </c>
      <c r="D1629" s="190">
        <f>'2011'!F629</f>
        <v>0</v>
      </c>
      <c r="E1629" s="190">
        <f>'2011'!G629</f>
        <v>0</v>
      </c>
      <c r="F1629" s="190">
        <f>'2011'!H629</f>
        <v>0</v>
      </c>
      <c r="G1629" s="190">
        <f>'2011'!I629</f>
        <v>0</v>
      </c>
    </row>
    <row r="1630" spans="1:7" ht="12.75" customHeight="1">
      <c r="A1630" s="190" t="str">
        <f>'2011'!C630</f>
        <v>Legislative </v>
      </c>
      <c r="B1630" s="190">
        <f>'2011'!D630</f>
        <v>0</v>
      </c>
      <c r="C1630" s="190">
        <f>'2011'!E630</f>
        <v>0</v>
      </c>
      <c r="D1630" s="190">
        <f>'2011'!F630</f>
        <v>0</v>
      </c>
      <c r="E1630" s="190">
        <f>'2011'!G630</f>
        <v>0</v>
      </c>
      <c r="F1630" s="190">
        <f>'2011'!H630</f>
        <v>0</v>
      </c>
      <c r="G1630" s="190">
        <f>'2011'!I630</f>
        <v>0</v>
      </c>
    </row>
    <row r="1631" spans="1:7" ht="12.75" customHeight="1">
      <c r="A1631" s="190" t="str">
        <f>'2011'!C631</f>
        <v>Exekutive</v>
      </c>
      <c r="B1631" s="190">
        <f>'2011'!D631</f>
        <v>0</v>
      </c>
      <c r="C1631" s="190">
        <f>'2011'!E631</f>
        <v>0</v>
      </c>
      <c r="D1631" s="190">
        <f>'2011'!F631</f>
        <v>0</v>
      </c>
      <c r="E1631" s="190">
        <f>'2011'!G631</f>
        <v>0</v>
      </c>
      <c r="F1631" s="190">
        <f>'2011'!H631</f>
        <v>0</v>
      </c>
      <c r="G1631" s="190">
        <f>'2011'!I631</f>
        <v>0</v>
      </c>
    </row>
    <row r="1632" spans="1:7" ht="12.75" customHeight="1">
      <c r="A1632" s="190" t="str">
        <f>'2011'!C632</f>
        <v>Allgemeine Dienste</v>
      </c>
      <c r="B1632" s="190">
        <f>'2011'!D632</f>
        <v>87892.8</v>
      </c>
      <c r="C1632" s="190">
        <f>'2011'!E632</f>
        <v>295703.1</v>
      </c>
      <c r="D1632" s="190">
        <f>'2011'!F632</f>
        <v>0</v>
      </c>
      <c r="E1632" s="190">
        <f>'2011'!G632</f>
        <v>383595.89999999997</v>
      </c>
      <c r="F1632" s="190">
        <f>'2011'!H632</f>
        <v>1826336</v>
      </c>
      <c r="G1632" s="190">
        <f>'2011'!I632</f>
        <v>2209931.9</v>
      </c>
    </row>
    <row r="1633" spans="1:7" ht="12.75" customHeight="1">
      <c r="A1633" s="190" t="str">
        <f>'2011'!C633</f>
        <v>Finanz- und Steuerverwaltung</v>
      </c>
      <c r="B1633" s="190">
        <f>'2011'!D633</f>
        <v>0</v>
      </c>
      <c r="C1633" s="190">
        <f>'2011'!E633</f>
        <v>0</v>
      </c>
      <c r="D1633" s="190">
        <f>'2011'!F633</f>
        <v>0</v>
      </c>
      <c r="E1633" s="190">
        <f>'2011'!G633</f>
        <v>0</v>
      </c>
      <c r="F1633" s="190">
        <f>'2011'!H633</f>
        <v>322201</v>
      </c>
      <c r="G1633" s="190">
        <f>'2011'!I633</f>
        <v>322201</v>
      </c>
    </row>
    <row r="1634" spans="1:7" ht="12.75" customHeight="1">
      <c r="A1634" s="190" t="str">
        <f>'2011'!C634</f>
        <v>Allgemeine Dienste, übrige</v>
      </c>
      <c r="B1634" s="190">
        <f>'2011'!D634</f>
        <v>87892.8</v>
      </c>
      <c r="C1634" s="190">
        <f>'2011'!E634</f>
        <v>0</v>
      </c>
      <c r="D1634" s="190">
        <f>'2011'!F634</f>
        <v>0</v>
      </c>
      <c r="E1634" s="190">
        <f>'2011'!G634</f>
        <v>87892.8</v>
      </c>
      <c r="F1634" s="190">
        <f>'2011'!H634</f>
        <v>776535</v>
      </c>
      <c r="G1634" s="190">
        <f>'2011'!I634</f>
        <v>864427.8</v>
      </c>
    </row>
    <row r="1635" spans="1:7" ht="12.75" customHeight="1">
      <c r="A1635" s="190" t="str">
        <f>'2011'!C635</f>
        <v>Meteorologie und Landestopographie</v>
      </c>
      <c r="B1635" s="190">
        <f>'2011'!D635</f>
        <v>0</v>
      </c>
      <c r="C1635" s="190">
        <f>'2011'!E635</f>
        <v>0</v>
      </c>
      <c r="D1635" s="190">
        <f>'2011'!F635</f>
        <v>0</v>
      </c>
      <c r="E1635" s="190">
        <f>'2011'!G635</f>
        <v>0</v>
      </c>
      <c r="F1635" s="190">
        <f>'2011'!H635</f>
        <v>0</v>
      </c>
      <c r="G1635" s="190">
        <f>'2011'!I635</f>
        <v>0</v>
      </c>
    </row>
    <row r="1636" spans="1:7" ht="12.75" customHeight="1">
      <c r="A1636" s="190" t="str">
        <f>'2011'!C636</f>
        <v>Verwaltungsliegenschaften n.a.g</v>
      </c>
      <c r="B1636" s="190">
        <f>'2011'!D636</f>
        <v>0</v>
      </c>
      <c r="C1636" s="190">
        <f>'2011'!E636</f>
        <v>295703.1</v>
      </c>
      <c r="D1636" s="190">
        <f>'2011'!F636</f>
        <v>0</v>
      </c>
      <c r="E1636" s="190">
        <f>'2011'!G636</f>
        <v>295703.1</v>
      </c>
      <c r="F1636" s="190">
        <f>'2011'!H636</f>
        <v>727600</v>
      </c>
      <c r="G1636" s="190">
        <f>'2011'!I636</f>
        <v>1023303.1</v>
      </c>
    </row>
    <row r="1637" spans="1:7" ht="12.75" customHeight="1">
      <c r="A1637" s="190" t="str">
        <f>'2011'!C637</f>
        <v>Beziehungen zum Ausland</v>
      </c>
      <c r="B1637" s="190">
        <f>'2011'!D637</f>
        <v>0</v>
      </c>
      <c r="C1637" s="190">
        <f>'2011'!E637</f>
        <v>0</v>
      </c>
      <c r="D1637" s="190">
        <f>'2011'!F637</f>
        <v>0</v>
      </c>
      <c r="E1637" s="190">
        <f>'2011'!G637</f>
        <v>0</v>
      </c>
      <c r="F1637" s="190">
        <f>'2011'!H637</f>
        <v>0</v>
      </c>
      <c r="G1637" s="190">
        <f>'2011'!I637</f>
        <v>0</v>
      </c>
    </row>
    <row r="1638" spans="1:7" ht="12.75" customHeight="1">
      <c r="A1638" s="190" t="str">
        <f>'2011'!C638</f>
        <v>Politische Beziehungen</v>
      </c>
      <c r="B1638" s="190">
        <f>'2011'!D638</f>
        <v>0</v>
      </c>
      <c r="C1638" s="190">
        <f>'2011'!E638</f>
        <v>0</v>
      </c>
      <c r="D1638" s="190">
        <f>'2011'!F638</f>
        <v>0</v>
      </c>
      <c r="E1638" s="190">
        <f>'2011'!G638</f>
        <v>0</v>
      </c>
      <c r="F1638" s="190">
        <f>'2011'!H638</f>
        <v>0</v>
      </c>
      <c r="G1638" s="190">
        <f>'2011'!I638</f>
        <v>0</v>
      </c>
    </row>
    <row r="1639" spans="1:7" ht="12.75" customHeight="1">
      <c r="A1639" s="190" t="str">
        <f>'2011'!C639</f>
        <v>Zivile Konfliktbearbeitung</v>
      </c>
      <c r="B1639" s="190">
        <f>'2011'!D639</f>
        <v>0</v>
      </c>
      <c r="C1639" s="190">
        <f>'2011'!E639</f>
        <v>0</v>
      </c>
      <c r="D1639" s="190">
        <f>'2011'!F639</f>
        <v>0</v>
      </c>
      <c r="E1639" s="190">
        <f>'2011'!G639</f>
        <v>0</v>
      </c>
      <c r="F1639" s="190">
        <f>'2011'!H639</f>
        <v>0</v>
      </c>
      <c r="G1639" s="190">
        <f>'2011'!I639</f>
        <v>0</v>
      </c>
    </row>
    <row r="1640" spans="1:7" ht="12.75" customHeight="1">
      <c r="A1640" s="190" t="str">
        <f>'2011'!C640</f>
        <v>Wirtschaftliche Beziehungen</v>
      </c>
      <c r="B1640" s="190">
        <f>'2011'!D640</f>
        <v>0</v>
      </c>
      <c r="C1640" s="190">
        <f>'2011'!E640</f>
        <v>0</v>
      </c>
      <c r="D1640" s="190">
        <f>'2011'!F640</f>
        <v>0</v>
      </c>
      <c r="E1640" s="190">
        <f>'2011'!G640</f>
        <v>0</v>
      </c>
      <c r="F1640" s="190">
        <f>'2011'!H640</f>
        <v>0</v>
      </c>
      <c r="G1640" s="190">
        <f>'2011'!I640</f>
        <v>0</v>
      </c>
    </row>
    <row r="1641" spans="1:7" ht="12.75" customHeight="1">
      <c r="A1641" s="190" t="str">
        <f>'2011'!C641</f>
        <v>Entwicklungszusammenarbeit</v>
      </c>
      <c r="B1641" s="190">
        <f>'2011'!D641</f>
        <v>0</v>
      </c>
      <c r="C1641" s="190">
        <f>'2011'!E641</f>
        <v>0</v>
      </c>
      <c r="D1641" s="190">
        <f>'2011'!F641</f>
        <v>0</v>
      </c>
      <c r="E1641" s="190">
        <f>'2011'!G641</f>
        <v>0</v>
      </c>
      <c r="F1641" s="190">
        <f>'2011'!H641</f>
        <v>0</v>
      </c>
      <c r="G1641" s="190">
        <f>'2011'!I641</f>
        <v>0</v>
      </c>
    </row>
    <row r="1642" spans="1:7" ht="12.75" customHeight="1">
      <c r="A1642" s="190" t="str">
        <f>'2011'!C642</f>
        <v>Transitionsländer / Osthilfe</v>
      </c>
      <c r="B1642" s="190">
        <f>'2011'!D642</f>
        <v>0</v>
      </c>
      <c r="C1642" s="190">
        <f>'2011'!E642</f>
        <v>0</v>
      </c>
      <c r="D1642" s="190">
        <f>'2011'!F642</f>
        <v>0</v>
      </c>
      <c r="E1642" s="190">
        <f>'2011'!G642</f>
        <v>0</v>
      </c>
      <c r="F1642" s="190">
        <f>'2011'!H642</f>
        <v>0</v>
      </c>
      <c r="G1642" s="190">
        <f>'2011'!I642</f>
        <v>0</v>
      </c>
    </row>
    <row r="1643" spans="1:7" ht="12.75" customHeight="1">
      <c r="A1643" s="190" t="str">
        <f>'2011'!C643</f>
        <v>F&amp;E in allgemeine Verwaltung</v>
      </c>
      <c r="B1643" s="190">
        <f>'2011'!D643</f>
        <v>0</v>
      </c>
      <c r="C1643" s="190">
        <f>'2011'!E643</f>
        <v>0</v>
      </c>
      <c r="D1643" s="190">
        <f>'2011'!F643</f>
        <v>0</v>
      </c>
      <c r="E1643" s="190">
        <f>'2011'!G643</f>
        <v>0</v>
      </c>
      <c r="F1643" s="190">
        <f>'2011'!H643</f>
        <v>0</v>
      </c>
      <c r="G1643" s="190">
        <f>'2011'!I643</f>
        <v>0</v>
      </c>
    </row>
    <row r="1644" spans="1:7" ht="12.75" customHeight="1">
      <c r="A1644" s="190" t="str">
        <f>'2011'!C644</f>
        <v>F&amp;E in allgemeine Verwaltung</v>
      </c>
      <c r="B1644" s="190">
        <f>'2011'!D644</f>
        <v>0</v>
      </c>
      <c r="C1644" s="190">
        <f>'2011'!E644</f>
        <v>0</v>
      </c>
      <c r="D1644" s="190">
        <f>'2011'!F644</f>
        <v>0</v>
      </c>
      <c r="E1644" s="190">
        <f>'2011'!G644</f>
        <v>0</v>
      </c>
      <c r="F1644" s="190">
        <f>'2011'!H644</f>
        <v>0</v>
      </c>
      <c r="G1644" s="190">
        <f>'2011'!I644</f>
        <v>0</v>
      </c>
    </row>
    <row r="1645" spans="1:7" ht="12.75" customHeight="1">
      <c r="A1645" s="190" t="str">
        <f>'2011'!C645</f>
        <v>ÖFFENTL.ORDNUNG, SICHERHEIT, VERTEIDIGUNG</v>
      </c>
      <c r="B1645" s="190">
        <f>'2011'!D645</f>
        <v>25416.899999999994</v>
      </c>
      <c r="C1645" s="190">
        <f>'2011'!E645</f>
        <v>0</v>
      </c>
      <c r="D1645" s="190">
        <f>'2011'!F645</f>
        <v>352032.35</v>
      </c>
      <c r="E1645" s="190">
        <f>'2011'!G645</f>
        <v>377449.25</v>
      </c>
      <c r="F1645" s="190">
        <f>'2011'!H645</f>
        <v>752621</v>
      </c>
      <c r="G1645" s="190">
        <f>'2011'!I645</f>
        <v>1130070.25</v>
      </c>
    </row>
    <row r="1646" spans="1:7" ht="12.75" customHeight="1">
      <c r="A1646" s="190" t="str">
        <f>'2011'!C646</f>
        <v>Öffentliche Sicherheit</v>
      </c>
      <c r="B1646" s="190">
        <f>'2011'!D646</f>
        <v>0</v>
      </c>
      <c r="C1646" s="190">
        <f>'2011'!E646</f>
        <v>0</v>
      </c>
      <c r="D1646" s="190">
        <f>'2011'!F646</f>
        <v>0</v>
      </c>
      <c r="E1646" s="190">
        <f>'2011'!G646</f>
        <v>0</v>
      </c>
      <c r="F1646" s="190">
        <f>'2011'!H646</f>
        <v>0</v>
      </c>
      <c r="G1646" s="190">
        <f>'2011'!I646</f>
        <v>0</v>
      </c>
    </row>
    <row r="1647" spans="1:7" ht="12.75" customHeight="1">
      <c r="A1647" s="190" t="str">
        <f>'2011'!C647</f>
        <v>Polizei</v>
      </c>
      <c r="B1647" s="190">
        <f>'2011'!D647</f>
        <v>0</v>
      </c>
      <c r="C1647" s="190">
        <f>'2011'!E647</f>
        <v>0</v>
      </c>
      <c r="D1647" s="190">
        <f>'2011'!F647</f>
        <v>0</v>
      </c>
      <c r="E1647" s="190">
        <f>'2011'!G647</f>
        <v>0</v>
      </c>
      <c r="F1647" s="190">
        <f>'2011'!H647</f>
        <v>0</v>
      </c>
      <c r="G1647" s="190">
        <f>'2011'!I647</f>
        <v>0</v>
      </c>
    </row>
    <row r="1648" spans="1:7" ht="12.75" customHeight="1">
      <c r="A1648" s="190" t="str">
        <f>'2011'!C648</f>
        <v>Verkehrssicherheit</v>
      </c>
      <c r="B1648" s="190">
        <f>'2011'!D648</f>
        <v>0</v>
      </c>
      <c r="C1648" s="190">
        <f>'2011'!E648</f>
        <v>0</v>
      </c>
      <c r="D1648" s="190">
        <f>'2011'!F648</f>
        <v>0</v>
      </c>
      <c r="E1648" s="190">
        <f>'2011'!G648</f>
        <v>0</v>
      </c>
      <c r="F1648" s="190">
        <f>'2011'!H648</f>
        <v>0</v>
      </c>
      <c r="G1648" s="190">
        <f>'2011'!I648</f>
        <v>0</v>
      </c>
    </row>
    <row r="1649" spans="1:7" ht="12.75" customHeight="1">
      <c r="A1649" s="190" t="str">
        <f>'2011'!C649</f>
        <v>Strassenverkehrsamt</v>
      </c>
      <c r="B1649" s="190">
        <f>'2011'!D649</f>
        <v>0</v>
      </c>
      <c r="C1649" s="190">
        <f>'2011'!E649</f>
        <v>0</v>
      </c>
      <c r="D1649" s="190">
        <f>'2011'!F649</f>
        <v>0</v>
      </c>
      <c r="E1649" s="190">
        <f>'2011'!G649</f>
        <v>0</v>
      </c>
      <c r="F1649" s="190">
        <f>'2011'!H649</f>
        <v>0</v>
      </c>
      <c r="G1649" s="190">
        <f>'2011'!I649</f>
        <v>0</v>
      </c>
    </row>
    <row r="1650" spans="1:7" ht="12.75" customHeight="1">
      <c r="A1650" s="190" t="str">
        <f>'2011'!C650</f>
        <v>Rechtssprechung</v>
      </c>
      <c r="B1650" s="190">
        <f>'2011'!D650</f>
        <v>0</v>
      </c>
      <c r="C1650" s="190">
        <f>'2011'!E650</f>
        <v>0</v>
      </c>
      <c r="D1650" s="190">
        <f>'2011'!F650</f>
        <v>0</v>
      </c>
      <c r="E1650" s="190">
        <f>'2011'!G650</f>
        <v>0</v>
      </c>
      <c r="F1650" s="190">
        <f>'2011'!H650</f>
        <v>500416</v>
      </c>
      <c r="G1650" s="190">
        <f>'2011'!I650</f>
        <v>500416</v>
      </c>
    </row>
    <row r="1651" spans="1:7" ht="12.75" customHeight="1">
      <c r="A1651" s="190" t="str">
        <f>'2011'!C651</f>
        <v>Rechtssprechung</v>
      </c>
      <c r="B1651" s="190">
        <f>'2011'!D651</f>
        <v>0</v>
      </c>
      <c r="C1651" s="190">
        <f>'2011'!E651</f>
        <v>0</v>
      </c>
      <c r="D1651" s="190">
        <f>'2011'!F651</f>
        <v>0</v>
      </c>
      <c r="E1651" s="190">
        <f>'2011'!G651</f>
        <v>0</v>
      </c>
      <c r="F1651" s="190">
        <f>'2011'!H651</f>
        <v>500416</v>
      </c>
      <c r="G1651" s="190">
        <f>'2011'!I651</f>
        <v>500416</v>
      </c>
    </row>
    <row r="1652" spans="1:7" ht="12.75" customHeight="1">
      <c r="A1652" s="190" t="str">
        <f>'2011'!C652</f>
        <v>Strafvollzug</v>
      </c>
      <c r="B1652" s="190">
        <f>'2011'!D652</f>
        <v>0</v>
      </c>
      <c r="C1652" s="190">
        <f>'2011'!E652</f>
        <v>0</v>
      </c>
      <c r="D1652" s="190">
        <f>'2011'!F652</f>
        <v>0</v>
      </c>
      <c r="E1652" s="190">
        <f>'2011'!G652</f>
        <v>0</v>
      </c>
      <c r="F1652" s="190">
        <f>'2011'!H652</f>
        <v>0</v>
      </c>
      <c r="G1652" s="190">
        <f>'2011'!I652</f>
        <v>0</v>
      </c>
    </row>
    <row r="1653" spans="1:7" ht="12.75" customHeight="1">
      <c r="A1653" s="190" t="str">
        <f>'2011'!C653</f>
        <v>Strafvollzug</v>
      </c>
      <c r="B1653" s="190">
        <f>'2011'!D653</f>
        <v>0</v>
      </c>
      <c r="C1653" s="190">
        <f>'2011'!E653</f>
        <v>0</v>
      </c>
      <c r="D1653" s="190">
        <f>'2011'!F653</f>
        <v>0</v>
      </c>
      <c r="E1653" s="190">
        <f>'2011'!G653</f>
        <v>0</v>
      </c>
      <c r="F1653" s="190">
        <f>'2011'!H653</f>
        <v>0</v>
      </c>
      <c r="G1653" s="190">
        <f>'2011'!I653</f>
        <v>0</v>
      </c>
    </row>
    <row r="1654" spans="1:7" ht="12.75" customHeight="1">
      <c r="A1654" s="190" t="str">
        <f>'2011'!C654</f>
        <v>Allgemeines Rechtswesen</v>
      </c>
      <c r="B1654" s="190">
        <f>'2011'!D654</f>
        <v>0</v>
      </c>
      <c r="C1654" s="190">
        <f>'2011'!E654</f>
        <v>0</v>
      </c>
      <c r="D1654" s="190">
        <f>'2011'!F654</f>
        <v>0</v>
      </c>
      <c r="E1654" s="190">
        <f>'2011'!G654</f>
        <v>0</v>
      </c>
      <c r="F1654" s="190">
        <f>'2011'!H654</f>
        <v>252205</v>
      </c>
      <c r="G1654" s="190">
        <f>'2011'!I654</f>
        <v>252205</v>
      </c>
    </row>
    <row r="1655" spans="1:7" ht="12.75" customHeight="1">
      <c r="A1655" s="190" t="str">
        <f>'2011'!C655</f>
        <v>Allgemeines Rechtswesen</v>
      </c>
      <c r="B1655" s="190">
        <f>'2011'!D655</f>
        <v>0</v>
      </c>
      <c r="C1655" s="190">
        <f>'2011'!E655</f>
        <v>0</v>
      </c>
      <c r="D1655" s="190">
        <f>'2011'!F655</f>
        <v>0</v>
      </c>
      <c r="E1655" s="190">
        <f>'2011'!G655</f>
        <v>0</v>
      </c>
      <c r="F1655" s="190">
        <f>'2011'!H655</f>
        <v>252205</v>
      </c>
      <c r="G1655" s="190">
        <f>'2011'!I655</f>
        <v>252205</v>
      </c>
    </row>
    <row r="1656" spans="1:7" ht="12.75" customHeight="1">
      <c r="A1656" s="190" t="str">
        <f>'2011'!C656</f>
        <v>Regionales Zivilstandsamt</v>
      </c>
      <c r="B1656" s="190">
        <f>'2011'!D656</f>
        <v>0</v>
      </c>
      <c r="C1656" s="190">
        <f>'2011'!E656</f>
        <v>0</v>
      </c>
      <c r="D1656" s="190">
        <f>'2011'!F656</f>
        <v>0</v>
      </c>
      <c r="E1656" s="190">
        <f>'2011'!G656</f>
        <v>0</v>
      </c>
      <c r="F1656" s="190">
        <f>'2011'!H656</f>
        <v>0</v>
      </c>
      <c r="G1656" s="190">
        <f>'2011'!I656</f>
        <v>0</v>
      </c>
    </row>
    <row r="1657" spans="1:7" ht="12.75" customHeight="1">
      <c r="A1657" s="190" t="str">
        <f>'2011'!C657</f>
        <v>Regionales Gemeindeammann- und Betreibungsamt</v>
      </c>
      <c r="B1657" s="190">
        <f>'2011'!D657</f>
        <v>0</v>
      </c>
      <c r="C1657" s="190">
        <f>'2011'!E657</f>
        <v>0</v>
      </c>
      <c r="D1657" s="190">
        <f>'2011'!F657</f>
        <v>0</v>
      </c>
      <c r="E1657" s="190">
        <f>'2011'!G657</f>
        <v>0</v>
      </c>
      <c r="F1657" s="190">
        <f>'2011'!H657</f>
        <v>0</v>
      </c>
      <c r="G1657" s="190">
        <f>'2011'!I657</f>
        <v>0</v>
      </c>
    </row>
    <row r="1658" spans="1:7" ht="12.75" customHeight="1">
      <c r="A1658" s="190" t="str">
        <f>'2011'!C658</f>
        <v>Feuerwehr</v>
      </c>
      <c r="B1658" s="190">
        <f>'2011'!D658</f>
        <v>25416.899999999994</v>
      </c>
      <c r="C1658" s="190">
        <f>'2011'!E658</f>
        <v>0</v>
      </c>
      <c r="D1658" s="190">
        <f>'2011'!F658</f>
        <v>352032.35</v>
      </c>
      <c r="E1658" s="190">
        <f>'2011'!G658</f>
        <v>377449.25</v>
      </c>
      <c r="F1658" s="190">
        <f>'2011'!H658</f>
        <v>0</v>
      </c>
      <c r="G1658" s="190">
        <f>'2011'!I658</f>
        <v>377449.25</v>
      </c>
    </row>
    <row r="1659" spans="1:7" ht="12.75" customHeight="1">
      <c r="A1659" s="190" t="str">
        <f>'2011'!C659</f>
        <v>Feuerwehr</v>
      </c>
      <c r="B1659" s="190">
        <f>'2011'!D659</f>
        <v>25416.899999999994</v>
      </c>
      <c r="C1659" s="190">
        <f>'2011'!E659</f>
        <v>0</v>
      </c>
      <c r="D1659" s="190">
        <f>'2011'!F659</f>
        <v>352032.35</v>
      </c>
      <c r="E1659" s="190">
        <f>'2011'!G659</f>
        <v>377449.25</v>
      </c>
      <c r="F1659" s="190">
        <f>'2011'!H659</f>
        <v>0</v>
      </c>
      <c r="G1659" s="190">
        <f>'2011'!I659</f>
        <v>377449.25</v>
      </c>
    </row>
    <row r="1660" spans="1:7" ht="12.75" customHeight="1">
      <c r="A1660" s="190" t="str">
        <f>'2011'!C660</f>
        <v>Löschwasserversorgung</v>
      </c>
      <c r="B1660" s="190">
        <f>'2011'!D660</f>
        <v>0</v>
      </c>
      <c r="C1660" s="190">
        <f>'2011'!E660</f>
        <v>0</v>
      </c>
      <c r="D1660" s="190">
        <f>'2011'!F660</f>
        <v>0</v>
      </c>
      <c r="E1660" s="190">
        <f>'2011'!G660</f>
        <v>0</v>
      </c>
      <c r="F1660" s="190">
        <f>'2011'!H660</f>
        <v>0</v>
      </c>
      <c r="G1660" s="190">
        <f>'2011'!I660</f>
        <v>0</v>
      </c>
    </row>
    <row r="1661" spans="1:7" ht="12.75" customHeight="1">
      <c r="A1661" s="190" t="str">
        <f>'2011'!C661</f>
        <v>Regionale Feuerwehrorganisation</v>
      </c>
      <c r="B1661" s="190">
        <f>'2011'!D661</f>
        <v>0</v>
      </c>
      <c r="C1661" s="190">
        <f>'2011'!E661</f>
        <v>0</v>
      </c>
      <c r="D1661" s="190">
        <f>'2011'!F661</f>
        <v>0</v>
      </c>
      <c r="E1661" s="190">
        <f>'2011'!G661</f>
        <v>0</v>
      </c>
      <c r="F1661" s="190">
        <f>'2011'!H661</f>
        <v>0</v>
      </c>
      <c r="G1661" s="190">
        <f>'2011'!I661</f>
        <v>0</v>
      </c>
    </row>
    <row r="1662" spans="1:7" ht="12.75" customHeight="1">
      <c r="A1662" s="190" t="str">
        <f>'2011'!C662</f>
        <v>Militärische Verteidigung</v>
      </c>
      <c r="B1662" s="190">
        <f>'2011'!D662</f>
        <v>0</v>
      </c>
      <c r="C1662" s="190">
        <f>'2011'!E662</f>
        <v>0</v>
      </c>
      <c r="D1662" s="190">
        <f>'2011'!F662</f>
        <v>0</v>
      </c>
      <c r="E1662" s="190">
        <f>'2011'!G662</f>
        <v>0</v>
      </c>
      <c r="F1662" s="190">
        <f>'2011'!H662</f>
        <v>0</v>
      </c>
      <c r="G1662" s="190">
        <f>'2011'!I662</f>
        <v>0</v>
      </c>
    </row>
    <row r="1663" spans="1:7" ht="12.75" customHeight="1">
      <c r="A1663" s="190" t="str">
        <f>'2011'!C663</f>
        <v>Militärische Verteidigung</v>
      </c>
      <c r="B1663" s="190">
        <f>'2011'!D663</f>
        <v>0</v>
      </c>
      <c r="C1663" s="190">
        <f>'2011'!E663</f>
        <v>0</v>
      </c>
      <c r="D1663" s="190">
        <f>'2011'!F663</f>
        <v>0</v>
      </c>
      <c r="E1663" s="190">
        <f>'2011'!G663</f>
        <v>0</v>
      </c>
      <c r="F1663" s="190">
        <f>'2011'!H663</f>
        <v>0</v>
      </c>
      <c r="G1663" s="190">
        <f>'2011'!I663</f>
        <v>0</v>
      </c>
    </row>
    <row r="1664" spans="1:7" ht="12.75" customHeight="1">
      <c r="A1664" s="190" t="str">
        <f>'2011'!C664</f>
        <v>Zivilschutz (allgemein)</v>
      </c>
      <c r="B1664" s="190">
        <f>'2011'!D664</f>
        <v>0</v>
      </c>
      <c r="C1664" s="190">
        <f>'2011'!E664</f>
        <v>0</v>
      </c>
      <c r="D1664" s="190">
        <f>'2011'!F664</f>
        <v>0</v>
      </c>
      <c r="E1664" s="190">
        <f>'2011'!G664</f>
        <v>0</v>
      </c>
      <c r="F1664" s="190">
        <f>'2011'!H664</f>
        <v>0</v>
      </c>
      <c r="G1664" s="190">
        <f>'2011'!I664</f>
        <v>0</v>
      </c>
    </row>
    <row r="1665" spans="1:7" ht="12.75" customHeight="1">
      <c r="A1665" s="190" t="str">
        <f>'2011'!C665</f>
        <v>Ziviler Führungsstab</v>
      </c>
      <c r="B1665" s="190">
        <f>'2011'!D665</f>
        <v>0</v>
      </c>
      <c r="C1665" s="190">
        <f>'2011'!E665</f>
        <v>0</v>
      </c>
      <c r="D1665" s="190">
        <f>'2011'!F665</f>
        <v>0</v>
      </c>
      <c r="E1665" s="190">
        <f>'2011'!G665</f>
        <v>0</v>
      </c>
      <c r="F1665" s="190">
        <f>'2011'!H665</f>
        <v>0</v>
      </c>
      <c r="G1665" s="190">
        <f>'2011'!I665</f>
        <v>0</v>
      </c>
    </row>
    <row r="1666" spans="1:7" ht="12.75" customHeight="1">
      <c r="A1666" s="190" t="str">
        <f>'2011'!C666</f>
        <v>Regionale Zivilschutzorganisation</v>
      </c>
      <c r="B1666" s="190">
        <f>'2011'!D666</f>
        <v>0</v>
      </c>
      <c r="C1666" s="190">
        <f>'2011'!E666</f>
        <v>0</v>
      </c>
      <c r="D1666" s="190">
        <f>'2011'!F666</f>
        <v>0</v>
      </c>
      <c r="E1666" s="190">
        <f>'2011'!G666</f>
        <v>0</v>
      </c>
      <c r="F1666" s="190">
        <f>'2011'!H666</f>
        <v>0</v>
      </c>
      <c r="G1666" s="190">
        <f>'2011'!I666</f>
        <v>0</v>
      </c>
    </row>
    <row r="1667" spans="1:7" ht="12.75" customHeight="1">
      <c r="A1667" s="190" t="str">
        <f>'2011'!C667</f>
        <v>Militärische Hilfe im Ausland, Friedensförderung</v>
      </c>
      <c r="B1667" s="190">
        <f>'2011'!D667</f>
        <v>0</v>
      </c>
      <c r="C1667" s="190">
        <f>'2011'!E667</f>
        <v>0</v>
      </c>
      <c r="D1667" s="190">
        <f>'2011'!F667</f>
        <v>0</v>
      </c>
      <c r="E1667" s="190">
        <f>'2011'!G667</f>
        <v>0</v>
      </c>
      <c r="F1667" s="190">
        <f>'2011'!H667</f>
        <v>0</v>
      </c>
      <c r="G1667" s="190">
        <f>'2011'!I667</f>
        <v>0</v>
      </c>
    </row>
    <row r="1668" spans="1:7" ht="12.75" customHeight="1">
      <c r="A1668" s="190" t="str">
        <f>'2011'!C668</f>
        <v>F&amp;E in öff.Ordnung, Sicherheit, Verteidigung</v>
      </c>
      <c r="B1668" s="190">
        <f>'2011'!D668</f>
        <v>0</v>
      </c>
      <c r="C1668" s="190">
        <f>'2011'!E668</f>
        <v>0</v>
      </c>
      <c r="D1668" s="190">
        <f>'2011'!F668</f>
        <v>0</v>
      </c>
      <c r="E1668" s="190">
        <f>'2011'!G668</f>
        <v>0</v>
      </c>
      <c r="F1668" s="190">
        <f>'2011'!H668</f>
        <v>0</v>
      </c>
      <c r="G1668" s="190">
        <f>'2011'!I668</f>
        <v>0</v>
      </c>
    </row>
    <row r="1669" spans="1:7" ht="12.75" customHeight="1">
      <c r="A1669" s="190" t="str">
        <f>'2011'!C669</f>
        <v>F&amp;E in öff. Ordnung und Sicherheit</v>
      </c>
      <c r="B1669" s="190">
        <f>'2011'!D669</f>
        <v>0</v>
      </c>
      <c r="C1669" s="190">
        <f>'2011'!E669</f>
        <v>0</v>
      </c>
      <c r="D1669" s="190">
        <f>'2011'!F669</f>
        <v>0</v>
      </c>
      <c r="E1669" s="190">
        <f>'2011'!G669</f>
        <v>0</v>
      </c>
      <c r="F1669" s="190">
        <f>'2011'!H669</f>
        <v>0</v>
      </c>
      <c r="G1669" s="190">
        <f>'2011'!I669</f>
        <v>0</v>
      </c>
    </row>
    <row r="1670" spans="1:7" ht="12.75" customHeight="1">
      <c r="A1670" s="190" t="str">
        <f>'2011'!C670</f>
        <v>F&amp;E in Verteidigung</v>
      </c>
      <c r="B1670" s="190">
        <f>'2011'!D670</f>
        <v>0</v>
      </c>
      <c r="C1670" s="190">
        <f>'2011'!E670</f>
        <v>0</v>
      </c>
      <c r="D1670" s="190">
        <f>'2011'!F670</f>
        <v>0</v>
      </c>
      <c r="E1670" s="190">
        <f>'2011'!G670</f>
        <v>0</v>
      </c>
      <c r="F1670" s="190">
        <f>'2011'!H670</f>
        <v>0</v>
      </c>
      <c r="G1670" s="190">
        <f>'2011'!I670</f>
        <v>0</v>
      </c>
    </row>
    <row r="1671" spans="1:7" ht="12.75" customHeight="1">
      <c r="A1671" s="190" t="str">
        <f>'2011'!C671</f>
        <v>BILDUNG</v>
      </c>
      <c r="B1671" s="190">
        <f>'2011'!D671</f>
        <v>219715.75</v>
      </c>
      <c r="C1671" s="190">
        <f>'2011'!E671</f>
        <v>201618.9</v>
      </c>
      <c r="D1671" s="190">
        <f>'2011'!F671</f>
        <v>0</v>
      </c>
      <c r="E1671" s="190">
        <f>'2011'!G671</f>
        <v>421334.65</v>
      </c>
      <c r="F1671" s="190">
        <f>'2011'!H671</f>
        <v>1709314</v>
      </c>
      <c r="G1671" s="190">
        <f>'2011'!I671</f>
        <v>2130648.65</v>
      </c>
    </row>
    <row r="1672" spans="1:7" ht="12.75" customHeight="1">
      <c r="A1672" s="190" t="str">
        <f>'2011'!C672</f>
        <v>Obligatorische Schule</v>
      </c>
      <c r="B1672" s="190">
        <f>'2011'!D672</f>
        <v>219715.75</v>
      </c>
      <c r="C1672" s="190">
        <f>'2011'!E672</f>
        <v>201618.9</v>
      </c>
      <c r="D1672" s="190">
        <f>'2011'!F672</f>
        <v>0</v>
      </c>
      <c r="E1672" s="190">
        <f>'2011'!G672</f>
        <v>421334.65</v>
      </c>
      <c r="F1672" s="190">
        <f>'2011'!H672</f>
        <v>0</v>
      </c>
      <c r="G1672" s="190">
        <f>'2011'!I672</f>
        <v>421334.65</v>
      </c>
    </row>
    <row r="1673" spans="1:7" ht="12.75" customHeight="1">
      <c r="A1673" s="190" t="str">
        <f>'2011'!C673</f>
        <v>Kindergarten</v>
      </c>
      <c r="B1673" s="190">
        <f>'2011'!D673</f>
        <v>0</v>
      </c>
      <c r="C1673" s="190">
        <f>'2011'!E673</f>
        <v>0</v>
      </c>
      <c r="D1673" s="190">
        <f>'2011'!F673</f>
        <v>0</v>
      </c>
      <c r="E1673" s="190">
        <f>'2011'!G673</f>
        <v>0</v>
      </c>
      <c r="F1673" s="190">
        <f>'2011'!H673</f>
        <v>0</v>
      </c>
      <c r="G1673" s="190">
        <f>'2011'!I673</f>
        <v>0</v>
      </c>
    </row>
    <row r="1674" spans="1:7" ht="12.75" customHeight="1">
      <c r="A1674" s="190" t="str">
        <f>'2011'!C674</f>
        <v>Grundstufe / Eingangsstufe / Basisstufe</v>
      </c>
      <c r="B1674" s="190">
        <f>'2011'!D674</f>
        <v>0</v>
      </c>
      <c r="C1674" s="190">
        <f>'2011'!E674</f>
        <v>0</v>
      </c>
      <c r="D1674" s="190">
        <f>'2011'!F674</f>
        <v>0</v>
      </c>
      <c r="E1674" s="190">
        <f>'2011'!G674</f>
        <v>0</v>
      </c>
      <c r="F1674" s="190">
        <f>'2011'!H674</f>
        <v>0</v>
      </c>
      <c r="G1674" s="190">
        <f>'2011'!I674</f>
        <v>0</v>
      </c>
    </row>
    <row r="1675" spans="1:7" ht="12.75" customHeight="1">
      <c r="A1675" s="190" t="str">
        <f>'2011'!C675</f>
        <v>Primarstufe</v>
      </c>
      <c r="B1675" s="190">
        <f>'2011'!D675</f>
        <v>0</v>
      </c>
      <c r="C1675" s="190">
        <f>'2011'!E675</f>
        <v>0</v>
      </c>
      <c r="D1675" s="190">
        <f>'2011'!F675</f>
        <v>0</v>
      </c>
      <c r="E1675" s="190">
        <f>'2011'!G675</f>
        <v>0</v>
      </c>
      <c r="F1675" s="190">
        <f>'2011'!H675</f>
        <v>0</v>
      </c>
      <c r="G1675" s="190">
        <f>'2011'!I675</f>
        <v>0</v>
      </c>
    </row>
    <row r="1676" spans="1:7" ht="12.75" customHeight="1">
      <c r="A1676" s="190" t="str">
        <f>'2011'!C676</f>
        <v>Oberstufe</v>
      </c>
      <c r="B1676" s="190">
        <f>'2011'!D676</f>
        <v>0</v>
      </c>
      <c r="C1676" s="190">
        <f>'2011'!E676</f>
        <v>141698.5</v>
      </c>
      <c r="D1676" s="190">
        <f>'2011'!F676</f>
        <v>0</v>
      </c>
      <c r="E1676" s="190">
        <f>'2011'!G676</f>
        <v>141698.5</v>
      </c>
      <c r="F1676" s="190">
        <f>'2011'!H676</f>
        <v>0</v>
      </c>
      <c r="G1676" s="190">
        <f>'2011'!I676</f>
        <v>141698.5</v>
      </c>
    </row>
    <row r="1677" spans="1:7" ht="12.75" customHeight="1">
      <c r="A1677" s="190" t="str">
        <f>'2011'!C677</f>
        <v>Musikschulen</v>
      </c>
      <c r="B1677" s="190">
        <f>'2011'!D677</f>
        <v>0</v>
      </c>
      <c r="C1677" s="190">
        <f>'2011'!E677</f>
        <v>0</v>
      </c>
      <c r="D1677" s="190">
        <f>'2011'!F677</f>
        <v>0</v>
      </c>
      <c r="E1677" s="190">
        <f>'2011'!G677</f>
        <v>0</v>
      </c>
      <c r="F1677" s="190">
        <f>'2011'!H677</f>
        <v>0</v>
      </c>
      <c r="G1677" s="190">
        <f>'2011'!I677</f>
        <v>0</v>
      </c>
    </row>
    <row r="1678" spans="1:7" ht="12.75" customHeight="1">
      <c r="A1678" s="190" t="str">
        <f>'2011'!C678</f>
        <v>Schulliegenschaften</v>
      </c>
      <c r="B1678" s="190">
        <f>'2011'!D678</f>
        <v>219715.75</v>
      </c>
      <c r="C1678" s="190">
        <f>'2011'!E678</f>
        <v>59920.4</v>
      </c>
      <c r="D1678" s="190">
        <f>'2011'!F678</f>
        <v>0</v>
      </c>
      <c r="E1678" s="190">
        <f>'2011'!G678</f>
        <v>279636.15</v>
      </c>
      <c r="F1678" s="190">
        <f>'2011'!H678</f>
        <v>0</v>
      </c>
      <c r="G1678" s="190">
        <f>'2011'!I678</f>
        <v>279636.15</v>
      </c>
    </row>
    <row r="1679" spans="1:7" ht="12.75" customHeight="1">
      <c r="A1679" s="190" t="str">
        <f>'2011'!C679</f>
        <v>Tagesbetreuung</v>
      </c>
      <c r="B1679" s="190">
        <f>'2011'!D679</f>
        <v>0</v>
      </c>
      <c r="C1679" s="190">
        <f>'2011'!E679</f>
        <v>0</v>
      </c>
      <c r="D1679" s="190">
        <f>'2011'!F679</f>
        <v>0</v>
      </c>
      <c r="E1679" s="190">
        <f>'2011'!G679</f>
        <v>0</v>
      </c>
      <c r="F1679" s="190">
        <f>'2011'!H679</f>
        <v>0</v>
      </c>
      <c r="G1679" s="190">
        <f>'2011'!I679</f>
        <v>0</v>
      </c>
    </row>
    <row r="1680" spans="1:7" ht="12.75" customHeight="1">
      <c r="A1680" s="190" t="str">
        <f>'2011'!C680</f>
        <v>Schulleitung u. Schulverwaltung</v>
      </c>
      <c r="B1680" s="190">
        <f>'2011'!D680</f>
        <v>0</v>
      </c>
      <c r="C1680" s="190">
        <f>'2011'!E680</f>
        <v>0</v>
      </c>
      <c r="D1680" s="190">
        <f>'2011'!F680</f>
        <v>0</v>
      </c>
      <c r="E1680" s="190">
        <f>'2011'!G680</f>
        <v>0</v>
      </c>
      <c r="F1680" s="190">
        <f>'2011'!H680</f>
        <v>0</v>
      </c>
      <c r="G1680" s="190">
        <f>'2011'!I680</f>
        <v>0</v>
      </c>
    </row>
    <row r="1681" spans="1:7" ht="12.75" customHeight="1">
      <c r="A1681" s="190" t="str">
        <f>'2011'!C681</f>
        <v>Volksschule Sonstiges</v>
      </c>
      <c r="B1681" s="190">
        <f>'2011'!D681</f>
        <v>0</v>
      </c>
      <c r="C1681" s="190">
        <f>'2011'!E681</f>
        <v>0</v>
      </c>
      <c r="D1681" s="190">
        <f>'2011'!F681</f>
        <v>0</v>
      </c>
      <c r="E1681" s="190">
        <f>'2011'!G681</f>
        <v>0</v>
      </c>
      <c r="F1681" s="190">
        <f>'2011'!H681</f>
        <v>0</v>
      </c>
      <c r="G1681" s="190">
        <f>'2011'!I681</f>
        <v>0</v>
      </c>
    </row>
    <row r="1682" spans="1:7" ht="12.75" customHeight="1">
      <c r="A1682" s="190" t="str">
        <f>'2011'!C682</f>
        <v>Sonderschulen</v>
      </c>
      <c r="B1682" s="190">
        <f>'2011'!D682</f>
        <v>0</v>
      </c>
      <c r="C1682" s="190">
        <f>'2011'!E682</f>
        <v>0</v>
      </c>
      <c r="D1682" s="190">
        <f>'2011'!F682</f>
        <v>0</v>
      </c>
      <c r="E1682" s="190">
        <f>'2011'!G682</f>
        <v>0</v>
      </c>
      <c r="F1682" s="190">
        <f>'2011'!H682</f>
        <v>0</v>
      </c>
      <c r="G1682" s="190">
        <f>'2011'!I682</f>
        <v>0</v>
      </c>
    </row>
    <row r="1683" spans="1:7" ht="12.75" customHeight="1">
      <c r="A1683" s="190" t="str">
        <f>'2011'!C683</f>
        <v>Sonderschulen</v>
      </c>
      <c r="B1683" s="190">
        <f>'2011'!D683</f>
        <v>0</v>
      </c>
      <c r="C1683" s="190">
        <f>'2011'!E683</f>
        <v>0</v>
      </c>
      <c r="D1683" s="190">
        <f>'2011'!F683</f>
        <v>0</v>
      </c>
      <c r="E1683" s="190">
        <f>'2011'!G683</f>
        <v>0</v>
      </c>
      <c r="F1683" s="190">
        <f>'2011'!H683</f>
        <v>0</v>
      </c>
      <c r="G1683" s="190">
        <f>'2011'!I683</f>
        <v>0</v>
      </c>
    </row>
    <row r="1684" spans="1:7" ht="12.75" customHeight="1">
      <c r="A1684" s="190" t="str">
        <f>'2011'!C684</f>
        <v>Berufliche Grundbildung</v>
      </c>
      <c r="B1684" s="190">
        <f>'2011'!D684</f>
        <v>0</v>
      </c>
      <c r="C1684" s="190">
        <f>'2011'!E684</f>
        <v>0</v>
      </c>
      <c r="D1684" s="190">
        <f>'2011'!F684</f>
        <v>0</v>
      </c>
      <c r="E1684" s="190">
        <f>'2011'!G684</f>
        <v>0</v>
      </c>
      <c r="F1684" s="190">
        <f>'2011'!H684</f>
        <v>1108593</v>
      </c>
      <c r="G1684" s="190">
        <f>'2011'!I684</f>
        <v>1108593</v>
      </c>
    </row>
    <row r="1685" spans="1:7" ht="12.75" customHeight="1">
      <c r="A1685" s="190" t="str">
        <f>'2011'!C685</f>
        <v>Berufliche Grundbildung</v>
      </c>
      <c r="B1685" s="190">
        <f>'2011'!D685</f>
        <v>0</v>
      </c>
      <c r="C1685" s="190">
        <f>'2011'!E685</f>
        <v>0</v>
      </c>
      <c r="D1685" s="190">
        <f>'2011'!F685</f>
        <v>0</v>
      </c>
      <c r="E1685" s="190">
        <f>'2011'!G685</f>
        <v>0</v>
      </c>
      <c r="F1685" s="190">
        <f>'2011'!H685</f>
        <v>1108593</v>
      </c>
      <c r="G1685" s="190">
        <f>'2011'!I685</f>
        <v>1108593</v>
      </c>
    </row>
    <row r="1686" spans="1:7" ht="12.75" customHeight="1">
      <c r="A1686" s="190" t="str">
        <f>'2011'!C686</f>
        <v>Allgemeinbildende Schulen</v>
      </c>
      <c r="B1686" s="190">
        <f>'2011'!D686</f>
        <v>0</v>
      </c>
      <c r="C1686" s="190">
        <f>'2011'!E686</f>
        <v>0</v>
      </c>
      <c r="D1686" s="190">
        <f>'2011'!F686</f>
        <v>0</v>
      </c>
      <c r="E1686" s="190">
        <f>'2011'!G686</f>
        <v>0</v>
      </c>
      <c r="F1686" s="190">
        <f>'2011'!H686</f>
        <v>600721</v>
      </c>
      <c r="G1686" s="190">
        <f>'2011'!I686</f>
        <v>600721</v>
      </c>
    </row>
    <row r="1687" spans="1:7" ht="12.75" customHeight="1">
      <c r="A1687" s="190" t="str">
        <f>'2011'!C687</f>
        <v>Gymnasiale Maturitätsschulen</v>
      </c>
      <c r="B1687" s="190">
        <f>'2011'!D687</f>
        <v>0</v>
      </c>
      <c r="C1687" s="190">
        <f>'2011'!E687</f>
        <v>0</v>
      </c>
      <c r="D1687" s="190">
        <f>'2011'!F687</f>
        <v>0</v>
      </c>
      <c r="E1687" s="190">
        <f>'2011'!G687</f>
        <v>0</v>
      </c>
      <c r="F1687" s="190">
        <f>'2011'!H687</f>
        <v>600721</v>
      </c>
      <c r="G1687" s="190">
        <f>'2011'!I687</f>
        <v>600721</v>
      </c>
    </row>
    <row r="1688" spans="1:7" ht="12.75" customHeight="1">
      <c r="A1688" s="190" t="str">
        <f>'2011'!C688</f>
        <v>Fachmittelschulen u.a.allgemeinbild.Schulen</v>
      </c>
      <c r="B1688" s="190">
        <f>'2011'!D688</f>
        <v>0</v>
      </c>
      <c r="C1688" s="190">
        <f>'2011'!E688</f>
        <v>0</v>
      </c>
      <c r="D1688" s="190">
        <f>'2011'!F688</f>
        <v>0</v>
      </c>
      <c r="E1688" s="190">
        <f>'2011'!G688</f>
        <v>0</v>
      </c>
      <c r="F1688" s="190">
        <f>'2011'!H688</f>
        <v>0</v>
      </c>
      <c r="G1688" s="190">
        <f>'2011'!I688</f>
        <v>0</v>
      </c>
    </row>
    <row r="1689" spans="1:7" ht="12.75" customHeight="1">
      <c r="A1689" s="190" t="str">
        <f>'2011'!C689</f>
        <v>Höhere Berufsbildung</v>
      </c>
      <c r="B1689" s="190">
        <f>'2011'!D689</f>
        <v>0</v>
      </c>
      <c r="C1689" s="190">
        <f>'2011'!E689</f>
        <v>0</v>
      </c>
      <c r="D1689" s="190">
        <f>'2011'!F689</f>
        <v>0</v>
      </c>
      <c r="E1689" s="190">
        <f>'2011'!G689</f>
        <v>0</v>
      </c>
      <c r="F1689" s="190">
        <f>'2011'!H689</f>
        <v>0</v>
      </c>
      <c r="G1689" s="190">
        <f>'2011'!I689</f>
        <v>0</v>
      </c>
    </row>
    <row r="1690" spans="1:7" ht="12.75" customHeight="1">
      <c r="A1690" s="190" t="str">
        <f>'2011'!C690</f>
        <v>Höhere Berufsbildung</v>
      </c>
      <c r="B1690" s="190">
        <f>'2011'!D690</f>
        <v>0</v>
      </c>
      <c r="C1690" s="190">
        <f>'2011'!E690</f>
        <v>0</v>
      </c>
      <c r="D1690" s="190">
        <f>'2011'!F690</f>
        <v>0</v>
      </c>
      <c r="E1690" s="190">
        <f>'2011'!G690</f>
        <v>0</v>
      </c>
      <c r="F1690" s="190">
        <f>'2011'!H690</f>
        <v>0</v>
      </c>
      <c r="G1690" s="190">
        <f>'2011'!I690</f>
        <v>0</v>
      </c>
    </row>
    <row r="1691" spans="1:7" ht="12.75" customHeight="1">
      <c r="A1691" s="190" t="str">
        <f>'2011'!C691</f>
        <v>Hochschulen</v>
      </c>
      <c r="B1691" s="190">
        <f>'2011'!D691</f>
        <v>0</v>
      </c>
      <c r="C1691" s="190">
        <f>'2011'!E691</f>
        <v>0</v>
      </c>
      <c r="D1691" s="190">
        <f>'2011'!F691</f>
        <v>0</v>
      </c>
      <c r="E1691" s="190">
        <f>'2011'!G691</f>
        <v>0</v>
      </c>
      <c r="F1691" s="190">
        <f>'2011'!H691</f>
        <v>0</v>
      </c>
      <c r="G1691" s="190">
        <f>'2011'!I691</f>
        <v>0</v>
      </c>
    </row>
    <row r="1692" spans="1:7" ht="12.75" customHeight="1">
      <c r="A1692" s="190" t="str">
        <f>'2011'!C692</f>
        <v>Universitäre Hochschulen</v>
      </c>
      <c r="B1692" s="190">
        <f>'2011'!D692</f>
        <v>0</v>
      </c>
      <c r="C1692" s="190">
        <f>'2011'!E692</f>
        <v>0</v>
      </c>
      <c r="D1692" s="190">
        <f>'2011'!F692</f>
        <v>0</v>
      </c>
      <c r="E1692" s="190">
        <f>'2011'!G692</f>
        <v>0</v>
      </c>
      <c r="F1692" s="190">
        <f>'2011'!H692</f>
        <v>0</v>
      </c>
      <c r="G1692" s="190">
        <f>'2011'!I692</f>
        <v>0</v>
      </c>
    </row>
    <row r="1693" spans="1:7" ht="12.75" customHeight="1">
      <c r="A1693" s="190" t="str">
        <f>'2011'!C693</f>
        <v>Pädagogische Hochschulen</v>
      </c>
      <c r="B1693" s="190">
        <f>'2011'!D693</f>
        <v>0</v>
      </c>
      <c r="C1693" s="190">
        <f>'2011'!E693</f>
        <v>0</v>
      </c>
      <c r="D1693" s="190">
        <f>'2011'!F693</f>
        <v>0</v>
      </c>
      <c r="E1693" s="190">
        <f>'2011'!G693</f>
        <v>0</v>
      </c>
      <c r="F1693" s="190">
        <f>'2011'!H693</f>
        <v>0</v>
      </c>
      <c r="G1693" s="190">
        <f>'2011'!I693</f>
        <v>0</v>
      </c>
    </row>
    <row r="1694" spans="1:7" ht="12.75" customHeight="1">
      <c r="A1694" s="190" t="str">
        <f>'2011'!C694</f>
        <v>Fachhochschulen</v>
      </c>
      <c r="B1694" s="190">
        <f>'2011'!D694</f>
        <v>0</v>
      </c>
      <c r="C1694" s="190">
        <f>'2011'!E694</f>
        <v>0</v>
      </c>
      <c r="D1694" s="190">
        <f>'2011'!F694</f>
        <v>0</v>
      </c>
      <c r="E1694" s="190">
        <f>'2011'!G694</f>
        <v>0</v>
      </c>
      <c r="F1694" s="190">
        <f>'2011'!H694</f>
        <v>0</v>
      </c>
      <c r="G1694" s="190">
        <f>'2011'!I694</f>
        <v>0</v>
      </c>
    </row>
    <row r="1695" spans="1:7" ht="12.75" customHeight="1">
      <c r="A1695" s="190" t="str">
        <f>'2011'!C695</f>
        <v>Forschung</v>
      </c>
      <c r="B1695" s="190">
        <f>'2011'!D695</f>
        <v>0</v>
      </c>
      <c r="C1695" s="190">
        <f>'2011'!E695</f>
        <v>0</v>
      </c>
      <c r="D1695" s="190">
        <f>'2011'!F695</f>
        <v>0</v>
      </c>
      <c r="E1695" s="190">
        <f>'2011'!G695</f>
        <v>0</v>
      </c>
      <c r="F1695" s="190">
        <f>'2011'!H695</f>
        <v>0</v>
      </c>
      <c r="G1695" s="190">
        <f>'2011'!I695</f>
        <v>0</v>
      </c>
    </row>
    <row r="1696" spans="1:7" ht="12.75" customHeight="1">
      <c r="A1696" s="190" t="str">
        <f>'2011'!C696</f>
        <v>Grundlagenforschung</v>
      </c>
      <c r="B1696" s="190">
        <f>'2011'!D696</f>
        <v>0</v>
      </c>
      <c r="C1696" s="190">
        <f>'2011'!E696</f>
        <v>0</v>
      </c>
      <c r="D1696" s="190">
        <f>'2011'!F696</f>
        <v>0</v>
      </c>
      <c r="E1696" s="190">
        <f>'2011'!G696</f>
        <v>0</v>
      </c>
      <c r="F1696" s="190">
        <f>'2011'!H696</f>
        <v>0</v>
      </c>
      <c r="G1696" s="190">
        <f>'2011'!I696</f>
        <v>0</v>
      </c>
    </row>
    <row r="1697" spans="1:7" ht="12.75" customHeight="1">
      <c r="A1697" s="190" t="str">
        <f>'2011'!C697</f>
        <v>F&amp;E in Bildung</v>
      </c>
      <c r="B1697" s="190">
        <f>'2011'!D697</f>
        <v>0</v>
      </c>
      <c r="C1697" s="190">
        <f>'2011'!E697</f>
        <v>0</v>
      </c>
      <c r="D1697" s="190">
        <f>'2011'!F697</f>
        <v>0</v>
      </c>
      <c r="E1697" s="190">
        <f>'2011'!G697</f>
        <v>0</v>
      </c>
      <c r="F1697" s="190">
        <f>'2011'!H697</f>
        <v>0</v>
      </c>
      <c r="G1697" s="190">
        <f>'2011'!I697</f>
        <v>0</v>
      </c>
    </row>
    <row r="1698" spans="1:7" ht="12.75" customHeight="1">
      <c r="A1698" s="190" t="str">
        <f>'2011'!C698</f>
        <v>Übriges Bildungswesen</v>
      </c>
      <c r="B1698" s="190">
        <f>'2011'!D698</f>
        <v>0</v>
      </c>
      <c r="C1698" s="190">
        <f>'2011'!E698</f>
        <v>0</v>
      </c>
      <c r="D1698" s="190">
        <f>'2011'!F698</f>
        <v>0</v>
      </c>
      <c r="E1698" s="190">
        <f>'2011'!G698</f>
        <v>0</v>
      </c>
      <c r="F1698" s="190">
        <f>'2011'!H698</f>
        <v>0</v>
      </c>
      <c r="G1698" s="190">
        <f>'2011'!I698</f>
        <v>0</v>
      </c>
    </row>
    <row r="1699" spans="1:7" ht="12.75" customHeight="1">
      <c r="A1699" s="190" t="str">
        <f>'2011'!C699</f>
        <v>Verwaltung</v>
      </c>
      <c r="B1699" s="190">
        <f>'2011'!D699</f>
        <v>0</v>
      </c>
      <c r="C1699" s="190">
        <f>'2011'!E699</f>
        <v>0</v>
      </c>
      <c r="D1699" s="190">
        <f>'2011'!F699</f>
        <v>0</v>
      </c>
      <c r="E1699" s="190">
        <f>'2011'!G699</f>
        <v>0</v>
      </c>
      <c r="F1699" s="190">
        <f>'2011'!H699</f>
        <v>0</v>
      </c>
      <c r="G1699" s="190">
        <f>'2011'!I699</f>
        <v>0</v>
      </c>
    </row>
    <row r="1700" spans="1:7" ht="12.75" customHeight="1">
      <c r="A1700" s="190" t="str">
        <f>'2011'!C700</f>
        <v>Bildung, n.a.g.</v>
      </c>
      <c r="B1700" s="190">
        <f>'2011'!D700</f>
        <v>0</v>
      </c>
      <c r="C1700" s="190">
        <f>'2011'!E700</f>
        <v>0</v>
      </c>
      <c r="D1700" s="190">
        <f>'2011'!F700</f>
        <v>0</v>
      </c>
      <c r="E1700" s="190">
        <f>'2011'!G700</f>
        <v>0</v>
      </c>
      <c r="F1700" s="190">
        <f>'2011'!H700</f>
        <v>0</v>
      </c>
      <c r="G1700" s="190">
        <f>'2011'!I700</f>
        <v>0</v>
      </c>
    </row>
    <row r="1701" spans="1:7" ht="12.75" customHeight="1">
      <c r="A1701" s="190" t="str">
        <f>'2011'!C701</f>
        <v>KULTUR, SPORT UND FREIZEIT, KIRCHE</v>
      </c>
      <c r="B1701" s="190">
        <f>'2011'!D701</f>
        <v>0</v>
      </c>
      <c r="C1701" s="190">
        <f>'2011'!E701</f>
        <v>172247.7</v>
      </c>
      <c r="D1701" s="190">
        <f>'2011'!F701</f>
        <v>0</v>
      </c>
      <c r="E1701" s="190">
        <f>'2011'!G701</f>
        <v>172247.7</v>
      </c>
      <c r="F1701" s="190">
        <f>'2011'!H701</f>
        <v>0</v>
      </c>
      <c r="G1701" s="190">
        <f>'2011'!I701</f>
        <v>172247.7</v>
      </c>
    </row>
    <row r="1702" spans="1:7" ht="12.75" customHeight="1">
      <c r="A1702" s="190" t="str">
        <f>'2011'!C702</f>
        <v>Kulturerbe</v>
      </c>
      <c r="B1702" s="190">
        <f>'2011'!D702</f>
        <v>0</v>
      </c>
      <c r="C1702" s="190">
        <f>'2011'!E702</f>
        <v>0</v>
      </c>
      <c r="D1702" s="190">
        <f>'2011'!F702</f>
        <v>0</v>
      </c>
      <c r="E1702" s="190">
        <f>'2011'!G702</f>
        <v>0</v>
      </c>
      <c r="F1702" s="190">
        <f>'2011'!H702</f>
        <v>0</v>
      </c>
      <c r="G1702" s="190">
        <f>'2011'!I702</f>
        <v>0</v>
      </c>
    </row>
    <row r="1703" spans="1:7" ht="12.75" customHeight="1">
      <c r="A1703" s="190" t="str">
        <f>'2011'!C703</f>
        <v>Museen und bildende Kunst</v>
      </c>
      <c r="B1703" s="190">
        <f>'2011'!D703</f>
        <v>0</v>
      </c>
      <c r="C1703" s="190">
        <f>'2011'!E703</f>
        <v>0</v>
      </c>
      <c r="D1703" s="190">
        <f>'2011'!F703</f>
        <v>0</v>
      </c>
      <c r="E1703" s="190">
        <f>'2011'!G703</f>
        <v>0</v>
      </c>
      <c r="F1703" s="190">
        <f>'2011'!H703</f>
        <v>0</v>
      </c>
      <c r="G1703" s="190">
        <f>'2011'!I703</f>
        <v>0</v>
      </c>
    </row>
    <row r="1704" spans="1:7" ht="12.75" customHeight="1">
      <c r="A1704" s="190" t="str">
        <f>'2011'!C704</f>
        <v>Dankmalpflege und Heimatschutz</v>
      </c>
      <c r="B1704" s="190">
        <f>'2011'!D704</f>
        <v>0</v>
      </c>
      <c r="C1704" s="190">
        <f>'2011'!E704</f>
        <v>0</v>
      </c>
      <c r="D1704" s="190">
        <f>'2011'!F704</f>
        <v>0</v>
      </c>
      <c r="E1704" s="190">
        <f>'2011'!G704</f>
        <v>0</v>
      </c>
      <c r="F1704" s="190">
        <f>'2011'!H704</f>
        <v>0</v>
      </c>
      <c r="G1704" s="190">
        <f>'2011'!I704</f>
        <v>0</v>
      </c>
    </row>
    <row r="1705" spans="1:7" ht="12.75" customHeight="1">
      <c r="A1705" s="190" t="str">
        <f>'2011'!C705</f>
        <v>Kultur, übrige</v>
      </c>
      <c r="B1705" s="190">
        <f>'2011'!D705</f>
        <v>0</v>
      </c>
      <c r="C1705" s="190">
        <f>'2011'!E705</f>
        <v>172247.7</v>
      </c>
      <c r="D1705" s="190">
        <f>'2011'!F705</f>
        <v>0</v>
      </c>
      <c r="E1705" s="190">
        <f>'2011'!G705</f>
        <v>172247.7</v>
      </c>
      <c r="F1705" s="190">
        <f>'2011'!H705</f>
        <v>0</v>
      </c>
      <c r="G1705" s="190">
        <f>'2011'!I705</f>
        <v>172247.7</v>
      </c>
    </row>
    <row r="1706" spans="1:7" ht="12.75" customHeight="1">
      <c r="A1706" s="190" t="str">
        <f>'2011'!C706</f>
        <v>Bibliotheken</v>
      </c>
      <c r="B1706" s="190">
        <f>'2011'!D706</f>
        <v>0</v>
      </c>
      <c r="C1706" s="190">
        <f>'2011'!E706</f>
        <v>0</v>
      </c>
      <c r="D1706" s="190">
        <f>'2011'!F706</f>
        <v>0</v>
      </c>
      <c r="E1706" s="190">
        <f>'2011'!G706</f>
        <v>0</v>
      </c>
      <c r="F1706" s="190">
        <f>'2011'!H706</f>
        <v>0</v>
      </c>
      <c r="G1706" s="190">
        <f>'2011'!I706</f>
        <v>0</v>
      </c>
    </row>
    <row r="1707" spans="1:7" ht="12.75" customHeight="1">
      <c r="A1707" s="190" t="str">
        <f>'2011'!C707</f>
        <v>Konzert und Theater</v>
      </c>
      <c r="B1707" s="190">
        <f>'2011'!D707</f>
        <v>0</v>
      </c>
      <c r="C1707" s="190">
        <f>'2011'!E707</f>
        <v>0</v>
      </c>
      <c r="D1707" s="190">
        <f>'2011'!F707</f>
        <v>0</v>
      </c>
      <c r="E1707" s="190">
        <f>'2011'!G707</f>
        <v>0</v>
      </c>
      <c r="F1707" s="190">
        <f>'2011'!H707</f>
        <v>0</v>
      </c>
      <c r="G1707" s="190">
        <f>'2011'!I707</f>
        <v>0</v>
      </c>
    </row>
    <row r="1708" spans="1:7" ht="12.75" customHeight="1">
      <c r="A1708" s="190" t="str">
        <f>'2011'!C708</f>
        <v>Kultur n.a.g.</v>
      </c>
      <c r="B1708" s="190">
        <f>'2011'!D708</f>
        <v>0</v>
      </c>
      <c r="C1708" s="190">
        <f>'2011'!E708</f>
        <v>172247.7</v>
      </c>
      <c r="D1708" s="190">
        <f>'2011'!F708</f>
        <v>0</v>
      </c>
      <c r="E1708" s="190">
        <f>'2011'!G708</f>
        <v>172247.7</v>
      </c>
      <c r="F1708" s="190">
        <f>'2011'!H708</f>
        <v>0</v>
      </c>
      <c r="G1708" s="190">
        <f>'2011'!I708</f>
        <v>172247.7</v>
      </c>
    </row>
    <row r="1709" spans="1:7" ht="12.75" customHeight="1">
      <c r="A1709" s="190" t="str">
        <f>'2011'!C709</f>
        <v>Medien</v>
      </c>
      <c r="B1709" s="190">
        <f>'2011'!D709</f>
        <v>0</v>
      </c>
      <c r="C1709" s="190">
        <f>'2011'!E709</f>
        <v>0</v>
      </c>
      <c r="D1709" s="190">
        <f>'2011'!F709</f>
        <v>0</v>
      </c>
      <c r="E1709" s="190">
        <f>'2011'!G709</f>
        <v>0</v>
      </c>
      <c r="F1709" s="190">
        <f>'2011'!H709</f>
        <v>0</v>
      </c>
      <c r="G1709" s="190">
        <f>'2011'!I709</f>
        <v>0</v>
      </c>
    </row>
    <row r="1710" spans="1:7" ht="12.75" customHeight="1">
      <c r="A1710" s="190" t="str">
        <f>'2011'!C710</f>
        <v>Film und Kino</v>
      </c>
      <c r="B1710" s="190">
        <f>'2011'!D710</f>
        <v>0</v>
      </c>
      <c r="C1710" s="190">
        <f>'2011'!E710</f>
        <v>0</v>
      </c>
      <c r="D1710" s="190">
        <f>'2011'!F710</f>
        <v>0</v>
      </c>
      <c r="E1710" s="190">
        <f>'2011'!G710</f>
        <v>0</v>
      </c>
      <c r="F1710" s="190">
        <f>'2011'!H710</f>
        <v>0</v>
      </c>
      <c r="G1710" s="190">
        <f>'2011'!I710</f>
        <v>0</v>
      </c>
    </row>
    <row r="1711" spans="1:7" ht="12.75" customHeight="1">
      <c r="A1711" s="190" t="str">
        <f>'2011'!C711</f>
        <v>Massenmedien</v>
      </c>
      <c r="B1711" s="190">
        <f>'2011'!D711</f>
        <v>0</v>
      </c>
      <c r="C1711" s="190">
        <f>'2011'!E711</f>
        <v>0</v>
      </c>
      <c r="D1711" s="190">
        <f>'2011'!F711</f>
        <v>0</v>
      </c>
      <c r="E1711" s="190">
        <f>'2011'!G711</f>
        <v>0</v>
      </c>
      <c r="F1711" s="190">
        <f>'2011'!H711</f>
        <v>0</v>
      </c>
      <c r="G1711" s="190">
        <f>'2011'!I711</f>
        <v>0</v>
      </c>
    </row>
    <row r="1712" spans="1:7" ht="12.75" customHeight="1">
      <c r="A1712" s="190" t="str">
        <f>'2011'!C712</f>
        <v>Antennen- und Kabelanlagen (SF)</v>
      </c>
      <c r="B1712" s="190">
        <f>'2011'!D712</f>
        <v>0</v>
      </c>
      <c r="C1712" s="190">
        <f>'2011'!E712</f>
        <v>0</v>
      </c>
      <c r="D1712" s="190">
        <f>'2011'!F712</f>
        <v>0</v>
      </c>
      <c r="E1712" s="190">
        <f>'2011'!G712</f>
        <v>0</v>
      </c>
      <c r="F1712" s="190">
        <f>'2011'!H712</f>
        <v>0</v>
      </c>
      <c r="G1712" s="190">
        <f>'2011'!I712</f>
        <v>0</v>
      </c>
    </row>
    <row r="1713" spans="1:7" ht="12.75" customHeight="1">
      <c r="A1713" s="190" t="str">
        <f>'2011'!C713</f>
        <v>Sport und Freizeit</v>
      </c>
      <c r="B1713" s="190">
        <f>'2011'!D713</f>
        <v>0</v>
      </c>
      <c r="C1713" s="190">
        <f>'2011'!E713</f>
        <v>0</v>
      </c>
      <c r="D1713" s="190">
        <f>'2011'!F713</f>
        <v>0</v>
      </c>
      <c r="E1713" s="190">
        <f>'2011'!G713</f>
        <v>0</v>
      </c>
      <c r="F1713" s="190">
        <f>'2011'!H713</f>
        <v>0</v>
      </c>
      <c r="G1713" s="190">
        <f>'2011'!I713</f>
        <v>0</v>
      </c>
    </row>
    <row r="1714" spans="1:7" ht="12.75" customHeight="1">
      <c r="A1714" s="190" t="str">
        <f>'2011'!C714</f>
        <v>Sport</v>
      </c>
      <c r="B1714" s="190">
        <f>'2011'!D714</f>
        <v>0</v>
      </c>
      <c r="C1714" s="190">
        <f>'2011'!E714</f>
        <v>0</v>
      </c>
      <c r="D1714" s="190">
        <f>'2011'!F714</f>
        <v>0</v>
      </c>
      <c r="E1714" s="190">
        <f>'2011'!G714</f>
        <v>0</v>
      </c>
      <c r="F1714" s="190">
        <f>'2011'!H714</f>
        <v>0</v>
      </c>
      <c r="G1714" s="190">
        <f>'2011'!I714</f>
        <v>0</v>
      </c>
    </row>
    <row r="1715" spans="1:7" ht="12.75" customHeight="1">
      <c r="A1715" s="190" t="str">
        <f>'2011'!C715</f>
        <v>Freizeit</v>
      </c>
      <c r="B1715" s="190">
        <f>'2011'!D715</f>
        <v>0</v>
      </c>
      <c r="C1715" s="190">
        <f>'2011'!E715</f>
        <v>0</v>
      </c>
      <c r="D1715" s="190">
        <f>'2011'!F715</f>
        <v>0</v>
      </c>
      <c r="E1715" s="190">
        <f>'2011'!G715</f>
        <v>0</v>
      </c>
      <c r="F1715" s="190">
        <f>'2011'!H715</f>
        <v>0</v>
      </c>
      <c r="G1715" s="190">
        <f>'2011'!I715</f>
        <v>0</v>
      </c>
    </row>
    <row r="1716" spans="1:7" ht="12.75" customHeight="1">
      <c r="A1716" s="190" t="str">
        <f>'2011'!C716</f>
        <v>Kirchen u. religiöse Angelegeneheiten</v>
      </c>
      <c r="B1716" s="190">
        <f>'2011'!D716</f>
        <v>0</v>
      </c>
      <c r="C1716" s="190">
        <f>'2011'!E716</f>
        <v>0</v>
      </c>
      <c r="D1716" s="190">
        <f>'2011'!F716</f>
        <v>0</v>
      </c>
      <c r="E1716" s="190">
        <f>'2011'!G716</f>
        <v>0</v>
      </c>
      <c r="F1716" s="190">
        <f>'2011'!H716</f>
        <v>0</v>
      </c>
      <c r="G1716" s="190">
        <f>'2011'!I716</f>
        <v>0</v>
      </c>
    </row>
    <row r="1717" spans="1:7" ht="12.75" customHeight="1">
      <c r="A1717" s="190" t="str">
        <f>'2011'!C717</f>
        <v>Kirchen u. religiöse Angelegenheiten</v>
      </c>
      <c r="B1717" s="190">
        <f>'2011'!D717</f>
        <v>0</v>
      </c>
      <c r="C1717" s="190">
        <f>'2011'!E717</f>
        <v>0</v>
      </c>
      <c r="D1717" s="190">
        <f>'2011'!F717</f>
        <v>0</v>
      </c>
      <c r="E1717" s="190">
        <f>'2011'!G717</f>
        <v>0</v>
      </c>
      <c r="F1717" s="190">
        <f>'2011'!H717</f>
        <v>0</v>
      </c>
      <c r="G1717" s="190">
        <f>'2011'!I717</f>
        <v>0</v>
      </c>
    </row>
    <row r="1718" spans="1:7" ht="12.75" customHeight="1">
      <c r="A1718" s="190" t="str">
        <f>'2011'!C718</f>
        <v>F&amp;E in Kultur, Sport, Freizeit u. Kirche</v>
      </c>
      <c r="B1718" s="190">
        <f>'2011'!D718</f>
        <v>0</v>
      </c>
      <c r="C1718" s="190">
        <f>'2011'!E718</f>
        <v>0</v>
      </c>
      <c r="D1718" s="190">
        <f>'2011'!F718</f>
        <v>0</v>
      </c>
      <c r="E1718" s="190">
        <f>'2011'!G718</f>
        <v>0</v>
      </c>
      <c r="F1718" s="190">
        <f>'2011'!H718</f>
        <v>0</v>
      </c>
      <c r="G1718" s="190">
        <f>'2011'!I718</f>
        <v>0</v>
      </c>
    </row>
    <row r="1719" spans="1:7" ht="12.75" customHeight="1">
      <c r="A1719" s="190" t="str">
        <f>'2011'!C719</f>
        <v>F&amp;E Kultur und Medien</v>
      </c>
      <c r="B1719" s="190">
        <f>'2011'!D719</f>
        <v>0</v>
      </c>
      <c r="C1719" s="190">
        <f>'2011'!E719</f>
        <v>0</v>
      </c>
      <c r="D1719" s="190">
        <f>'2011'!F719</f>
        <v>0</v>
      </c>
      <c r="E1719" s="190">
        <f>'2011'!G719</f>
        <v>0</v>
      </c>
      <c r="F1719" s="190">
        <f>'2011'!H719</f>
        <v>0</v>
      </c>
      <c r="G1719" s="190">
        <f>'2011'!I719</f>
        <v>0</v>
      </c>
    </row>
    <row r="1720" spans="1:7" ht="12.75" customHeight="1">
      <c r="A1720" s="190" t="str">
        <f>'2011'!C720</f>
        <v>F&amp;E in Sport und Freizeit</v>
      </c>
      <c r="B1720" s="190">
        <f>'2011'!D720</f>
        <v>0</v>
      </c>
      <c r="C1720" s="190">
        <f>'2011'!E720</f>
        <v>0</v>
      </c>
      <c r="D1720" s="190">
        <f>'2011'!F720</f>
        <v>0</v>
      </c>
      <c r="E1720" s="190">
        <f>'2011'!G720</f>
        <v>0</v>
      </c>
      <c r="F1720" s="190">
        <f>'2011'!H720</f>
        <v>0</v>
      </c>
      <c r="G1720" s="190">
        <f>'2011'!I720</f>
        <v>0</v>
      </c>
    </row>
    <row r="1721" spans="1:7" ht="12.75" customHeight="1">
      <c r="A1721" s="190" t="str">
        <f>'2011'!C721</f>
        <v>GESUNDHEIT</v>
      </c>
      <c r="B1721" s="190">
        <f>'2011'!D721</f>
        <v>0</v>
      </c>
      <c r="C1721" s="190">
        <f>'2011'!E721</f>
        <v>0</v>
      </c>
      <c r="D1721" s="190">
        <f>'2011'!F721</f>
        <v>304695.65</v>
      </c>
      <c r="E1721" s="190">
        <f>'2011'!G721</f>
        <v>304695.65</v>
      </c>
      <c r="F1721" s="190">
        <f>'2011'!H721</f>
        <v>3917736</v>
      </c>
      <c r="G1721" s="190">
        <f>'2011'!I721</f>
        <v>4222431.65</v>
      </c>
    </row>
    <row r="1722" spans="1:7" ht="12.75" customHeight="1">
      <c r="A1722" s="190" t="str">
        <f>'2011'!C722</f>
        <v>Spitäler, Kranken- u. Pflegeheime</v>
      </c>
      <c r="B1722" s="190">
        <f>'2011'!D722</f>
        <v>0</v>
      </c>
      <c r="C1722" s="190">
        <f>'2011'!E722</f>
        <v>0</v>
      </c>
      <c r="D1722" s="190">
        <f>'2011'!F722</f>
        <v>304695.65</v>
      </c>
      <c r="E1722" s="190">
        <f>'2011'!G722</f>
        <v>304695.65</v>
      </c>
      <c r="F1722" s="190">
        <f>'2011'!H722</f>
        <v>3917736</v>
      </c>
      <c r="G1722" s="190">
        <f>'2011'!I722</f>
        <v>4222431.65</v>
      </c>
    </row>
    <row r="1723" spans="1:7" ht="12.75" customHeight="1">
      <c r="A1723" s="190" t="str">
        <f>'2011'!C723</f>
        <v>Spitäler</v>
      </c>
      <c r="B1723" s="190">
        <f>'2011'!D723</f>
        <v>0</v>
      </c>
      <c r="C1723" s="190">
        <f>'2011'!E723</f>
        <v>0</v>
      </c>
      <c r="D1723" s="190">
        <f>'2011'!F723</f>
        <v>0</v>
      </c>
      <c r="E1723" s="190">
        <f>'2011'!G723</f>
        <v>0</v>
      </c>
      <c r="F1723" s="190">
        <f>'2011'!H723</f>
        <v>3917736</v>
      </c>
      <c r="G1723" s="190">
        <f>'2011'!I723</f>
        <v>3917736</v>
      </c>
    </row>
    <row r="1724" spans="1:7" ht="12.75" customHeight="1">
      <c r="A1724" s="190" t="str">
        <f>'2011'!C724</f>
        <v>Alters-, Kranken- u. Pflegeheime</v>
      </c>
      <c r="B1724" s="190">
        <f>'2011'!D724</f>
        <v>0</v>
      </c>
      <c r="C1724" s="190">
        <f>'2011'!E724</f>
        <v>0</v>
      </c>
      <c r="D1724" s="190">
        <f>'2011'!F724</f>
        <v>304695.65</v>
      </c>
      <c r="E1724" s="190">
        <f>'2011'!G724</f>
        <v>304695.65</v>
      </c>
      <c r="F1724" s="190">
        <f>'2011'!H724</f>
        <v>0</v>
      </c>
      <c r="G1724" s="190">
        <f>'2011'!I724</f>
        <v>304695.65</v>
      </c>
    </row>
    <row r="1725" spans="1:7" ht="12.75" customHeight="1">
      <c r="A1725" s="190" t="str">
        <f>'2011'!C725</f>
        <v>Psychiatrische Kliniken</v>
      </c>
      <c r="B1725" s="190">
        <f>'2011'!D725</f>
        <v>0</v>
      </c>
      <c r="C1725" s="190">
        <f>'2011'!E725</f>
        <v>0</v>
      </c>
      <c r="D1725" s="190">
        <f>'2011'!F725</f>
        <v>0</v>
      </c>
      <c r="E1725" s="190">
        <f>'2011'!G725</f>
        <v>0</v>
      </c>
      <c r="F1725" s="190">
        <f>'2011'!H725</f>
        <v>0</v>
      </c>
      <c r="G1725" s="190">
        <f>'2011'!I725</f>
        <v>0</v>
      </c>
    </row>
    <row r="1726" spans="1:7" ht="12.75" customHeight="1">
      <c r="A1726" s="190" t="str">
        <f>'2011'!C726</f>
        <v>Ambulante Krankenpflege</v>
      </c>
      <c r="B1726" s="190">
        <f>'2011'!D726</f>
        <v>0</v>
      </c>
      <c r="C1726" s="190">
        <f>'2011'!E726</f>
        <v>0</v>
      </c>
      <c r="D1726" s="190">
        <f>'2011'!F726</f>
        <v>0</v>
      </c>
      <c r="E1726" s="190">
        <f>'2011'!G726</f>
        <v>0</v>
      </c>
      <c r="F1726" s="190">
        <f>'2011'!H726</f>
        <v>0</v>
      </c>
      <c r="G1726" s="190">
        <f>'2011'!I726</f>
        <v>0</v>
      </c>
    </row>
    <row r="1727" spans="1:7" ht="12.75" customHeight="1">
      <c r="A1727" s="190" t="str">
        <f>'2011'!C727</f>
        <v>Ambulante Krankenpflege</v>
      </c>
      <c r="B1727" s="190">
        <f>'2011'!D727</f>
        <v>0</v>
      </c>
      <c r="C1727" s="190">
        <f>'2011'!E727</f>
        <v>0</v>
      </c>
      <c r="D1727" s="190">
        <f>'2011'!F727</f>
        <v>0</v>
      </c>
      <c r="E1727" s="190">
        <f>'2011'!G727</f>
        <v>0</v>
      </c>
      <c r="F1727" s="190">
        <f>'2011'!H727</f>
        <v>0</v>
      </c>
      <c r="G1727" s="190">
        <f>'2011'!I727</f>
        <v>0</v>
      </c>
    </row>
    <row r="1728" spans="1:7" ht="12.75" customHeight="1">
      <c r="A1728" s="190" t="str">
        <f>'2011'!C728</f>
        <v>Rettungsdienste</v>
      </c>
      <c r="B1728" s="190">
        <f>'2011'!D728</f>
        <v>0</v>
      </c>
      <c r="C1728" s="190">
        <f>'2011'!E728</f>
        <v>0</v>
      </c>
      <c r="D1728" s="190">
        <f>'2011'!F728</f>
        <v>0</v>
      </c>
      <c r="E1728" s="190">
        <f>'2011'!G728</f>
        <v>0</v>
      </c>
      <c r="F1728" s="190">
        <f>'2011'!H728</f>
        <v>0</v>
      </c>
      <c r="G1728" s="190">
        <f>'2011'!I728</f>
        <v>0</v>
      </c>
    </row>
    <row r="1729" spans="1:7" ht="12.75" customHeight="1">
      <c r="A1729" s="190" t="str">
        <f>'2011'!C729</f>
        <v>Gesundheitsprävention</v>
      </c>
      <c r="B1729" s="190">
        <f>'2011'!D729</f>
        <v>0</v>
      </c>
      <c r="C1729" s="190">
        <f>'2011'!E729</f>
        <v>0</v>
      </c>
      <c r="D1729" s="190">
        <f>'2011'!F729</f>
        <v>0</v>
      </c>
      <c r="E1729" s="190">
        <f>'2011'!G729</f>
        <v>0</v>
      </c>
      <c r="F1729" s="190">
        <f>'2011'!H729</f>
        <v>0</v>
      </c>
      <c r="G1729" s="190">
        <f>'2011'!I729</f>
        <v>0</v>
      </c>
    </row>
    <row r="1730" spans="1:7" ht="12.75" customHeight="1">
      <c r="A1730" s="190" t="str">
        <f>'2011'!C730</f>
        <v>Alkohol- und Drogenmissbrauch</v>
      </c>
      <c r="B1730" s="190">
        <f>'2011'!D730</f>
        <v>0</v>
      </c>
      <c r="C1730" s="190">
        <f>'2011'!E730</f>
        <v>0</v>
      </c>
      <c r="D1730" s="190">
        <f>'2011'!F730</f>
        <v>0</v>
      </c>
      <c r="E1730" s="190">
        <f>'2011'!G730</f>
        <v>0</v>
      </c>
      <c r="F1730" s="190">
        <f>'2011'!H730</f>
        <v>0</v>
      </c>
      <c r="G1730" s="190">
        <f>'2011'!I730</f>
        <v>0</v>
      </c>
    </row>
    <row r="1731" spans="1:7" ht="12.75" customHeight="1">
      <c r="A1731" s="190" t="str">
        <f>'2011'!C731</f>
        <v>Krankheitsbekämpfung, übrige</v>
      </c>
      <c r="B1731" s="190">
        <f>'2011'!D731</f>
        <v>0</v>
      </c>
      <c r="C1731" s="190">
        <f>'2011'!E731</f>
        <v>0</v>
      </c>
      <c r="D1731" s="190">
        <f>'2011'!F731</f>
        <v>0</v>
      </c>
      <c r="E1731" s="190">
        <f>'2011'!G731</f>
        <v>0</v>
      </c>
      <c r="F1731" s="190">
        <f>'2011'!H731</f>
        <v>0</v>
      </c>
      <c r="G1731" s="190">
        <f>'2011'!I731</f>
        <v>0</v>
      </c>
    </row>
    <row r="1732" spans="1:7" ht="12.75" customHeight="1">
      <c r="A1732" s="190" t="str">
        <f>'2011'!C732</f>
        <v>Schulgesundheitsdienst</v>
      </c>
      <c r="B1732" s="190">
        <f>'2011'!D732</f>
        <v>0</v>
      </c>
      <c r="C1732" s="190">
        <f>'2011'!E732</f>
        <v>0</v>
      </c>
      <c r="D1732" s="190">
        <f>'2011'!F732</f>
        <v>0</v>
      </c>
      <c r="E1732" s="190">
        <f>'2011'!G732</f>
        <v>0</v>
      </c>
      <c r="F1732" s="190">
        <f>'2011'!H732</f>
        <v>0</v>
      </c>
      <c r="G1732" s="190">
        <f>'2011'!I732</f>
        <v>0</v>
      </c>
    </row>
    <row r="1733" spans="1:7" ht="12.75" customHeight="1">
      <c r="A1733" s="190" t="str">
        <f>'2011'!C733</f>
        <v>Lebensmittelkontrolle</v>
      </c>
      <c r="B1733" s="190">
        <f>'2011'!D733</f>
        <v>0</v>
      </c>
      <c r="C1733" s="190">
        <f>'2011'!E733</f>
        <v>0</v>
      </c>
      <c r="D1733" s="190">
        <f>'2011'!F733</f>
        <v>0</v>
      </c>
      <c r="E1733" s="190">
        <f>'2011'!G733</f>
        <v>0</v>
      </c>
      <c r="F1733" s="190">
        <f>'2011'!H733</f>
        <v>0</v>
      </c>
      <c r="G1733" s="190">
        <f>'2011'!I733</f>
        <v>0</v>
      </c>
    </row>
    <row r="1734" spans="1:7" ht="12.75" customHeight="1">
      <c r="A1734" s="190" t="str">
        <f>'2011'!C734</f>
        <v>F&amp;E in Gesundheit</v>
      </c>
      <c r="B1734" s="190">
        <f>'2011'!D734</f>
        <v>0</v>
      </c>
      <c r="C1734" s="190">
        <f>'2011'!E734</f>
        <v>0</v>
      </c>
      <c r="D1734" s="190">
        <f>'2011'!F734</f>
        <v>0</v>
      </c>
      <c r="E1734" s="190">
        <f>'2011'!G734</f>
        <v>0</v>
      </c>
      <c r="F1734" s="190">
        <f>'2011'!H734</f>
        <v>0</v>
      </c>
      <c r="G1734" s="190">
        <f>'2011'!I734</f>
        <v>0</v>
      </c>
    </row>
    <row r="1735" spans="1:7" ht="12.75" customHeight="1">
      <c r="A1735" s="190" t="str">
        <f>'2011'!C735</f>
        <v>F&amp;E in Gesundheit</v>
      </c>
      <c r="B1735" s="190">
        <f>'2011'!D735</f>
        <v>0</v>
      </c>
      <c r="C1735" s="190">
        <f>'2011'!E735</f>
        <v>0</v>
      </c>
      <c r="D1735" s="190">
        <f>'2011'!F735</f>
        <v>0</v>
      </c>
      <c r="E1735" s="190">
        <f>'2011'!G735</f>
        <v>0</v>
      </c>
      <c r="F1735" s="190">
        <f>'2011'!H735</f>
        <v>0</v>
      </c>
      <c r="G1735" s="190">
        <f>'2011'!I735</f>
        <v>0</v>
      </c>
    </row>
    <row r="1736" spans="1:7" ht="12.75" customHeight="1">
      <c r="A1736" s="190" t="str">
        <f>'2011'!C736</f>
        <v>Gesundheitswesen, n.a.g.</v>
      </c>
      <c r="B1736" s="190">
        <f>'2011'!D736</f>
        <v>0</v>
      </c>
      <c r="C1736" s="190">
        <f>'2011'!E736</f>
        <v>0</v>
      </c>
      <c r="D1736" s="190">
        <f>'2011'!F736</f>
        <v>0</v>
      </c>
      <c r="E1736" s="190">
        <f>'2011'!G736</f>
        <v>0</v>
      </c>
      <c r="F1736" s="190">
        <f>'2011'!H736</f>
        <v>0</v>
      </c>
      <c r="G1736" s="190">
        <f>'2011'!I736</f>
        <v>0</v>
      </c>
    </row>
    <row r="1737" spans="1:7" ht="12.75" customHeight="1">
      <c r="A1737" s="190" t="str">
        <f>'2011'!C737</f>
        <v>Gesundheitswesen, n.a.g.</v>
      </c>
      <c r="B1737" s="190">
        <f>'2011'!D737</f>
        <v>0</v>
      </c>
      <c r="C1737" s="190">
        <f>'2011'!E737</f>
        <v>0</v>
      </c>
      <c r="D1737" s="190">
        <f>'2011'!F737</f>
        <v>0</v>
      </c>
      <c r="E1737" s="190">
        <f>'2011'!G737</f>
        <v>0</v>
      </c>
      <c r="F1737" s="190">
        <f>'2011'!H737</f>
        <v>0</v>
      </c>
      <c r="G1737" s="190">
        <f>'2011'!I737</f>
        <v>0</v>
      </c>
    </row>
    <row r="1738" spans="1:7" ht="12.75" customHeight="1">
      <c r="A1738" s="190" t="str">
        <f>'2011'!C738</f>
        <v>SOZIALE SICHERHEIT</v>
      </c>
      <c r="B1738" s="190">
        <f>'2011'!D738</f>
        <v>0</v>
      </c>
      <c r="C1738" s="190">
        <f>'2011'!E738</f>
        <v>0</v>
      </c>
      <c r="D1738" s="190">
        <f>'2011'!F738</f>
        <v>0</v>
      </c>
      <c r="E1738" s="190">
        <f>'2011'!G738</f>
        <v>0</v>
      </c>
      <c r="F1738" s="190">
        <f>'2011'!H738</f>
        <v>1799910</v>
      </c>
      <c r="G1738" s="190">
        <f>'2011'!I738</f>
        <v>1799910</v>
      </c>
    </row>
    <row r="1739" spans="1:7" ht="12.75" customHeight="1">
      <c r="A1739" s="190" t="str">
        <f>'2011'!C739</f>
        <v>Krankheit und Unfall</v>
      </c>
      <c r="B1739" s="190">
        <f>'2011'!D739</f>
        <v>0</v>
      </c>
      <c r="C1739" s="190">
        <f>'2011'!E739</f>
        <v>0</v>
      </c>
      <c r="D1739" s="190">
        <f>'2011'!F739</f>
        <v>0</v>
      </c>
      <c r="E1739" s="190">
        <f>'2011'!G739</f>
        <v>0</v>
      </c>
      <c r="F1739" s="190">
        <f>'2011'!H739</f>
        <v>0</v>
      </c>
      <c r="G1739" s="190">
        <f>'2011'!I739</f>
        <v>0</v>
      </c>
    </row>
    <row r="1740" spans="1:7" ht="12.75" customHeight="1">
      <c r="A1740" s="190" t="str">
        <f>'2011'!C740</f>
        <v>Krankenversicherung</v>
      </c>
      <c r="B1740" s="190">
        <f>'2011'!D740</f>
        <v>0</v>
      </c>
      <c r="C1740" s="190">
        <f>'2011'!E740</f>
        <v>0</v>
      </c>
      <c r="D1740" s="190">
        <f>'2011'!F740</f>
        <v>0</v>
      </c>
      <c r="E1740" s="190">
        <f>'2011'!G740</f>
        <v>0</v>
      </c>
      <c r="F1740" s="190">
        <f>'2011'!H740</f>
        <v>0</v>
      </c>
      <c r="G1740" s="190">
        <f>'2011'!I740</f>
        <v>0</v>
      </c>
    </row>
    <row r="1741" spans="1:7" ht="12.75" customHeight="1">
      <c r="A1741" s="190" t="str">
        <f>'2011'!C741</f>
        <v>Prämienverbilligung</v>
      </c>
      <c r="B1741" s="190">
        <f>'2011'!D741</f>
        <v>0</v>
      </c>
      <c r="C1741" s="190">
        <f>'2011'!E741</f>
        <v>0</v>
      </c>
      <c r="D1741" s="190">
        <f>'2011'!F741</f>
        <v>0</v>
      </c>
      <c r="E1741" s="190">
        <f>'2011'!G741</f>
        <v>0</v>
      </c>
      <c r="F1741" s="190">
        <f>'2011'!H741</f>
        <v>0</v>
      </c>
      <c r="G1741" s="190">
        <f>'2011'!I741</f>
        <v>0</v>
      </c>
    </row>
    <row r="1742" spans="1:7" ht="12.75" customHeight="1">
      <c r="A1742" s="190" t="str">
        <f>'2011'!C742</f>
        <v>Unfallversicherung</v>
      </c>
      <c r="B1742" s="190">
        <f>'2011'!D742</f>
        <v>0</v>
      </c>
      <c r="C1742" s="190">
        <f>'2011'!E742</f>
        <v>0</v>
      </c>
      <c r="D1742" s="190">
        <f>'2011'!F742</f>
        <v>0</v>
      </c>
      <c r="E1742" s="190">
        <f>'2011'!G742</f>
        <v>0</v>
      </c>
      <c r="F1742" s="190">
        <f>'2011'!H742</f>
        <v>0</v>
      </c>
      <c r="G1742" s="190">
        <f>'2011'!I742</f>
        <v>0</v>
      </c>
    </row>
    <row r="1743" spans="1:7" ht="12.75" customHeight="1">
      <c r="A1743" s="190" t="str">
        <f>'2011'!C743</f>
        <v>Militärversicherung</v>
      </c>
      <c r="B1743" s="190">
        <f>'2011'!D743</f>
        <v>0</v>
      </c>
      <c r="C1743" s="190">
        <f>'2011'!E743</f>
        <v>0</v>
      </c>
      <c r="D1743" s="190">
        <f>'2011'!F743</f>
        <v>0</v>
      </c>
      <c r="E1743" s="190">
        <f>'2011'!G743</f>
        <v>0</v>
      </c>
      <c r="F1743" s="190">
        <f>'2011'!H743</f>
        <v>0</v>
      </c>
      <c r="G1743" s="190">
        <f>'2011'!I743</f>
        <v>0</v>
      </c>
    </row>
    <row r="1744" spans="1:7" ht="12.75" customHeight="1">
      <c r="A1744" s="190" t="str">
        <f>'2011'!C744</f>
        <v>Invalidität</v>
      </c>
      <c r="B1744" s="190">
        <f>'2011'!D744</f>
        <v>0</v>
      </c>
      <c r="C1744" s="190">
        <f>'2011'!E744</f>
        <v>0</v>
      </c>
      <c r="D1744" s="190">
        <f>'2011'!F744</f>
        <v>0</v>
      </c>
      <c r="E1744" s="190">
        <f>'2011'!G744</f>
        <v>0</v>
      </c>
      <c r="F1744" s="190">
        <f>'2011'!H744</f>
        <v>1600732</v>
      </c>
      <c r="G1744" s="190">
        <f>'2011'!I744</f>
        <v>1600732</v>
      </c>
    </row>
    <row r="1745" spans="1:7" ht="12.75" customHeight="1">
      <c r="A1745" s="190" t="str">
        <f>'2011'!C745</f>
        <v>Invalidenversicherung IV</v>
      </c>
      <c r="B1745" s="190">
        <f>'2011'!D745</f>
        <v>0</v>
      </c>
      <c r="C1745" s="190">
        <f>'2011'!E745</f>
        <v>0</v>
      </c>
      <c r="D1745" s="190">
        <f>'2011'!F745</f>
        <v>0</v>
      </c>
      <c r="E1745" s="190">
        <f>'2011'!G745</f>
        <v>0</v>
      </c>
      <c r="F1745" s="190">
        <f>'2011'!H745</f>
        <v>0</v>
      </c>
      <c r="G1745" s="190">
        <f>'2011'!I745</f>
        <v>0</v>
      </c>
    </row>
    <row r="1746" spans="1:7" ht="12.75" customHeight="1">
      <c r="A1746" s="190" t="str">
        <f>'2011'!C746</f>
        <v>Ergänzungsleistungen IV</v>
      </c>
      <c r="B1746" s="190">
        <f>'2011'!D746</f>
        <v>0</v>
      </c>
      <c r="C1746" s="190">
        <f>'2011'!E746</f>
        <v>0</v>
      </c>
      <c r="D1746" s="190">
        <f>'2011'!F746</f>
        <v>0</v>
      </c>
      <c r="E1746" s="190">
        <f>'2011'!G746</f>
        <v>0</v>
      </c>
      <c r="F1746" s="190">
        <f>'2011'!H746</f>
        <v>0</v>
      </c>
      <c r="G1746" s="190">
        <f>'2011'!I746</f>
        <v>0</v>
      </c>
    </row>
    <row r="1747" spans="1:7" ht="12.75" customHeight="1">
      <c r="A1747" s="190" t="str">
        <f>'2011'!C747</f>
        <v>Invalidenheime</v>
      </c>
      <c r="B1747" s="190">
        <f>'2011'!D747</f>
        <v>0</v>
      </c>
      <c r="C1747" s="190">
        <f>'2011'!E747</f>
        <v>0</v>
      </c>
      <c r="D1747" s="190">
        <f>'2011'!F747</f>
        <v>0</v>
      </c>
      <c r="E1747" s="190">
        <f>'2011'!G747</f>
        <v>0</v>
      </c>
      <c r="F1747" s="190">
        <f>'2011'!H747</f>
        <v>1600732</v>
      </c>
      <c r="G1747" s="190">
        <f>'2011'!I747</f>
        <v>1600732</v>
      </c>
    </row>
    <row r="1748" spans="1:7" ht="12.75" customHeight="1">
      <c r="A1748" s="190" t="str">
        <f>'2011'!C748</f>
        <v>Leistungen an Invalide</v>
      </c>
      <c r="B1748" s="190">
        <f>'2011'!D748</f>
        <v>0</v>
      </c>
      <c r="C1748" s="190">
        <f>'2011'!E748</f>
        <v>0</v>
      </c>
      <c r="D1748" s="190">
        <f>'2011'!F748</f>
        <v>0</v>
      </c>
      <c r="E1748" s="190">
        <f>'2011'!G748</f>
        <v>0</v>
      </c>
      <c r="F1748" s="190">
        <f>'2011'!H748</f>
        <v>0</v>
      </c>
      <c r="G1748" s="190">
        <f>'2011'!I748</f>
        <v>0</v>
      </c>
    </row>
    <row r="1749" spans="1:7" ht="12.75" customHeight="1">
      <c r="A1749" s="190" t="str">
        <f>'2011'!C749</f>
        <v>Alter und Hinterlassene</v>
      </c>
      <c r="B1749" s="190">
        <f>'2011'!D749</f>
        <v>0</v>
      </c>
      <c r="C1749" s="190">
        <f>'2011'!E749</f>
        <v>0</v>
      </c>
      <c r="D1749" s="190">
        <f>'2011'!F749</f>
        <v>0</v>
      </c>
      <c r="E1749" s="190">
        <f>'2011'!G749</f>
        <v>0</v>
      </c>
      <c r="F1749" s="190">
        <f>'2011'!H749</f>
        <v>0</v>
      </c>
      <c r="G1749" s="190">
        <f>'2011'!I749</f>
        <v>0</v>
      </c>
    </row>
    <row r="1750" spans="1:7" ht="12.75" customHeight="1">
      <c r="A1750" s="190" t="str">
        <f>'2011'!C750</f>
        <v>Alters- u. Hinterlassenenversich.AHV</v>
      </c>
      <c r="B1750" s="190">
        <f>'2011'!D750</f>
        <v>0</v>
      </c>
      <c r="C1750" s="190">
        <f>'2011'!E750</f>
        <v>0</v>
      </c>
      <c r="D1750" s="190">
        <f>'2011'!F750</f>
        <v>0</v>
      </c>
      <c r="E1750" s="190">
        <f>'2011'!G750</f>
        <v>0</v>
      </c>
      <c r="F1750" s="190">
        <f>'2011'!H750</f>
        <v>0</v>
      </c>
      <c r="G1750" s="190">
        <f>'2011'!I750</f>
        <v>0</v>
      </c>
    </row>
    <row r="1751" spans="1:7" ht="12.75" customHeight="1">
      <c r="A1751" s="190" t="str">
        <f>'2011'!C751</f>
        <v>Ergänzungsleistungen AHV</v>
      </c>
      <c r="B1751" s="190">
        <f>'2011'!D751</f>
        <v>0</v>
      </c>
      <c r="C1751" s="190">
        <f>'2011'!E751</f>
        <v>0</v>
      </c>
      <c r="D1751" s="190">
        <f>'2011'!F751</f>
        <v>0</v>
      </c>
      <c r="E1751" s="190">
        <f>'2011'!G751</f>
        <v>0</v>
      </c>
      <c r="F1751" s="190">
        <f>'2011'!H751</f>
        <v>0</v>
      </c>
      <c r="G1751" s="190">
        <f>'2011'!I751</f>
        <v>0</v>
      </c>
    </row>
    <row r="1752" spans="1:7" ht="12.75" customHeight="1">
      <c r="A1752" s="190" t="str">
        <f>'2011'!C752</f>
        <v>Leistungen an Pensionierte</v>
      </c>
      <c r="B1752" s="190">
        <f>'2011'!D752</f>
        <v>0</v>
      </c>
      <c r="C1752" s="190">
        <f>'2011'!E752</f>
        <v>0</v>
      </c>
      <c r="D1752" s="190">
        <f>'2011'!F752</f>
        <v>0</v>
      </c>
      <c r="E1752" s="190">
        <f>'2011'!G752</f>
        <v>0</v>
      </c>
      <c r="F1752" s="190">
        <f>'2011'!H752</f>
        <v>0</v>
      </c>
      <c r="G1752" s="190">
        <f>'2011'!I752</f>
        <v>0</v>
      </c>
    </row>
    <row r="1753" spans="1:7" ht="12.75" customHeight="1">
      <c r="A1753" s="190" t="str">
        <f>'2011'!C753</f>
        <v>Alterswohnungen</v>
      </c>
      <c r="B1753" s="190">
        <f>'2011'!D753</f>
        <v>0</v>
      </c>
      <c r="C1753" s="190">
        <f>'2011'!E753</f>
        <v>0</v>
      </c>
      <c r="D1753" s="190">
        <f>'2011'!F753</f>
        <v>0</v>
      </c>
      <c r="E1753" s="190">
        <f>'2011'!G753</f>
        <v>0</v>
      </c>
      <c r="F1753" s="190">
        <f>'2011'!H753</f>
        <v>0</v>
      </c>
      <c r="G1753" s="190">
        <f>'2011'!I753</f>
        <v>0</v>
      </c>
    </row>
    <row r="1754" spans="1:7" ht="12.75" customHeight="1">
      <c r="A1754" s="190" t="str">
        <f>'2011'!C754</f>
        <v>Leistungen an Alter</v>
      </c>
      <c r="B1754" s="190">
        <f>'2011'!D754</f>
        <v>0</v>
      </c>
      <c r="C1754" s="190">
        <f>'2011'!E754</f>
        <v>0</v>
      </c>
      <c r="D1754" s="190">
        <f>'2011'!F754</f>
        <v>0</v>
      </c>
      <c r="E1754" s="190">
        <f>'2011'!G754</f>
        <v>0</v>
      </c>
      <c r="F1754" s="190">
        <f>'2011'!H754</f>
        <v>0</v>
      </c>
      <c r="G1754" s="190">
        <f>'2011'!I754</f>
        <v>0</v>
      </c>
    </row>
    <row r="1755" spans="1:7" ht="12.75" customHeight="1">
      <c r="A1755" s="190" t="str">
        <f>'2011'!C755</f>
        <v>Familie und Jugend</v>
      </c>
      <c r="B1755" s="190">
        <f>'2011'!D755</f>
        <v>0</v>
      </c>
      <c r="C1755" s="190">
        <f>'2011'!E755</f>
        <v>0</v>
      </c>
      <c r="D1755" s="190">
        <f>'2011'!F755</f>
        <v>0</v>
      </c>
      <c r="E1755" s="190">
        <f>'2011'!G755</f>
        <v>0</v>
      </c>
      <c r="F1755" s="190">
        <f>'2011'!H755</f>
        <v>0</v>
      </c>
      <c r="G1755" s="190">
        <f>'2011'!I755</f>
        <v>0</v>
      </c>
    </row>
    <row r="1756" spans="1:7" ht="12.75" customHeight="1">
      <c r="A1756" s="190" t="str">
        <f>'2011'!C756</f>
        <v>Familienzulagen</v>
      </c>
      <c r="B1756" s="190">
        <f>'2011'!D756</f>
        <v>0</v>
      </c>
      <c r="C1756" s="190">
        <f>'2011'!E756</f>
        <v>0</v>
      </c>
      <c r="D1756" s="190">
        <f>'2011'!F756</f>
        <v>0</v>
      </c>
      <c r="E1756" s="190">
        <f>'2011'!G756</f>
        <v>0</v>
      </c>
      <c r="F1756" s="190">
        <f>'2011'!H756</f>
        <v>0</v>
      </c>
      <c r="G1756" s="190">
        <f>'2011'!I756</f>
        <v>0</v>
      </c>
    </row>
    <row r="1757" spans="1:7" ht="12.75" customHeight="1">
      <c r="A1757" s="190" t="str">
        <f>'2011'!C757</f>
        <v>Mutterschaftsversicherung</v>
      </c>
      <c r="B1757" s="190">
        <f>'2011'!D757</f>
        <v>0</v>
      </c>
      <c r="C1757" s="190">
        <f>'2011'!E757</f>
        <v>0</v>
      </c>
      <c r="D1757" s="190">
        <f>'2011'!F757</f>
        <v>0</v>
      </c>
      <c r="E1757" s="190">
        <f>'2011'!G757</f>
        <v>0</v>
      </c>
      <c r="F1757" s="190">
        <f>'2011'!H757</f>
        <v>0</v>
      </c>
      <c r="G1757" s="190">
        <f>'2011'!I757</f>
        <v>0</v>
      </c>
    </row>
    <row r="1758" spans="1:7" ht="12.75" customHeight="1">
      <c r="A1758" s="190" t="str">
        <f>'2011'!C758</f>
        <v>Alimentenbevorschussund u. -Inkasso</v>
      </c>
      <c r="B1758" s="190">
        <f>'2011'!D758</f>
        <v>0</v>
      </c>
      <c r="C1758" s="190">
        <f>'2011'!E758</f>
        <v>0</v>
      </c>
      <c r="D1758" s="190">
        <f>'2011'!F758</f>
        <v>0</v>
      </c>
      <c r="E1758" s="190">
        <f>'2011'!G758</f>
        <v>0</v>
      </c>
      <c r="F1758" s="190">
        <f>'2011'!H758</f>
        <v>0</v>
      </c>
      <c r="G1758" s="190">
        <f>'2011'!I758</f>
        <v>0</v>
      </c>
    </row>
    <row r="1759" spans="1:7" ht="12.75" customHeight="1">
      <c r="A1759" s="190" t="str">
        <f>'2011'!C759</f>
        <v>Jugendschutz (allgemein)</v>
      </c>
      <c r="B1759" s="190">
        <f>'2011'!D759</f>
        <v>0</v>
      </c>
      <c r="C1759" s="190">
        <f>'2011'!E759</f>
        <v>0</v>
      </c>
      <c r="D1759" s="190">
        <f>'2011'!F759</f>
        <v>0</v>
      </c>
      <c r="E1759" s="190">
        <f>'2011'!G759</f>
        <v>0</v>
      </c>
      <c r="F1759" s="190">
        <f>'2011'!H759</f>
        <v>0</v>
      </c>
      <c r="G1759" s="190">
        <f>'2011'!I759</f>
        <v>0</v>
      </c>
    </row>
    <row r="1760" spans="1:7" ht="12.75" customHeight="1">
      <c r="A1760" s="190" t="str">
        <f>'2011'!C760</f>
        <v>Kinder- und Jugenheime</v>
      </c>
      <c r="B1760" s="190">
        <f>'2011'!D760</f>
        <v>0</v>
      </c>
      <c r="C1760" s="190">
        <f>'2011'!E760</f>
        <v>0</v>
      </c>
      <c r="D1760" s="190">
        <f>'2011'!F760</f>
        <v>0</v>
      </c>
      <c r="E1760" s="190">
        <f>'2011'!G760</f>
        <v>0</v>
      </c>
      <c r="F1760" s="190">
        <f>'2011'!H760</f>
        <v>0</v>
      </c>
      <c r="G1760" s="190">
        <f>'2011'!I760</f>
        <v>0</v>
      </c>
    </row>
    <row r="1761" spans="1:7" ht="12.75" customHeight="1">
      <c r="A1761" s="190" t="str">
        <f>'2011'!C761</f>
        <v>Leistungen an Familien (allgemein)</v>
      </c>
      <c r="B1761" s="190">
        <f>'2011'!D761</f>
        <v>0</v>
      </c>
      <c r="C1761" s="190">
        <f>'2011'!E761</f>
        <v>0</v>
      </c>
      <c r="D1761" s="190">
        <f>'2011'!F761</f>
        <v>0</v>
      </c>
      <c r="E1761" s="190">
        <f>'2011'!G761</f>
        <v>0</v>
      </c>
      <c r="F1761" s="190">
        <f>'2011'!H761</f>
        <v>0</v>
      </c>
      <c r="G1761" s="190">
        <f>'2011'!I761</f>
        <v>0</v>
      </c>
    </row>
    <row r="1762" spans="1:7" ht="12.75" customHeight="1">
      <c r="A1762" s="190" t="str">
        <f>'2011'!C762</f>
        <v>Kinderkrippen und Kinderhorte</v>
      </c>
      <c r="B1762" s="190">
        <f>'2011'!D762</f>
        <v>0</v>
      </c>
      <c r="C1762" s="190">
        <f>'2011'!E762</f>
        <v>0</v>
      </c>
      <c r="D1762" s="190">
        <f>'2011'!F762</f>
        <v>0</v>
      </c>
      <c r="E1762" s="190">
        <f>'2011'!G762</f>
        <v>0</v>
      </c>
      <c r="F1762" s="190">
        <f>'2011'!H762</f>
        <v>0</v>
      </c>
      <c r="G1762" s="190">
        <f>'2011'!I762</f>
        <v>0</v>
      </c>
    </row>
    <row r="1763" spans="1:7" ht="12.75" customHeight="1">
      <c r="A1763" s="190" t="str">
        <f>'2011'!C763</f>
        <v>Arbeitslosigkeit</v>
      </c>
      <c r="B1763" s="190">
        <f>'2011'!D763</f>
        <v>0</v>
      </c>
      <c r="C1763" s="190">
        <f>'2011'!E763</f>
        <v>0</v>
      </c>
      <c r="D1763" s="190">
        <f>'2011'!F763</f>
        <v>0</v>
      </c>
      <c r="E1763" s="190">
        <f>'2011'!G763</f>
        <v>0</v>
      </c>
      <c r="F1763" s="190">
        <f>'2011'!H763</f>
        <v>0</v>
      </c>
      <c r="G1763" s="190">
        <f>'2011'!I763</f>
        <v>0</v>
      </c>
    </row>
    <row r="1764" spans="1:7" ht="12.75" customHeight="1">
      <c r="A1764" s="190" t="str">
        <f>'2011'!C764</f>
        <v>Arbeitslosenversicherung</v>
      </c>
      <c r="B1764" s="190">
        <f>'2011'!D764</f>
        <v>0</v>
      </c>
      <c r="C1764" s="190">
        <f>'2011'!E764</f>
        <v>0</v>
      </c>
      <c r="D1764" s="190">
        <f>'2011'!F764</f>
        <v>0</v>
      </c>
      <c r="E1764" s="190">
        <f>'2011'!G764</f>
        <v>0</v>
      </c>
      <c r="F1764" s="190">
        <f>'2011'!H764</f>
        <v>0</v>
      </c>
      <c r="G1764" s="190">
        <f>'2011'!I764</f>
        <v>0</v>
      </c>
    </row>
    <row r="1765" spans="1:7" ht="12.75" customHeight="1">
      <c r="A1765" s="190" t="str">
        <f>'2011'!C765</f>
        <v>Leistungen Arbeitslose</v>
      </c>
      <c r="B1765" s="190">
        <f>'2011'!D765</f>
        <v>0</v>
      </c>
      <c r="C1765" s="190">
        <f>'2011'!E765</f>
        <v>0</v>
      </c>
      <c r="D1765" s="190">
        <f>'2011'!F765</f>
        <v>0</v>
      </c>
      <c r="E1765" s="190">
        <f>'2011'!G765</f>
        <v>0</v>
      </c>
      <c r="F1765" s="190">
        <f>'2011'!H765</f>
        <v>0</v>
      </c>
      <c r="G1765" s="190">
        <f>'2011'!I765</f>
        <v>0</v>
      </c>
    </row>
    <row r="1766" spans="1:7" ht="12.75" customHeight="1">
      <c r="A1766" s="190" t="str">
        <f>'2011'!C766</f>
        <v>Arbeitslosigkeit n.a.g.</v>
      </c>
      <c r="B1766" s="190">
        <f>'2011'!D766</f>
        <v>0</v>
      </c>
      <c r="C1766" s="190">
        <f>'2011'!E766</f>
        <v>0</v>
      </c>
      <c r="D1766" s="190">
        <f>'2011'!F766</f>
        <v>0</v>
      </c>
      <c r="E1766" s="190">
        <f>'2011'!G766</f>
        <v>0</v>
      </c>
      <c r="F1766" s="190">
        <f>'2011'!H766</f>
        <v>0</v>
      </c>
      <c r="G1766" s="190">
        <f>'2011'!I766</f>
        <v>0</v>
      </c>
    </row>
    <row r="1767" spans="1:7" ht="12.75" customHeight="1">
      <c r="A1767" s="190" t="str">
        <f>'2011'!C767</f>
        <v>Soziales Wohnungswesen</v>
      </c>
      <c r="B1767" s="190">
        <f>'2011'!D767</f>
        <v>0</v>
      </c>
      <c r="C1767" s="190">
        <f>'2011'!E767</f>
        <v>0</v>
      </c>
      <c r="D1767" s="190">
        <f>'2011'!F767</f>
        <v>0</v>
      </c>
      <c r="E1767" s="190">
        <f>'2011'!G767</f>
        <v>0</v>
      </c>
      <c r="F1767" s="190">
        <f>'2011'!H767</f>
        <v>0</v>
      </c>
      <c r="G1767" s="190">
        <f>'2011'!I767</f>
        <v>0</v>
      </c>
    </row>
    <row r="1768" spans="1:7" ht="12.75" customHeight="1">
      <c r="A1768" s="190" t="str">
        <f>'2011'!C768</f>
        <v>Soziales Wohnungswesen</v>
      </c>
      <c r="B1768" s="190">
        <f>'2011'!D768</f>
        <v>0</v>
      </c>
      <c r="C1768" s="190">
        <f>'2011'!E768</f>
        <v>0</v>
      </c>
      <c r="D1768" s="190">
        <f>'2011'!F768</f>
        <v>0</v>
      </c>
      <c r="E1768" s="190">
        <f>'2011'!G768</f>
        <v>0</v>
      </c>
      <c r="F1768" s="190">
        <f>'2011'!H768</f>
        <v>0</v>
      </c>
      <c r="G1768" s="190">
        <f>'2011'!I768</f>
        <v>0</v>
      </c>
    </row>
    <row r="1769" spans="1:7" ht="12.75" customHeight="1">
      <c r="A1769" s="190" t="str">
        <f>'2011'!C769</f>
        <v>Sozialhilfe und Asylwesen</v>
      </c>
      <c r="B1769" s="190">
        <f>'2011'!D769</f>
        <v>0</v>
      </c>
      <c r="C1769" s="190">
        <f>'2011'!E769</f>
        <v>0</v>
      </c>
      <c r="D1769" s="190">
        <f>'2011'!F769</f>
        <v>0</v>
      </c>
      <c r="E1769" s="190">
        <f>'2011'!G769</f>
        <v>0</v>
      </c>
      <c r="F1769" s="190">
        <f>'2011'!H769</f>
        <v>199178</v>
      </c>
      <c r="G1769" s="190">
        <f>'2011'!I769</f>
        <v>199178</v>
      </c>
    </row>
    <row r="1770" spans="1:7" ht="12.75" customHeight="1">
      <c r="A1770" s="190" t="str">
        <f>'2011'!C770</f>
        <v>Beihilfen</v>
      </c>
      <c r="B1770" s="190">
        <f>'2011'!D770</f>
        <v>0</v>
      </c>
      <c r="C1770" s="190">
        <f>'2011'!E770</f>
        <v>0</v>
      </c>
      <c r="D1770" s="190">
        <f>'2011'!F770</f>
        <v>0</v>
      </c>
      <c r="E1770" s="190">
        <f>'2011'!G770</f>
        <v>0</v>
      </c>
      <c r="F1770" s="190">
        <f>'2011'!H770</f>
        <v>0</v>
      </c>
      <c r="G1770" s="190">
        <f>'2011'!I770</f>
        <v>0</v>
      </c>
    </row>
    <row r="1771" spans="1:7" ht="12.75" customHeight="1">
      <c r="A1771" s="190" t="str">
        <f>'2011'!C771</f>
        <v>Wirtschaftliche Hilfe</v>
      </c>
      <c r="B1771" s="190">
        <f>'2011'!D771</f>
        <v>0</v>
      </c>
      <c r="C1771" s="190">
        <f>'2011'!E771</f>
        <v>0</v>
      </c>
      <c r="D1771" s="190">
        <f>'2011'!F771</f>
        <v>0</v>
      </c>
      <c r="E1771" s="190">
        <f>'2011'!G771</f>
        <v>0</v>
      </c>
      <c r="F1771" s="190">
        <f>'2011'!H771</f>
        <v>0</v>
      </c>
      <c r="G1771" s="190">
        <f>'2011'!I771</f>
        <v>0</v>
      </c>
    </row>
    <row r="1772" spans="1:7" ht="12.75" customHeight="1">
      <c r="A1772" s="190" t="str">
        <f>'2011'!C772</f>
        <v>Freiwillige wirtschaftliche Hilfe</v>
      </c>
      <c r="B1772" s="190">
        <f>'2011'!D772</f>
        <v>0</v>
      </c>
      <c r="C1772" s="190">
        <f>'2011'!E772</f>
        <v>0</v>
      </c>
      <c r="D1772" s="190">
        <f>'2011'!F772</f>
        <v>0</v>
      </c>
      <c r="E1772" s="190">
        <f>'2011'!G772</f>
        <v>0</v>
      </c>
      <c r="F1772" s="190">
        <f>'2011'!H772</f>
        <v>0</v>
      </c>
      <c r="G1772" s="190">
        <f>'2011'!I772</f>
        <v>0</v>
      </c>
    </row>
    <row r="1773" spans="1:7" ht="12.75" customHeight="1">
      <c r="A1773" s="190" t="str">
        <f>'2011'!C773</f>
        <v>Asylwesen</v>
      </c>
      <c r="B1773" s="190">
        <f>'2011'!D773</f>
        <v>0</v>
      </c>
      <c r="C1773" s="190">
        <f>'2011'!E773</f>
        <v>0</v>
      </c>
      <c r="D1773" s="190">
        <f>'2011'!F773</f>
        <v>0</v>
      </c>
      <c r="E1773" s="190">
        <f>'2011'!G773</f>
        <v>0</v>
      </c>
      <c r="F1773" s="190">
        <f>'2011'!H773</f>
        <v>0</v>
      </c>
      <c r="G1773" s="190">
        <f>'2011'!I773</f>
        <v>0</v>
      </c>
    </row>
    <row r="1774" spans="1:7" ht="12.75" customHeight="1">
      <c r="A1774" s="190" t="str">
        <f>'2011'!C774</f>
        <v>Fürsorge, n.a.g.</v>
      </c>
      <c r="B1774" s="190">
        <f>'2011'!D774</f>
        <v>0</v>
      </c>
      <c r="C1774" s="190">
        <f>'2011'!E774</f>
        <v>0</v>
      </c>
      <c r="D1774" s="190">
        <f>'2011'!F774</f>
        <v>0</v>
      </c>
      <c r="E1774" s="190">
        <f>'2011'!G774</f>
        <v>0</v>
      </c>
      <c r="F1774" s="190">
        <f>'2011'!H774</f>
        <v>199178</v>
      </c>
      <c r="G1774" s="190">
        <f>'2011'!I774</f>
        <v>199178</v>
      </c>
    </row>
    <row r="1775" spans="1:7" ht="12.75" customHeight="1">
      <c r="A1775" s="190" t="str">
        <f>'2011'!C775</f>
        <v>F&amp;E in soziale Wohlfahrt</v>
      </c>
      <c r="B1775" s="190">
        <f>'2011'!D775</f>
        <v>0</v>
      </c>
      <c r="C1775" s="190">
        <f>'2011'!E775</f>
        <v>0</v>
      </c>
      <c r="D1775" s="190">
        <f>'2011'!F775</f>
        <v>0</v>
      </c>
      <c r="E1775" s="190">
        <f>'2011'!G775</f>
        <v>0</v>
      </c>
      <c r="F1775" s="190">
        <f>'2011'!H775</f>
        <v>0</v>
      </c>
      <c r="G1775" s="190">
        <f>'2011'!I775</f>
        <v>0</v>
      </c>
    </row>
    <row r="1776" spans="1:7" ht="12.75" customHeight="1">
      <c r="A1776" s="190" t="str">
        <f>'2011'!C776</f>
        <v>F&amp;E in soziale Wohlfahrt</v>
      </c>
      <c r="B1776" s="190">
        <f>'2011'!D776</f>
        <v>0</v>
      </c>
      <c r="C1776" s="190">
        <f>'2011'!E776</f>
        <v>0</v>
      </c>
      <c r="D1776" s="190">
        <f>'2011'!F776</f>
        <v>0</v>
      </c>
      <c r="E1776" s="190">
        <f>'2011'!G776</f>
        <v>0</v>
      </c>
      <c r="F1776" s="190">
        <f>'2011'!H776</f>
        <v>0</v>
      </c>
      <c r="G1776" s="190">
        <f>'2011'!I776</f>
        <v>0</v>
      </c>
    </row>
    <row r="1777" spans="1:7" ht="12.75" customHeight="1">
      <c r="A1777" s="190" t="str">
        <f>'2011'!C777</f>
        <v>Soziale Wohlfahrt n.a.g.</v>
      </c>
      <c r="B1777" s="190">
        <f>'2011'!D777</f>
        <v>0</v>
      </c>
      <c r="C1777" s="190">
        <f>'2011'!E777</f>
        <v>0</v>
      </c>
      <c r="D1777" s="190">
        <f>'2011'!F777</f>
        <v>0</v>
      </c>
      <c r="E1777" s="190">
        <f>'2011'!G777</f>
        <v>0</v>
      </c>
      <c r="F1777" s="190">
        <f>'2011'!H777</f>
        <v>0</v>
      </c>
      <c r="G1777" s="190">
        <f>'2011'!I777</f>
        <v>0</v>
      </c>
    </row>
    <row r="1778" spans="1:7" ht="12.75" customHeight="1">
      <c r="A1778" s="190" t="str">
        <f>'2011'!C778</f>
        <v>Erwerbsatzodnung</v>
      </c>
      <c r="B1778" s="190">
        <f>'2011'!D778</f>
        <v>0</v>
      </c>
      <c r="C1778" s="190">
        <f>'2011'!E778</f>
        <v>0</v>
      </c>
      <c r="D1778" s="190">
        <f>'2011'!F778</f>
        <v>0</v>
      </c>
      <c r="E1778" s="190">
        <f>'2011'!G778</f>
        <v>0</v>
      </c>
      <c r="F1778" s="190">
        <f>'2011'!H778</f>
        <v>0</v>
      </c>
      <c r="G1778" s="190">
        <f>'2011'!I778</f>
        <v>0</v>
      </c>
    </row>
    <row r="1779" spans="1:7" ht="12.75" customHeight="1">
      <c r="A1779" s="190" t="str">
        <f>'2011'!C779</f>
        <v>Hilfsaktionen im Inland</v>
      </c>
      <c r="B1779" s="190">
        <f>'2011'!D779</f>
        <v>0</v>
      </c>
      <c r="C1779" s="190">
        <f>'2011'!E779</f>
        <v>0</v>
      </c>
      <c r="D1779" s="190">
        <f>'2011'!F779</f>
        <v>0</v>
      </c>
      <c r="E1779" s="190">
        <f>'2011'!G779</f>
        <v>0</v>
      </c>
      <c r="F1779" s="190">
        <f>'2011'!H779</f>
        <v>0</v>
      </c>
      <c r="G1779" s="190">
        <f>'2011'!I779</f>
        <v>0</v>
      </c>
    </row>
    <row r="1780" spans="1:7" ht="12.75" customHeight="1">
      <c r="A1780" s="190" t="str">
        <f>'2011'!C780</f>
        <v>Hilfsaktionen im Ausland</v>
      </c>
      <c r="B1780" s="190">
        <f>'2011'!D780</f>
        <v>0</v>
      </c>
      <c r="C1780" s="190">
        <f>'2011'!E780</f>
        <v>0</v>
      </c>
      <c r="D1780" s="190">
        <f>'2011'!F780</f>
        <v>0</v>
      </c>
      <c r="E1780" s="190">
        <f>'2011'!G780</f>
        <v>0</v>
      </c>
      <c r="F1780" s="190">
        <f>'2011'!H780</f>
        <v>0</v>
      </c>
      <c r="G1780" s="190">
        <f>'2011'!I780</f>
        <v>0</v>
      </c>
    </row>
    <row r="1781" spans="1:7" ht="12.75" customHeight="1">
      <c r="A1781" s="190" t="str">
        <f>'2011'!C781</f>
        <v>VERKEHR</v>
      </c>
      <c r="B1781" s="190">
        <f>'2011'!D781</f>
        <v>1385433.1</v>
      </c>
      <c r="C1781" s="190">
        <f>'2011'!E781</f>
        <v>300254.6</v>
      </c>
      <c r="D1781" s="190">
        <f>'2011'!F781</f>
        <v>751130.55</v>
      </c>
      <c r="E1781" s="190">
        <f>'2011'!G781</f>
        <v>2436818.25</v>
      </c>
      <c r="F1781" s="190">
        <f>'2011'!H781</f>
        <v>-1427526</v>
      </c>
      <c r="G1781" s="190">
        <f>'2011'!I781</f>
        <v>1009292.25</v>
      </c>
    </row>
    <row r="1782" spans="1:7" ht="12.75" customHeight="1">
      <c r="A1782" s="190" t="str">
        <f>'2011'!C782</f>
        <v>Strassenverkehr</v>
      </c>
      <c r="B1782" s="190">
        <f>'2011'!D782</f>
        <v>1385433.1</v>
      </c>
      <c r="C1782" s="190">
        <f>'2011'!E782</f>
        <v>300254.6</v>
      </c>
      <c r="D1782" s="190">
        <f>'2011'!F782</f>
        <v>751130.55</v>
      </c>
      <c r="E1782" s="190">
        <f>'2011'!G782</f>
        <v>2436818.25</v>
      </c>
      <c r="F1782" s="190">
        <f>'2011'!H782</f>
        <v>-1924523</v>
      </c>
      <c r="G1782" s="190">
        <f>'2011'!I782</f>
        <v>512295.25</v>
      </c>
    </row>
    <row r="1783" spans="1:7" ht="12.75" customHeight="1">
      <c r="A1783" s="190" t="str">
        <f>'2011'!C783</f>
        <v>Natioanlstrasse</v>
      </c>
      <c r="B1783" s="190">
        <f>'2011'!D783</f>
        <v>0</v>
      </c>
      <c r="C1783" s="190">
        <f>'2011'!E783</f>
        <v>0</v>
      </c>
      <c r="D1783" s="190">
        <f>'2011'!F783</f>
        <v>0</v>
      </c>
      <c r="E1783" s="190">
        <f>'2011'!G783</f>
        <v>0</v>
      </c>
      <c r="F1783" s="190">
        <f>'2011'!H783</f>
        <v>0</v>
      </c>
      <c r="G1783" s="190">
        <f>'2011'!I783</f>
        <v>0</v>
      </c>
    </row>
    <row r="1784" spans="1:7" ht="12.75" customHeight="1">
      <c r="A1784" s="190" t="str">
        <f>'2011'!C784</f>
        <v>Hauptstrasse nach Bundesrecht</v>
      </c>
      <c r="B1784" s="190">
        <f>'2011'!D784</f>
        <v>0</v>
      </c>
      <c r="C1784" s="190">
        <f>'2011'!E784</f>
        <v>0</v>
      </c>
      <c r="D1784" s="190">
        <f>'2011'!F784</f>
        <v>0</v>
      </c>
      <c r="E1784" s="190">
        <f>'2011'!G784</f>
        <v>0</v>
      </c>
      <c r="F1784" s="190">
        <f>'2011'!H784</f>
        <v>0</v>
      </c>
      <c r="G1784" s="190">
        <f>'2011'!I784</f>
        <v>0</v>
      </c>
    </row>
    <row r="1785" spans="1:7" ht="12.75" customHeight="1">
      <c r="A1785" s="190" t="str">
        <f>'2011'!C785</f>
        <v>Kantonsstrassen, übrige</v>
      </c>
      <c r="B1785" s="190">
        <f>'2011'!D785</f>
        <v>171507.95</v>
      </c>
      <c r="C1785" s="190">
        <f>'2011'!E785</f>
        <v>51311.9</v>
      </c>
      <c r="D1785" s="190">
        <f>'2011'!F785</f>
        <v>406378.4</v>
      </c>
      <c r="E1785" s="190">
        <f>'2011'!G785</f>
        <v>629198.25</v>
      </c>
      <c r="F1785" s="190">
        <f>'2011'!H785</f>
        <v>-1994640</v>
      </c>
      <c r="G1785" s="190">
        <f>'2011'!I785</f>
        <v>-1365441.75</v>
      </c>
    </row>
    <row r="1786" spans="1:7" ht="12.75" customHeight="1">
      <c r="A1786" s="190" t="str">
        <f>'2011'!C786</f>
        <v>Gemeindestrassen</v>
      </c>
      <c r="B1786" s="190">
        <f>'2011'!D786</f>
        <v>747187.6</v>
      </c>
      <c r="C1786" s="190">
        <f>'2011'!E786</f>
        <v>86499.7</v>
      </c>
      <c r="D1786" s="190">
        <f>'2011'!F786</f>
        <v>344752.15</v>
      </c>
      <c r="E1786" s="190">
        <f>'2011'!G786</f>
        <v>1178439.45</v>
      </c>
      <c r="F1786" s="190">
        <f>'2011'!H786</f>
        <v>70117</v>
      </c>
      <c r="G1786" s="190">
        <f>'2011'!I786</f>
        <v>1248556.45</v>
      </c>
    </row>
    <row r="1787" spans="1:7" ht="12.75" customHeight="1">
      <c r="A1787" s="190" t="str">
        <f>'2011'!C787</f>
        <v>Privatstrassen</v>
      </c>
      <c r="B1787" s="190">
        <f>'2011'!D787</f>
        <v>0</v>
      </c>
      <c r="C1787" s="190">
        <f>'2011'!E787</f>
        <v>0</v>
      </c>
      <c r="D1787" s="190">
        <f>'2011'!F787</f>
        <v>0</v>
      </c>
      <c r="E1787" s="190">
        <f>'2011'!G787</f>
        <v>0</v>
      </c>
      <c r="F1787" s="190">
        <f>'2011'!H787</f>
        <v>0</v>
      </c>
      <c r="G1787" s="190">
        <f>'2011'!I787</f>
        <v>0</v>
      </c>
    </row>
    <row r="1788" spans="1:7" ht="12.75" customHeight="1">
      <c r="A1788" s="190" t="str">
        <f>'2011'!C788</f>
        <v>Strassen n.a.g.</v>
      </c>
      <c r="B1788" s="190">
        <f>'2011'!D788</f>
        <v>466737.55</v>
      </c>
      <c r="C1788" s="190">
        <f>'2011'!E788</f>
        <v>162443</v>
      </c>
      <c r="D1788" s="190">
        <f>'2011'!F788</f>
        <v>0</v>
      </c>
      <c r="E1788" s="190">
        <f>'2011'!G788</f>
        <v>629180.55</v>
      </c>
      <c r="F1788" s="190">
        <f>'2011'!H788</f>
        <v>0</v>
      </c>
      <c r="G1788" s="190">
        <f>'2011'!I788</f>
        <v>629180.55</v>
      </c>
    </row>
    <row r="1789" spans="1:7" ht="12.75" customHeight="1">
      <c r="A1789" s="190" t="str">
        <f>'2011'!C789</f>
        <v>Öffentlicher Verkehr</v>
      </c>
      <c r="B1789" s="190">
        <f>'2011'!D789</f>
        <v>0</v>
      </c>
      <c r="C1789" s="190">
        <f>'2011'!E789</f>
        <v>0</v>
      </c>
      <c r="D1789" s="190">
        <f>'2011'!F789</f>
        <v>0</v>
      </c>
      <c r="E1789" s="190">
        <f>'2011'!G789</f>
        <v>0</v>
      </c>
      <c r="F1789" s="190">
        <f>'2011'!H789</f>
        <v>496997</v>
      </c>
      <c r="G1789" s="190">
        <f>'2011'!I789</f>
        <v>496997</v>
      </c>
    </row>
    <row r="1790" spans="1:7" ht="12.75" customHeight="1">
      <c r="A1790" s="190" t="str">
        <f>'2011'!C790</f>
        <v>Bahninfrastruktur</v>
      </c>
      <c r="B1790" s="190">
        <f>'2011'!D790</f>
        <v>0</v>
      </c>
      <c r="C1790" s="190">
        <f>'2011'!E790</f>
        <v>0</v>
      </c>
      <c r="D1790" s="190">
        <f>'2011'!F790</f>
        <v>0</v>
      </c>
      <c r="E1790" s="190">
        <f>'2011'!G790</f>
        <v>0</v>
      </c>
      <c r="F1790" s="190">
        <f>'2011'!H790</f>
        <v>0</v>
      </c>
      <c r="G1790" s="190">
        <f>'2011'!I790</f>
        <v>0</v>
      </c>
    </row>
    <row r="1791" spans="1:7" ht="12.75" customHeight="1">
      <c r="A1791" s="190" t="str">
        <f>'2011'!C791</f>
        <v>Regionalverkehr</v>
      </c>
      <c r="B1791" s="190">
        <f>'2011'!D791</f>
        <v>0</v>
      </c>
      <c r="C1791" s="190">
        <f>'2011'!E791</f>
        <v>0</v>
      </c>
      <c r="D1791" s="190">
        <f>'2011'!F791</f>
        <v>0</v>
      </c>
      <c r="E1791" s="190">
        <f>'2011'!G791</f>
        <v>0</v>
      </c>
      <c r="F1791" s="190">
        <f>'2011'!H791</f>
        <v>0</v>
      </c>
      <c r="G1791" s="190">
        <f>'2011'!I791</f>
        <v>0</v>
      </c>
    </row>
    <row r="1792" spans="1:7" ht="12.75" customHeight="1">
      <c r="A1792" s="190" t="str">
        <f>'2011'!C792</f>
        <v>Agglomerationsverkehr</v>
      </c>
      <c r="B1792" s="190">
        <f>'2011'!D792</f>
        <v>0</v>
      </c>
      <c r="C1792" s="190">
        <f>'2011'!E792</f>
        <v>0</v>
      </c>
      <c r="D1792" s="190">
        <f>'2011'!F792</f>
        <v>0</v>
      </c>
      <c r="E1792" s="190">
        <f>'2011'!G792</f>
        <v>0</v>
      </c>
      <c r="F1792" s="190">
        <f>'2011'!H792</f>
        <v>0</v>
      </c>
      <c r="G1792" s="190">
        <f>'2011'!I792</f>
        <v>0</v>
      </c>
    </row>
    <row r="1793" spans="1:7" ht="12.75" customHeight="1">
      <c r="A1793" s="190" t="str">
        <f>'2011'!C793</f>
        <v>Öffentlicher Verkehr n.a.g.</v>
      </c>
      <c r="B1793" s="190">
        <f>'2011'!D793</f>
        <v>0</v>
      </c>
      <c r="C1793" s="190">
        <f>'2011'!E793</f>
        <v>0</v>
      </c>
      <c r="D1793" s="190">
        <f>'2011'!F793</f>
        <v>0</v>
      </c>
      <c r="E1793" s="190">
        <f>'2011'!G793</f>
        <v>0</v>
      </c>
      <c r="F1793" s="190">
        <f>'2011'!H793</f>
        <v>496997</v>
      </c>
      <c r="G1793" s="190">
        <f>'2011'!I793</f>
        <v>496997</v>
      </c>
    </row>
    <row r="1794" spans="1:7" ht="12.75" customHeight="1">
      <c r="A1794" s="190" t="str">
        <f>'2011'!C794</f>
        <v>Verkehr, übrige</v>
      </c>
      <c r="B1794" s="190">
        <f>'2011'!D794</f>
        <v>0</v>
      </c>
      <c r="C1794" s="190">
        <f>'2011'!E794</f>
        <v>0</v>
      </c>
      <c r="D1794" s="190">
        <f>'2011'!F794</f>
        <v>0</v>
      </c>
      <c r="E1794" s="190">
        <f>'2011'!G794</f>
        <v>0</v>
      </c>
      <c r="F1794" s="190">
        <f>'2011'!H794</f>
        <v>0</v>
      </c>
      <c r="G1794" s="190">
        <f>'2011'!I794</f>
        <v>0</v>
      </c>
    </row>
    <row r="1795" spans="1:7" ht="12.75" customHeight="1">
      <c r="A1795" s="190" t="str">
        <f>'2011'!C795</f>
        <v>Schifffahrt</v>
      </c>
      <c r="B1795" s="190">
        <f>'2011'!D795</f>
        <v>0</v>
      </c>
      <c r="C1795" s="190">
        <f>'2011'!E795</f>
        <v>0</v>
      </c>
      <c r="D1795" s="190">
        <f>'2011'!F795</f>
        <v>0</v>
      </c>
      <c r="E1795" s="190">
        <f>'2011'!G795</f>
        <v>0</v>
      </c>
      <c r="F1795" s="190">
        <f>'2011'!H795</f>
        <v>0</v>
      </c>
      <c r="G1795" s="190">
        <f>'2011'!I795</f>
        <v>0</v>
      </c>
    </row>
    <row r="1796" spans="1:7" ht="12.75" customHeight="1">
      <c r="A1796" s="190" t="str">
        <f>'2011'!C796</f>
        <v>Luft- und Raumfahrt</v>
      </c>
      <c r="B1796" s="190">
        <f>'2011'!D796</f>
        <v>0</v>
      </c>
      <c r="C1796" s="190">
        <f>'2011'!E796</f>
        <v>0</v>
      </c>
      <c r="D1796" s="190">
        <f>'2011'!F796</f>
        <v>0</v>
      </c>
      <c r="E1796" s="190">
        <f>'2011'!G796</f>
        <v>0</v>
      </c>
      <c r="F1796" s="190">
        <f>'2011'!H796</f>
        <v>0</v>
      </c>
      <c r="G1796" s="190">
        <f>'2011'!I796</f>
        <v>0</v>
      </c>
    </row>
    <row r="1797" spans="1:7" ht="12.75" customHeight="1">
      <c r="A1797" s="190" t="str">
        <f>'2011'!C797</f>
        <v>Sonstige Transportsysteme</v>
      </c>
      <c r="B1797" s="190">
        <f>'2011'!D797</f>
        <v>0</v>
      </c>
      <c r="C1797" s="190">
        <f>'2011'!E797</f>
        <v>0</v>
      </c>
      <c r="D1797" s="190">
        <f>'2011'!F797</f>
        <v>0</v>
      </c>
      <c r="E1797" s="190">
        <f>'2011'!G797</f>
        <v>0</v>
      </c>
      <c r="F1797" s="190">
        <f>'2011'!H797</f>
        <v>0</v>
      </c>
      <c r="G1797" s="190">
        <f>'2011'!I797</f>
        <v>0</v>
      </c>
    </row>
    <row r="1798" spans="1:7" ht="12.75" customHeight="1">
      <c r="A1798" s="190" t="str">
        <f>'2011'!C798</f>
        <v>Verkehrsplanung</v>
      </c>
      <c r="B1798" s="190">
        <f>'2011'!D798</f>
        <v>0</v>
      </c>
      <c r="C1798" s="190">
        <f>'2011'!E798</f>
        <v>0</v>
      </c>
      <c r="D1798" s="190">
        <f>'2011'!F798</f>
        <v>0</v>
      </c>
      <c r="E1798" s="190">
        <f>'2011'!G798</f>
        <v>0</v>
      </c>
      <c r="F1798" s="190">
        <f>'2011'!H798</f>
        <v>0</v>
      </c>
      <c r="G1798" s="190">
        <f>'2011'!I798</f>
        <v>0</v>
      </c>
    </row>
    <row r="1799" spans="1:7" ht="12.75" customHeight="1">
      <c r="A1799" s="190" t="str">
        <f>'2011'!C799</f>
        <v>Nachrichtenübermittlung</v>
      </c>
      <c r="B1799" s="190">
        <f>'2011'!D799</f>
        <v>0</v>
      </c>
      <c r="C1799" s="190">
        <f>'2011'!E799</f>
        <v>0</v>
      </c>
      <c r="D1799" s="190">
        <f>'2011'!F799</f>
        <v>0</v>
      </c>
      <c r="E1799" s="190">
        <f>'2011'!G799</f>
        <v>0</v>
      </c>
      <c r="F1799" s="190">
        <f>'2011'!H799</f>
        <v>0</v>
      </c>
      <c r="G1799" s="190">
        <f>'2011'!I799</f>
        <v>0</v>
      </c>
    </row>
    <row r="1800" spans="1:7" ht="12.75" customHeight="1">
      <c r="A1800" s="190" t="str">
        <f>'2011'!C800</f>
        <v>Nachrichtenübermitttlung</v>
      </c>
      <c r="B1800" s="190">
        <f>'2011'!D800</f>
        <v>0</v>
      </c>
      <c r="C1800" s="190">
        <f>'2011'!E800</f>
        <v>0</v>
      </c>
      <c r="D1800" s="190">
        <f>'2011'!F800</f>
        <v>0</v>
      </c>
      <c r="E1800" s="190">
        <f>'2011'!G800</f>
        <v>0</v>
      </c>
      <c r="F1800" s="190">
        <f>'2011'!H800</f>
        <v>0</v>
      </c>
      <c r="G1800" s="190">
        <f>'2011'!I800</f>
        <v>0</v>
      </c>
    </row>
    <row r="1801" spans="1:7" ht="12.75" customHeight="1">
      <c r="A1801" s="190" t="str">
        <f>'2011'!C801</f>
        <v>F&amp;E in Verkehr und Nachrichten</v>
      </c>
      <c r="B1801" s="190">
        <f>'2011'!D801</f>
        <v>0</v>
      </c>
      <c r="C1801" s="190">
        <f>'2011'!E801</f>
        <v>0</v>
      </c>
      <c r="D1801" s="190">
        <f>'2011'!F801</f>
        <v>0</v>
      </c>
      <c r="E1801" s="190">
        <f>'2011'!G801</f>
        <v>0</v>
      </c>
      <c r="F1801" s="190">
        <f>'2011'!H801</f>
        <v>0</v>
      </c>
      <c r="G1801" s="190">
        <f>'2011'!I801</f>
        <v>0</v>
      </c>
    </row>
    <row r="1802" spans="1:7" ht="12.75" customHeight="1">
      <c r="A1802" s="190" t="str">
        <f>'2011'!C802</f>
        <v>F&amp;E in Verkehr </v>
      </c>
      <c r="B1802" s="190">
        <f>'2011'!D802</f>
        <v>0</v>
      </c>
      <c r="C1802" s="190">
        <f>'2011'!E802</f>
        <v>0</v>
      </c>
      <c r="D1802" s="190">
        <f>'2011'!F802</f>
        <v>0</v>
      </c>
      <c r="E1802" s="190">
        <f>'2011'!G802</f>
        <v>0</v>
      </c>
      <c r="F1802" s="190">
        <f>'2011'!H802</f>
        <v>0</v>
      </c>
      <c r="G1802" s="190">
        <f>'2011'!I802</f>
        <v>0</v>
      </c>
    </row>
    <row r="1803" spans="1:7" ht="12.75" customHeight="1">
      <c r="A1803" s="190" t="str">
        <f>'2011'!C803</f>
        <v>F&amp;E in Nachrichtenübermittlung</v>
      </c>
      <c r="B1803" s="190">
        <f>'2011'!D803</f>
        <v>0</v>
      </c>
      <c r="C1803" s="190">
        <f>'2011'!E803</f>
        <v>0</v>
      </c>
      <c r="D1803" s="190">
        <f>'2011'!F803</f>
        <v>0</v>
      </c>
      <c r="E1803" s="190">
        <f>'2011'!G803</f>
        <v>0</v>
      </c>
      <c r="F1803" s="190">
        <f>'2011'!H803</f>
        <v>0</v>
      </c>
      <c r="G1803" s="190">
        <f>'2011'!I803</f>
        <v>0</v>
      </c>
    </row>
    <row r="1804" spans="1:7" ht="12.75" customHeight="1">
      <c r="A1804" s="190" t="str">
        <f>'2011'!C804</f>
        <v>UMWELTSCHUTZ UND RAUMORDNUNG</v>
      </c>
      <c r="B1804" s="190">
        <f>'2011'!D804</f>
        <v>2037687.4000000001</v>
      </c>
      <c r="C1804" s="190">
        <f>'2011'!E804</f>
        <v>1237031.4000000001</v>
      </c>
      <c r="D1804" s="190">
        <f>'2011'!F804</f>
        <v>642990.6799999999</v>
      </c>
      <c r="E1804" s="190">
        <f>'2011'!G804</f>
        <v>3917709.4800000004</v>
      </c>
      <c r="F1804" s="190">
        <f>'2011'!H804</f>
        <v>4963760</v>
      </c>
      <c r="G1804" s="190">
        <f>'2011'!I804</f>
        <v>8881469.48</v>
      </c>
    </row>
    <row r="1805" spans="1:7" ht="12.75" customHeight="1">
      <c r="A1805" s="190" t="str">
        <f>'2011'!C805</f>
        <v>Wasserversorgung</v>
      </c>
      <c r="B1805" s="190">
        <f>'2011'!D805</f>
        <v>1003882.24</v>
      </c>
      <c r="C1805" s="190">
        <f>'2011'!E805</f>
        <v>0</v>
      </c>
      <c r="D1805" s="190">
        <f>'2011'!F805</f>
        <v>759030.72</v>
      </c>
      <c r="E1805" s="190">
        <f>'2011'!G805</f>
        <v>1762912.96</v>
      </c>
      <c r="F1805" s="190">
        <f>'2011'!H805</f>
        <v>0</v>
      </c>
      <c r="G1805" s="190">
        <f>'2011'!I805</f>
        <v>1762912.96</v>
      </c>
    </row>
    <row r="1806" spans="1:7" ht="12.75" customHeight="1">
      <c r="A1806" s="190" t="str">
        <f>'2011'!C806</f>
        <v>Wasserversorgung (allgemein)</v>
      </c>
      <c r="B1806" s="190">
        <f>'2011'!D806</f>
        <v>0</v>
      </c>
      <c r="C1806" s="190">
        <f>'2011'!E806</f>
        <v>0</v>
      </c>
      <c r="D1806" s="190">
        <f>'2011'!F806</f>
        <v>0</v>
      </c>
      <c r="E1806" s="190">
        <f>'2011'!G806</f>
        <v>0</v>
      </c>
      <c r="F1806" s="190">
        <f>'2011'!H806</f>
        <v>0</v>
      </c>
      <c r="G1806" s="190">
        <f>'2011'!I806</f>
        <v>0</v>
      </c>
    </row>
    <row r="1807" spans="1:7" ht="12.75" customHeight="1">
      <c r="A1807" s="190" t="str">
        <f>'2011'!C807</f>
        <v>Wasserwerk (SF)</v>
      </c>
      <c r="B1807" s="190">
        <f>'2011'!D807</f>
        <v>1003882.24</v>
      </c>
      <c r="C1807" s="190">
        <f>'2011'!E807</f>
        <v>0</v>
      </c>
      <c r="D1807" s="190">
        <f>'2011'!F807</f>
        <v>759030.72</v>
      </c>
      <c r="E1807" s="190">
        <f>'2011'!G807</f>
        <v>1762912.96</v>
      </c>
      <c r="F1807" s="190">
        <f>'2011'!H807</f>
        <v>0</v>
      </c>
      <c r="G1807" s="190">
        <f>'2011'!I807</f>
        <v>1762912.96</v>
      </c>
    </row>
    <row r="1808" spans="1:7" ht="12.75" customHeight="1">
      <c r="A1808" s="190" t="str">
        <f>'2011'!C808</f>
        <v>Abwasserbeseitigung</v>
      </c>
      <c r="B1808" s="190">
        <f>'2011'!D808</f>
        <v>571728.66</v>
      </c>
      <c r="C1808" s="190">
        <f>'2011'!E808</f>
        <v>-77259.5</v>
      </c>
      <c r="D1808" s="190">
        <f>'2011'!F808</f>
        <v>-552357.54</v>
      </c>
      <c r="E1808" s="190">
        <f>'2011'!G808</f>
        <v>-57888.380000000005</v>
      </c>
      <c r="F1808" s="190">
        <f>'2011'!H808</f>
        <v>27650</v>
      </c>
      <c r="G1808" s="190">
        <f>'2011'!I808</f>
        <v>-30238.380000000005</v>
      </c>
    </row>
    <row r="1809" spans="1:7" ht="12.75" customHeight="1">
      <c r="A1809" s="190" t="str">
        <f>'2011'!C809</f>
        <v>Abwasserbeseitigung (allgemein)</v>
      </c>
      <c r="B1809" s="190">
        <f>'2011'!D809</f>
        <v>0</v>
      </c>
      <c r="C1809" s="190">
        <f>'2011'!E809</f>
        <v>0</v>
      </c>
      <c r="D1809" s="190">
        <f>'2011'!F809</f>
        <v>0</v>
      </c>
      <c r="E1809" s="190">
        <f>'2011'!G809</f>
        <v>0</v>
      </c>
      <c r="F1809" s="190">
        <f>'2011'!H809</f>
        <v>0</v>
      </c>
      <c r="G1809" s="190">
        <f>'2011'!I809</f>
        <v>0</v>
      </c>
    </row>
    <row r="1810" spans="1:7" ht="12.75" customHeight="1">
      <c r="A1810" s="190" t="str">
        <f>'2011'!C810</f>
        <v>Abwasserbeseitigung (SF)</v>
      </c>
      <c r="B1810" s="190">
        <f>'2011'!D810</f>
        <v>571728.66</v>
      </c>
      <c r="C1810" s="190">
        <f>'2011'!E810</f>
        <v>-77259.5</v>
      </c>
      <c r="D1810" s="190">
        <f>'2011'!F810</f>
        <v>-552357.54</v>
      </c>
      <c r="E1810" s="190">
        <f>'2011'!G810</f>
        <v>-57888.380000000005</v>
      </c>
      <c r="F1810" s="190">
        <f>'2011'!H810</f>
        <v>0</v>
      </c>
      <c r="G1810" s="190">
        <f>'2011'!I810</f>
        <v>-57888.380000000005</v>
      </c>
    </row>
    <row r="1811" spans="1:7" ht="12.75" customHeight="1">
      <c r="A1811" s="190" t="str">
        <f>'2011'!C811</f>
        <v>Kläranlagen (SF)</v>
      </c>
      <c r="B1811" s="190">
        <f>'2011'!D811</f>
        <v>0</v>
      </c>
      <c r="C1811" s="190">
        <f>'2011'!E811</f>
        <v>0</v>
      </c>
      <c r="D1811" s="190">
        <f>'2011'!F811</f>
        <v>0</v>
      </c>
      <c r="E1811" s="190">
        <f>'2011'!G811</f>
        <v>0</v>
      </c>
      <c r="F1811" s="190">
        <f>'2011'!H811</f>
        <v>27650</v>
      </c>
      <c r="G1811" s="190">
        <f>'2011'!I811</f>
        <v>27650</v>
      </c>
    </row>
    <row r="1812" spans="1:7" ht="12.75" customHeight="1">
      <c r="A1812" s="190" t="str">
        <f>'2011'!C812</f>
        <v>Abfallwirtschaft</v>
      </c>
      <c r="B1812" s="190">
        <f>'2011'!D812</f>
        <v>1851.85</v>
      </c>
      <c r="C1812" s="190">
        <f>'2011'!E812</f>
        <v>0</v>
      </c>
      <c r="D1812" s="190">
        <f>'2011'!F812</f>
        <v>7184.15</v>
      </c>
      <c r="E1812" s="190">
        <f>'2011'!G812</f>
        <v>9036</v>
      </c>
      <c r="F1812" s="190">
        <f>'2011'!H812</f>
        <v>0</v>
      </c>
      <c r="G1812" s="190">
        <f>'2011'!I812</f>
        <v>9036</v>
      </c>
    </row>
    <row r="1813" spans="1:7" ht="12.75" customHeight="1">
      <c r="A1813" s="190" t="str">
        <f>'2011'!C813</f>
        <v>Abfallwirtschaft (allgemein)</v>
      </c>
      <c r="B1813" s="190">
        <f>'2011'!D813</f>
        <v>0</v>
      </c>
      <c r="C1813" s="190">
        <f>'2011'!E813</f>
        <v>0</v>
      </c>
      <c r="D1813" s="190">
        <f>'2011'!F813</f>
        <v>0</v>
      </c>
      <c r="E1813" s="190">
        <f>'2011'!G813</f>
        <v>0</v>
      </c>
      <c r="F1813" s="190">
        <f>'2011'!H813</f>
        <v>0</v>
      </c>
      <c r="G1813" s="190">
        <f>'2011'!I813</f>
        <v>0</v>
      </c>
    </row>
    <row r="1814" spans="1:7" ht="12.75" customHeight="1">
      <c r="A1814" s="190" t="str">
        <f>'2011'!C814</f>
        <v>Abfallwirtschaft (SF)</v>
      </c>
      <c r="B1814" s="190">
        <f>'2011'!D814</f>
        <v>1851.85</v>
      </c>
      <c r="C1814" s="190">
        <f>'2011'!E814</f>
        <v>0</v>
      </c>
      <c r="D1814" s="190">
        <f>'2011'!F814</f>
        <v>7184.15</v>
      </c>
      <c r="E1814" s="190">
        <f>'2011'!G814</f>
        <v>9036</v>
      </c>
      <c r="F1814" s="190">
        <f>'2011'!H814</f>
        <v>0</v>
      </c>
      <c r="G1814" s="190">
        <f>'2011'!I814</f>
        <v>9036</v>
      </c>
    </row>
    <row r="1815" spans="1:7" ht="12.75" customHeight="1">
      <c r="A1815" s="190" t="str">
        <f>'2011'!C815</f>
        <v>Kehrichtverbrennungsanlagen</v>
      </c>
      <c r="B1815" s="190">
        <f>'2011'!D815</f>
        <v>0</v>
      </c>
      <c r="C1815" s="190">
        <f>'2011'!E815</f>
        <v>0</v>
      </c>
      <c r="D1815" s="190">
        <f>'2011'!F815</f>
        <v>0</v>
      </c>
      <c r="E1815" s="190">
        <f>'2011'!G815</f>
        <v>0</v>
      </c>
      <c r="F1815" s="190">
        <f>'2011'!H815</f>
        <v>0</v>
      </c>
      <c r="G1815" s="190">
        <f>'2011'!I815</f>
        <v>0</v>
      </c>
    </row>
    <row r="1816" spans="1:7" ht="12.75" customHeight="1">
      <c r="A1816" s="190" t="str">
        <f>'2011'!C816</f>
        <v>Verbauungen</v>
      </c>
      <c r="B1816" s="190">
        <f>'2011'!D816</f>
        <v>345517.85</v>
      </c>
      <c r="C1816" s="190">
        <f>'2011'!E816</f>
        <v>1164215.9000000001</v>
      </c>
      <c r="D1816" s="190">
        <f>'2011'!F816</f>
        <v>365843.85</v>
      </c>
      <c r="E1816" s="190">
        <f>'2011'!G816</f>
        <v>1875577.6</v>
      </c>
      <c r="F1816" s="190">
        <f>'2011'!H816</f>
        <v>4575132</v>
      </c>
      <c r="G1816" s="190">
        <f>'2011'!I816</f>
        <v>6450709.6</v>
      </c>
    </row>
    <row r="1817" spans="1:7" ht="12.75" customHeight="1">
      <c r="A1817" s="190" t="str">
        <f>'2011'!C817</f>
        <v>Gewässerverbauungen</v>
      </c>
      <c r="B1817" s="190">
        <f>'2011'!D817</f>
        <v>322519.5</v>
      </c>
      <c r="C1817" s="190">
        <f>'2011'!E817</f>
        <v>1164215.9000000001</v>
      </c>
      <c r="D1817" s="190">
        <f>'2011'!F817</f>
        <v>365843.85</v>
      </c>
      <c r="E1817" s="190">
        <f>'2011'!G817</f>
        <v>1852579.25</v>
      </c>
      <c r="F1817" s="190">
        <f>'2011'!H817</f>
        <v>4575132</v>
      </c>
      <c r="G1817" s="190">
        <f>'2011'!I817</f>
        <v>6427711.25</v>
      </c>
    </row>
    <row r="1818" spans="1:7" ht="12.75" customHeight="1">
      <c r="A1818" s="190" t="str">
        <f>'2011'!C818</f>
        <v>Lawinenverbauungen</v>
      </c>
      <c r="B1818" s="190">
        <f>'2011'!D818</f>
        <v>22998.349999999977</v>
      </c>
      <c r="C1818" s="190">
        <f>'2011'!E818</f>
        <v>0</v>
      </c>
      <c r="D1818" s="190">
        <f>'2011'!F818</f>
        <v>0</v>
      </c>
      <c r="E1818" s="190">
        <f>'2011'!G818</f>
        <v>22998.349999999977</v>
      </c>
      <c r="F1818" s="190">
        <f>'2011'!H818</f>
        <v>0</v>
      </c>
      <c r="G1818" s="190">
        <f>'2011'!I818</f>
        <v>22998.349999999977</v>
      </c>
    </row>
    <row r="1819" spans="1:7" ht="12.75" customHeight="1">
      <c r="A1819" s="190" t="str">
        <f>'2011'!C819</f>
        <v>Arten- und Landschaftsschutz</v>
      </c>
      <c r="B1819" s="190">
        <f>'2011'!D819</f>
        <v>0</v>
      </c>
      <c r="C1819" s="190">
        <f>'2011'!E819</f>
        <v>0</v>
      </c>
      <c r="D1819" s="190">
        <f>'2011'!F819</f>
        <v>0</v>
      </c>
      <c r="E1819" s="190">
        <f>'2011'!G819</f>
        <v>0</v>
      </c>
      <c r="F1819" s="190">
        <f>'2011'!H819</f>
        <v>120534</v>
      </c>
      <c r="G1819" s="190">
        <f>'2011'!I819</f>
        <v>120534</v>
      </c>
    </row>
    <row r="1820" spans="1:7" ht="12.75" customHeight="1">
      <c r="A1820" s="190" t="str">
        <f>'2011'!C820</f>
        <v>Arten- und Landschaftsschutz</v>
      </c>
      <c r="B1820" s="190">
        <f>'2011'!D820</f>
        <v>0</v>
      </c>
      <c r="C1820" s="190">
        <f>'2011'!E820</f>
        <v>0</v>
      </c>
      <c r="D1820" s="190">
        <f>'2011'!F820</f>
        <v>0</v>
      </c>
      <c r="E1820" s="190">
        <f>'2011'!G820</f>
        <v>0</v>
      </c>
      <c r="F1820" s="190">
        <f>'2011'!H820</f>
        <v>120534</v>
      </c>
      <c r="G1820" s="190">
        <f>'2011'!I820</f>
        <v>120534</v>
      </c>
    </row>
    <row r="1821" spans="1:7" ht="12.75" customHeight="1">
      <c r="A1821" s="190" t="str">
        <f>'2011'!C821</f>
        <v>Bekämpfung von Umweltverschmutzung</v>
      </c>
      <c r="B1821" s="190">
        <f>'2011'!D821</f>
        <v>0</v>
      </c>
      <c r="C1821" s="190">
        <f>'2011'!E821</f>
        <v>0</v>
      </c>
      <c r="D1821" s="190">
        <f>'2011'!F821</f>
        <v>0</v>
      </c>
      <c r="E1821" s="190">
        <f>'2011'!G821</f>
        <v>0</v>
      </c>
      <c r="F1821" s="190">
        <f>'2011'!H821</f>
        <v>240444</v>
      </c>
      <c r="G1821" s="190">
        <f>'2011'!I821</f>
        <v>240444</v>
      </c>
    </row>
    <row r="1822" spans="1:7" ht="12.75" customHeight="1">
      <c r="A1822" s="190" t="str">
        <f>'2011'!C822</f>
        <v>Luftreinhaltung und Klimaschutz</v>
      </c>
      <c r="B1822" s="190">
        <f>'2011'!D822</f>
        <v>0</v>
      </c>
      <c r="C1822" s="190">
        <f>'2011'!E822</f>
        <v>0</v>
      </c>
      <c r="D1822" s="190">
        <f>'2011'!F822</f>
        <v>0</v>
      </c>
      <c r="E1822" s="190">
        <f>'2011'!G822</f>
        <v>0</v>
      </c>
      <c r="F1822" s="190">
        <f>'2011'!H822</f>
        <v>0</v>
      </c>
      <c r="G1822" s="190">
        <f>'2011'!I822</f>
        <v>0</v>
      </c>
    </row>
    <row r="1823" spans="1:7" ht="12.75" customHeight="1">
      <c r="A1823" s="190" t="str">
        <f>'2011'!C823</f>
        <v>Bekämpfung von Umweltverschmutzung, n.a.g.</v>
      </c>
      <c r="B1823" s="190">
        <f>'2011'!D823</f>
        <v>0</v>
      </c>
      <c r="C1823" s="190">
        <f>'2011'!E823</f>
        <v>0</v>
      </c>
      <c r="D1823" s="190">
        <f>'2011'!F823</f>
        <v>0</v>
      </c>
      <c r="E1823" s="190">
        <f>'2011'!G823</f>
        <v>0</v>
      </c>
      <c r="F1823" s="190">
        <f>'2011'!H823</f>
        <v>240444</v>
      </c>
      <c r="G1823" s="190">
        <f>'2011'!I823</f>
        <v>240444</v>
      </c>
    </row>
    <row r="1824" spans="1:7" ht="12.75" customHeight="1">
      <c r="A1824" s="190" t="str">
        <f>'2011'!C824</f>
        <v>Übriger Umweltschutz</v>
      </c>
      <c r="B1824" s="190">
        <f>'2011'!D824</f>
        <v>0</v>
      </c>
      <c r="C1824" s="190">
        <f>'2011'!E824</f>
        <v>0</v>
      </c>
      <c r="D1824" s="190">
        <f>'2011'!F824</f>
        <v>0</v>
      </c>
      <c r="E1824" s="190">
        <f>'2011'!G824</f>
        <v>0</v>
      </c>
      <c r="F1824" s="190">
        <f>'2011'!H824</f>
        <v>0</v>
      </c>
      <c r="G1824" s="190">
        <f>'2011'!I824</f>
        <v>0</v>
      </c>
    </row>
    <row r="1825" spans="1:7" ht="12.75" customHeight="1">
      <c r="A1825" s="190" t="str">
        <f>'2011'!C825</f>
        <v>Friedhof und Bestattung (allgemein)</v>
      </c>
      <c r="B1825" s="190">
        <f>'2011'!D825</f>
        <v>0</v>
      </c>
      <c r="C1825" s="190">
        <f>'2011'!E825</f>
        <v>0</v>
      </c>
      <c r="D1825" s="190">
        <f>'2011'!F825</f>
        <v>0</v>
      </c>
      <c r="E1825" s="190">
        <f>'2011'!G825</f>
        <v>0</v>
      </c>
      <c r="F1825" s="190">
        <f>'2011'!H825</f>
        <v>0</v>
      </c>
      <c r="G1825" s="190">
        <f>'2011'!I825</f>
        <v>0</v>
      </c>
    </row>
    <row r="1826" spans="1:7" ht="12.75" customHeight="1">
      <c r="A1826" s="190" t="str">
        <f>'2011'!C826</f>
        <v>Regionale Friedhoforganisation</v>
      </c>
      <c r="B1826" s="190">
        <f>'2011'!D826</f>
        <v>0</v>
      </c>
      <c r="C1826" s="190">
        <f>'2011'!E826</f>
        <v>0</v>
      </c>
      <c r="D1826" s="190">
        <f>'2011'!F826</f>
        <v>0</v>
      </c>
      <c r="E1826" s="190">
        <f>'2011'!G826</f>
        <v>0</v>
      </c>
      <c r="F1826" s="190">
        <f>'2011'!H826</f>
        <v>0</v>
      </c>
      <c r="G1826" s="190">
        <f>'2011'!I826</f>
        <v>0</v>
      </c>
    </row>
    <row r="1827" spans="1:7" ht="12.75" customHeight="1">
      <c r="A1827" s="190" t="str">
        <f>'2011'!C827</f>
        <v>Umweltschutz n.a.g.</v>
      </c>
      <c r="B1827" s="190">
        <f>'2011'!D827</f>
        <v>0</v>
      </c>
      <c r="C1827" s="190">
        <f>'2011'!E827</f>
        <v>0</v>
      </c>
      <c r="D1827" s="190">
        <f>'2011'!F827</f>
        <v>0</v>
      </c>
      <c r="E1827" s="190">
        <f>'2011'!G827</f>
        <v>0</v>
      </c>
      <c r="F1827" s="190">
        <f>'2011'!H827</f>
        <v>0</v>
      </c>
      <c r="G1827" s="190">
        <f>'2011'!I827</f>
        <v>0</v>
      </c>
    </row>
    <row r="1828" spans="1:7" ht="12.75" customHeight="1">
      <c r="A1828" s="190" t="str">
        <f>'2011'!C828</f>
        <v>F&amp;E in Umweltschutz</v>
      </c>
      <c r="B1828" s="190">
        <f>'2011'!D828</f>
        <v>0</v>
      </c>
      <c r="C1828" s="190">
        <f>'2011'!E828</f>
        <v>0</v>
      </c>
      <c r="D1828" s="190">
        <f>'2011'!F828</f>
        <v>0</v>
      </c>
      <c r="E1828" s="190">
        <f>'2011'!G828</f>
        <v>0</v>
      </c>
      <c r="F1828" s="190">
        <f>'2011'!H828</f>
        <v>0</v>
      </c>
      <c r="G1828" s="190">
        <f>'2011'!I828</f>
        <v>0</v>
      </c>
    </row>
    <row r="1829" spans="1:7" ht="12.75" customHeight="1">
      <c r="A1829" s="190" t="str">
        <f>'2011'!C829</f>
        <v>F&amp;E in Umwelt</v>
      </c>
      <c r="B1829" s="190">
        <f>'2011'!D829</f>
        <v>0</v>
      </c>
      <c r="C1829" s="190">
        <f>'2011'!E829</f>
        <v>0</v>
      </c>
      <c r="D1829" s="190">
        <f>'2011'!F829</f>
        <v>0</v>
      </c>
      <c r="E1829" s="190">
        <f>'2011'!G829</f>
        <v>0</v>
      </c>
      <c r="F1829" s="190">
        <f>'2011'!H829</f>
        <v>0</v>
      </c>
      <c r="G1829" s="190">
        <f>'2011'!I829</f>
        <v>0</v>
      </c>
    </row>
    <row r="1830" spans="1:7" ht="12.75" customHeight="1">
      <c r="A1830" s="190" t="str">
        <f>'2011'!C830</f>
        <v>F&amp;E in Raumordung</v>
      </c>
      <c r="B1830" s="190">
        <f>'2011'!D830</f>
        <v>0</v>
      </c>
      <c r="C1830" s="190">
        <f>'2011'!E830</f>
        <v>0</v>
      </c>
      <c r="D1830" s="190">
        <f>'2011'!F830</f>
        <v>0</v>
      </c>
      <c r="E1830" s="190">
        <f>'2011'!G830</f>
        <v>0</v>
      </c>
      <c r="F1830" s="190">
        <f>'2011'!H830</f>
        <v>0</v>
      </c>
      <c r="G1830" s="190">
        <f>'2011'!I830</f>
        <v>0</v>
      </c>
    </row>
    <row r="1831" spans="1:7" ht="12.75" customHeight="1">
      <c r="A1831" s="190" t="str">
        <f>'2011'!C831</f>
        <v>Raumordung</v>
      </c>
      <c r="B1831" s="190">
        <f>'2011'!D831</f>
        <v>114706.8</v>
      </c>
      <c r="C1831" s="190">
        <f>'2011'!E831</f>
        <v>150075</v>
      </c>
      <c r="D1831" s="190">
        <f>'2011'!F831</f>
        <v>63289.5</v>
      </c>
      <c r="E1831" s="190">
        <f>'2011'!G831</f>
        <v>328071.3</v>
      </c>
      <c r="F1831" s="190">
        <f>'2011'!H831</f>
        <v>0</v>
      </c>
      <c r="G1831" s="190">
        <f>'2011'!I831</f>
        <v>328071.3</v>
      </c>
    </row>
    <row r="1832" spans="1:7" ht="12.75" customHeight="1">
      <c r="A1832" s="190" t="str">
        <f>'2011'!C832</f>
        <v>Raumordnung (allgemein)</v>
      </c>
      <c r="B1832" s="190">
        <f>'2011'!D832</f>
        <v>114706.8</v>
      </c>
      <c r="C1832" s="190">
        <f>'2011'!E832</f>
        <v>150075</v>
      </c>
      <c r="D1832" s="190">
        <f>'2011'!F832</f>
        <v>63289.5</v>
      </c>
      <c r="E1832" s="190">
        <f>'2011'!G832</f>
        <v>328071.3</v>
      </c>
      <c r="F1832" s="190">
        <f>'2011'!H832</f>
        <v>0</v>
      </c>
      <c r="G1832" s="190">
        <f>'2011'!I832</f>
        <v>328071.3</v>
      </c>
    </row>
    <row r="1833" spans="1:7" ht="12.75" customHeight="1">
      <c r="A1833" s="190" t="str">
        <f>'2011'!C833</f>
        <v>Regionale Planungsgruppen</v>
      </c>
      <c r="B1833" s="190">
        <f>'2011'!D833</f>
        <v>0</v>
      </c>
      <c r="C1833" s="190">
        <f>'2011'!E833</f>
        <v>0</v>
      </c>
      <c r="D1833" s="190">
        <f>'2011'!F833</f>
        <v>0</v>
      </c>
      <c r="E1833" s="190">
        <f>'2011'!G833</f>
        <v>0</v>
      </c>
      <c r="F1833" s="190">
        <f>'2011'!H833</f>
        <v>0</v>
      </c>
      <c r="G1833" s="190">
        <f>'2011'!I833</f>
        <v>0</v>
      </c>
    </row>
    <row r="1834" spans="1:7" ht="12.75" customHeight="1">
      <c r="A1834" s="190" t="str">
        <f>'2011'!C834</f>
        <v>VOLKSWIRTSCHAFT</v>
      </c>
      <c r="B1834" s="190">
        <f>'2011'!D834</f>
        <v>701594.8</v>
      </c>
      <c r="C1834" s="190">
        <f>'2011'!E834</f>
        <v>44700</v>
      </c>
      <c r="D1834" s="190">
        <f>'2011'!F834</f>
        <v>1103898.25</v>
      </c>
      <c r="E1834" s="190">
        <f>'2011'!G834</f>
        <v>1850193.05</v>
      </c>
      <c r="F1834" s="190">
        <f>'2011'!H834</f>
        <v>4143580</v>
      </c>
      <c r="G1834" s="190">
        <f>'2011'!I834</f>
        <v>5993773.05</v>
      </c>
    </row>
    <row r="1835" spans="1:7" ht="12.75" customHeight="1">
      <c r="A1835" s="190" t="str">
        <f>'2011'!C835</f>
        <v>Landwirtschaft</v>
      </c>
      <c r="B1835" s="190">
        <f>'2011'!D835</f>
        <v>579141.25</v>
      </c>
      <c r="C1835" s="190">
        <f>'2011'!E835</f>
        <v>0</v>
      </c>
      <c r="D1835" s="190">
        <f>'2011'!F835</f>
        <v>25445</v>
      </c>
      <c r="E1835" s="190">
        <f>'2011'!G835</f>
        <v>604586.25</v>
      </c>
      <c r="F1835" s="190">
        <f>'2011'!H835</f>
        <v>1043067</v>
      </c>
      <c r="G1835" s="190">
        <f>'2011'!I835</f>
        <v>1647653.25</v>
      </c>
    </row>
    <row r="1836" spans="1:7" ht="12.75" customHeight="1">
      <c r="A1836" s="190" t="str">
        <f>'2011'!C836</f>
        <v>Verwaltung Landwirtschaft, Vollzug u. Kontrolle</v>
      </c>
      <c r="B1836" s="190">
        <f>'2011'!D836</f>
        <v>0</v>
      </c>
      <c r="C1836" s="190">
        <f>'2011'!E836</f>
        <v>0</v>
      </c>
      <c r="D1836" s="190">
        <f>'2011'!F836</f>
        <v>0</v>
      </c>
      <c r="E1836" s="190">
        <f>'2011'!G836</f>
        <v>0</v>
      </c>
      <c r="F1836" s="190">
        <f>'2011'!H836</f>
        <v>0</v>
      </c>
      <c r="G1836" s="190">
        <f>'2011'!I836</f>
        <v>0</v>
      </c>
    </row>
    <row r="1837" spans="1:7" ht="12.75" customHeight="1">
      <c r="A1837" s="190" t="str">
        <f>'2011'!C837</f>
        <v>Landw. Strukturverbesserungen</v>
      </c>
      <c r="B1837" s="190">
        <f>'2011'!D837</f>
        <v>0</v>
      </c>
      <c r="C1837" s="190">
        <f>'2011'!E837</f>
        <v>0</v>
      </c>
      <c r="D1837" s="190">
        <f>'2011'!F837</f>
        <v>0</v>
      </c>
      <c r="E1837" s="190">
        <f>'2011'!G837</f>
        <v>0</v>
      </c>
      <c r="F1837" s="190">
        <f>'2011'!H837</f>
        <v>1043067</v>
      </c>
      <c r="G1837" s="190">
        <f>'2011'!I837</f>
        <v>1043067</v>
      </c>
    </row>
    <row r="1838" spans="1:7" ht="12.75" customHeight="1">
      <c r="A1838" s="190" t="str">
        <f>'2011'!C838</f>
        <v>Landw. Produktionsverbesserungen Vieh</v>
      </c>
      <c r="B1838" s="190">
        <f>'2011'!D838</f>
        <v>0</v>
      </c>
      <c r="C1838" s="190">
        <f>'2011'!E838</f>
        <v>0</v>
      </c>
      <c r="D1838" s="190">
        <f>'2011'!F838</f>
        <v>0</v>
      </c>
      <c r="E1838" s="190">
        <f>'2011'!G838</f>
        <v>0</v>
      </c>
      <c r="F1838" s="190">
        <f>'2011'!H838</f>
        <v>0</v>
      </c>
      <c r="G1838" s="190">
        <f>'2011'!I838</f>
        <v>0</v>
      </c>
    </row>
    <row r="1839" spans="1:7" ht="12.75" customHeight="1">
      <c r="A1839" s="190" t="str">
        <f>'2011'!C839</f>
        <v>Landw. Produktionsverbesserungen Pflanzen</v>
      </c>
      <c r="B1839" s="190">
        <f>'2011'!D839</f>
        <v>0</v>
      </c>
      <c r="C1839" s="190">
        <f>'2011'!E839</f>
        <v>0</v>
      </c>
      <c r="D1839" s="190">
        <f>'2011'!F839</f>
        <v>0</v>
      </c>
      <c r="E1839" s="190">
        <f>'2011'!G839</f>
        <v>0</v>
      </c>
      <c r="F1839" s="190">
        <f>'2011'!H839</f>
        <v>0</v>
      </c>
      <c r="G1839" s="190">
        <f>'2011'!I839</f>
        <v>0</v>
      </c>
    </row>
    <row r="1840" spans="1:7" ht="12.75" customHeight="1">
      <c r="A1840" s="190" t="str">
        <f>'2011'!C840</f>
        <v>Wirtschaftliche Massnahmen in der Landwirtschaft</v>
      </c>
      <c r="B1840" s="190">
        <f>'2011'!D840</f>
        <v>0</v>
      </c>
      <c r="C1840" s="190">
        <f>'2011'!E840</f>
        <v>0</v>
      </c>
      <c r="D1840" s="190">
        <f>'2011'!F840</f>
        <v>0</v>
      </c>
      <c r="E1840" s="190">
        <f>'2011'!G840</f>
        <v>0</v>
      </c>
      <c r="F1840" s="190">
        <f>'2011'!H840</f>
        <v>0</v>
      </c>
      <c r="G1840" s="190">
        <f>'2011'!I840</f>
        <v>0</v>
      </c>
    </row>
    <row r="1841" spans="1:7" ht="12.75" customHeight="1">
      <c r="A1841" s="190" t="str">
        <f>'2011'!C841</f>
        <v>Direktzahlungen an die Landwirtschaft</v>
      </c>
      <c r="B1841" s="190">
        <f>'2011'!D841</f>
        <v>0</v>
      </c>
      <c r="C1841" s="190">
        <f>'2011'!E841</f>
        <v>0</v>
      </c>
      <c r="D1841" s="190">
        <f>'2011'!F841</f>
        <v>0</v>
      </c>
      <c r="E1841" s="190">
        <f>'2011'!G841</f>
        <v>0</v>
      </c>
      <c r="F1841" s="190">
        <f>'2011'!H841</f>
        <v>0</v>
      </c>
      <c r="G1841" s="190">
        <f>'2011'!I841</f>
        <v>0</v>
      </c>
    </row>
    <row r="1842" spans="1:7" ht="12.75" customHeight="1">
      <c r="A1842" s="190" t="str">
        <f>'2011'!C842</f>
        <v>Soziale Massnahmen in der Landwirtschaft</v>
      </c>
      <c r="B1842" s="190">
        <f>'2011'!D842</f>
        <v>0</v>
      </c>
      <c r="C1842" s="190">
        <f>'2011'!E842</f>
        <v>0</v>
      </c>
      <c r="D1842" s="190">
        <f>'2011'!F842</f>
        <v>0</v>
      </c>
      <c r="E1842" s="190">
        <f>'2011'!G842</f>
        <v>0</v>
      </c>
      <c r="F1842" s="190">
        <f>'2011'!H842</f>
        <v>0</v>
      </c>
      <c r="G1842" s="190">
        <f>'2011'!I842</f>
        <v>0</v>
      </c>
    </row>
    <row r="1843" spans="1:7" ht="12.75" customHeight="1">
      <c r="A1843" s="190" t="str">
        <f>'2011'!C843</f>
        <v>Alpwirtschaft</v>
      </c>
      <c r="B1843" s="190">
        <f>'2011'!D843</f>
        <v>579141.25</v>
      </c>
      <c r="C1843" s="190">
        <f>'2011'!E843</f>
        <v>0</v>
      </c>
      <c r="D1843" s="190">
        <f>'2011'!F843</f>
        <v>25445</v>
      </c>
      <c r="E1843" s="190">
        <f>'2011'!G843</f>
        <v>604586.25</v>
      </c>
      <c r="F1843" s="190">
        <f>'2011'!H843</f>
        <v>0</v>
      </c>
      <c r="G1843" s="190">
        <f>'2011'!I843</f>
        <v>604586.25</v>
      </c>
    </row>
    <row r="1844" spans="1:7" ht="12.75" customHeight="1">
      <c r="A1844" s="190" t="str">
        <f>'2011'!C844</f>
        <v>Landwirtschaft n.a.g.</v>
      </c>
      <c r="B1844" s="190">
        <f>'2011'!D844</f>
        <v>0</v>
      </c>
      <c r="C1844" s="190">
        <f>'2011'!E844</f>
        <v>0</v>
      </c>
      <c r="D1844" s="190">
        <f>'2011'!F844</f>
        <v>0</v>
      </c>
      <c r="E1844" s="190">
        <f>'2011'!G844</f>
        <v>0</v>
      </c>
      <c r="F1844" s="190">
        <f>'2011'!H844</f>
        <v>0</v>
      </c>
      <c r="G1844" s="190">
        <f>'2011'!I844</f>
        <v>0</v>
      </c>
    </row>
    <row r="1845" spans="1:7" ht="12.75" customHeight="1">
      <c r="A1845" s="190" t="str">
        <f>'2011'!C845</f>
        <v>Forstwirtschaft</v>
      </c>
      <c r="B1845" s="190">
        <f>'2011'!D845</f>
        <v>122453.54999999999</v>
      </c>
      <c r="C1845" s="190">
        <f>'2011'!E845</f>
        <v>44700</v>
      </c>
      <c r="D1845" s="190">
        <f>'2011'!F845</f>
        <v>1078453.25</v>
      </c>
      <c r="E1845" s="190">
        <f>'2011'!G845</f>
        <v>1245606.8</v>
      </c>
      <c r="F1845" s="190">
        <f>'2011'!H845</f>
        <v>3111313</v>
      </c>
      <c r="G1845" s="190">
        <f>'2011'!I845</f>
        <v>4356919.8</v>
      </c>
    </row>
    <row r="1846" spans="1:7" ht="12.75" customHeight="1">
      <c r="A1846" s="190" t="str">
        <f>'2011'!C846</f>
        <v>Forstwirtschaft</v>
      </c>
      <c r="B1846" s="190">
        <f>'2011'!D846</f>
        <v>122453.54999999999</v>
      </c>
      <c r="C1846" s="190">
        <f>'2011'!E846</f>
        <v>44700</v>
      </c>
      <c r="D1846" s="190">
        <f>'2011'!F846</f>
        <v>1078453.25</v>
      </c>
      <c r="E1846" s="190">
        <f>'2011'!G846</f>
        <v>1245606.8</v>
      </c>
      <c r="F1846" s="190">
        <f>'2011'!H846</f>
        <v>3111313</v>
      </c>
      <c r="G1846" s="190">
        <f>'2011'!I846</f>
        <v>4356919.8</v>
      </c>
    </row>
    <row r="1847" spans="1:7" ht="12.75" customHeight="1">
      <c r="A1847" s="190" t="str">
        <f>'2011'!C847</f>
        <v>Jagd und Fischerei</v>
      </c>
      <c r="B1847" s="190">
        <f>'2011'!D847</f>
        <v>0</v>
      </c>
      <c r="C1847" s="190">
        <f>'2011'!E847</f>
        <v>0</v>
      </c>
      <c r="D1847" s="190">
        <f>'2011'!F847</f>
        <v>0</v>
      </c>
      <c r="E1847" s="190">
        <f>'2011'!G847</f>
        <v>0</v>
      </c>
      <c r="F1847" s="190">
        <f>'2011'!H847</f>
        <v>0</v>
      </c>
      <c r="G1847" s="190">
        <f>'2011'!I847</f>
        <v>0</v>
      </c>
    </row>
    <row r="1848" spans="1:7" ht="12.75" customHeight="1">
      <c r="A1848" s="190" t="str">
        <f>'2011'!C848</f>
        <v>Jagd und Fischerei</v>
      </c>
      <c r="B1848" s="190">
        <f>'2011'!D848</f>
        <v>0</v>
      </c>
      <c r="C1848" s="190">
        <f>'2011'!E848</f>
        <v>0</v>
      </c>
      <c r="D1848" s="190">
        <f>'2011'!F848</f>
        <v>0</v>
      </c>
      <c r="E1848" s="190">
        <f>'2011'!G848</f>
        <v>0</v>
      </c>
      <c r="F1848" s="190">
        <f>'2011'!H848</f>
        <v>0</v>
      </c>
      <c r="G1848" s="190">
        <f>'2011'!I848</f>
        <v>0</v>
      </c>
    </row>
    <row r="1849" spans="1:7" ht="12.75" customHeight="1">
      <c r="A1849" s="190" t="str">
        <f>'2011'!C849</f>
        <v>Tourismus</v>
      </c>
      <c r="B1849" s="190">
        <f>'2011'!D849</f>
        <v>0</v>
      </c>
      <c r="C1849" s="190">
        <f>'2011'!E849</f>
        <v>0</v>
      </c>
      <c r="D1849" s="190">
        <f>'2011'!F849</f>
        <v>0</v>
      </c>
      <c r="E1849" s="190">
        <f>'2011'!G849</f>
        <v>0</v>
      </c>
      <c r="F1849" s="190">
        <f>'2011'!H849</f>
        <v>0</v>
      </c>
      <c r="G1849" s="190">
        <f>'2011'!I849</f>
        <v>0</v>
      </c>
    </row>
    <row r="1850" spans="1:7" ht="12.75" customHeight="1">
      <c r="A1850" s="190" t="str">
        <f>'2011'!C850</f>
        <v>Tourismus</v>
      </c>
      <c r="B1850" s="190">
        <f>'2011'!D850</f>
        <v>0</v>
      </c>
      <c r="C1850" s="190">
        <f>'2011'!E850</f>
        <v>0</v>
      </c>
      <c r="D1850" s="190">
        <f>'2011'!F850</f>
        <v>0</v>
      </c>
      <c r="E1850" s="190">
        <f>'2011'!G850</f>
        <v>0</v>
      </c>
      <c r="F1850" s="190">
        <f>'2011'!H850</f>
        <v>0</v>
      </c>
      <c r="G1850" s="190">
        <f>'2011'!I850</f>
        <v>0</v>
      </c>
    </row>
    <row r="1851" spans="1:7" ht="12.75" customHeight="1">
      <c r="A1851" s="190" t="str">
        <f>'2011'!C851</f>
        <v>Industrie, Gewerbe, Handel</v>
      </c>
      <c r="B1851" s="190">
        <f>'2011'!D851</f>
        <v>0</v>
      </c>
      <c r="C1851" s="190">
        <f>'2011'!E851</f>
        <v>0</v>
      </c>
      <c r="D1851" s="190">
        <f>'2011'!F851</f>
        <v>0</v>
      </c>
      <c r="E1851" s="190">
        <f>'2011'!G851</f>
        <v>0</v>
      </c>
      <c r="F1851" s="190">
        <f>'2011'!H851</f>
        <v>-10800</v>
      </c>
      <c r="G1851" s="190">
        <f>'2011'!I851</f>
        <v>-10800</v>
      </c>
    </row>
    <row r="1852" spans="1:7" ht="12.75" customHeight="1">
      <c r="A1852" s="190" t="str">
        <f>'2011'!C852</f>
        <v>Industrie, Gewerbe, Handel</v>
      </c>
      <c r="B1852" s="190">
        <f>'2011'!D852</f>
        <v>0</v>
      </c>
      <c r="C1852" s="190">
        <f>'2011'!E852</f>
        <v>0</v>
      </c>
      <c r="D1852" s="190">
        <f>'2011'!F852</f>
        <v>0</v>
      </c>
      <c r="E1852" s="190">
        <f>'2011'!G852</f>
        <v>0</v>
      </c>
      <c r="F1852" s="190">
        <f>'2011'!H852</f>
        <v>-10800</v>
      </c>
      <c r="G1852" s="190">
        <f>'2011'!I852</f>
        <v>-10800</v>
      </c>
    </row>
    <row r="1853" spans="1:7" ht="12.75" customHeight="1">
      <c r="A1853" s="190" t="str">
        <f>'2011'!C853</f>
        <v>Banken</v>
      </c>
      <c r="B1853" s="190">
        <f>'2011'!D853</f>
        <v>0</v>
      </c>
      <c r="C1853" s="190">
        <f>'2011'!E853</f>
        <v>0</v>
      </c>
      <c r="D1853" s="190">
        <f>'2011'!F853</f>
        <v>0</v>
      </c>
      <c r="E1853" s="190">
        <f>'2011'!G853</f>
        <v>0</v>
      </c>
      <c r="F1853" s="190">
        <f>'2011'!H853</f>
        <v>0</v>
      </c>
      <c r="G1853" s="190">
        <f>'2011'!I853</f>
        <v>0</v>
      </c>
    </row>
    <row r="1854" spans="1:7" ht="12.75" customHeight="1">
      <c r="A1854" s="190" t="str">
        <f>'2011'!C854</f>
        <v>Banken</v>
      </c>
      <c r="B1854" s="190">
        <f>'2011'!D854</f>
        <v>0</v>
      </c>
      <c r="C1854" s="190">
        <f>'2011'!E854</f>
        <v>0</v>
      </c>
      <c r="D1854" s="190">
        <f>'2011'!F854</f>
        <v>0</v>
      </c>
      <c r="E1854" s="190">
        <f>'2011'!G854</f>
        <v>0</v>
      </c>
      <c r="F1854" s="190">
        <f>'2011'!H854</f>
        <v>0</v>
      </c>
      <c r="G1854" s="190">
        <f>'2011'!I854</f>
        <v>0</v>
      </c>
    </row>
    <row r="1855" spans="1:7" ht="12.75" customHeight="1">
      <c r="A1855" s="190" t="str">
        <f>'2011'!C855</f>
        <v>Brennstoffe und Energie</v>
      </c>
      <c r="B1855" s="190">
        <f>'2011'!D855</f>
        <v>0</v>
      </c>
      <c r="C1855" s="190">
        <f>'2011'!E855</f>
        <v>0</v>
      </c>
      <c r="D1855" s="190">
        <f>'2011'!F855</f>
        <v>0</v>
      </c>
      <c r="E1855" s="190">
        <f>'2011'!G855</f>
        <v>0</v>
      </c>
      <c r="F1855" s="190">
        <f>'2011'!H855</f>
        <v>0</v>
      </c>
      <c r="G1855" s="190">
        <f>'2011'!I855</f>
        <v>0</v>
      </c>
    </row>
    <row r="1856" spans="1:7" ht="12.75" customHeight="1">
      <c r="A1856" s="190" t="str">
        <f>'2011'!C856</f>
        <v>Elektrizität (allgemein)</v>
      </c>
      <c r="B1856" s="190">
        <f>'2011'!D856</f>
        <v>0</v>
      </c>
      <c r="C1856" s="190">
        <f>'2011'!E856</f>
        <v>0</v>
      </c>
      <c r="D1856" s="190">
        <f>'2011'!F856</f>
        <v>0</v>
      </c>
      <c r="E1856" s="190">
        <f>'2011'!G856</f>
        <v>0</v>
      </c>
      <c r="F1856" s="190">
        <f>'2011'!H856</f>
        <v>0</v>
      </c>
      <c r="G1856" s="190">
        <f>'2011'!I856</f>
        <v>0</v>
      </c>
    </row>
    <row r="1857" spans="1:7" ht="12.75" customHeight="1">
      <c r="A1857" s="190" t="str">
        <f>'2011'!C857</f>
        <v>Elektrizitätswerk, -Netz (SF)</v>
      </c>
      <c r="B1857" s="190">
        <f>'2011'!D857</f>
        <v>0</v>
      </c>
      <c r="C1857" s="190">
        <f>'2011'!E857</f>
        <v>0</v>
      </c>
      <c r="D1857" s="190">
        <f>'2011'!F857</f>
        <v>0</v>
      </c>
      <c r="E1857" s="190">
        <f>'2011'!G857</f>
        <v>0</v>
      </c>
      <c r="F1857" s="190">
        <f>'2011'!H857</f>
        <v>0</v>
      </c>
      <c r="G1857" s="190">
        <f>'2011'!I857</f>
        <v>0</v>
      </c>
    </row>
    <row r="1858" spans="1:7" ht="12.75" customHeight="1">
      <c r="A1858" s="190" t="str">
        <f>'2011'!C858</f>
        <v>Elektrizitätswerk-Stromhandel (SF)</v>
      </c>
      <c r="B1858" s="190">
        <f>'2011'!D858</f>
        <v>0</v>
      </c>
      <c r="C1858" s="190">
        <f>'2011'!E858</f>
        <v>0</v>
      </c>
      <c r="D1858" s="190">
        <f>'2011'!F858</f>
        <v>0</v>
      </c>
      <c r="E1858" s="190">
        <f>'2011'!G858</f>
        <v>0</v>
      </c>
      <c r="F1858" s="190">
        <f>'2011'!H858</f>
        <v>0</v>
      </c>
      <c r="G1858" s="190">
        <f>'2011'!I858</f>
        <v>0</v>
      </c>
    </row>
    <row r="1859" spans="1:7" ht="12.75" customHeight="1">
      <c r="A1859" s="190" t="str">
        <f>'2011'!C859</f>
        <v>Erdäl und Gas (allgemein)</v>
      </c>
      <c r="B1859" s="190">
        <f>'2011'!D859</f>
        <v>0</v>
      </c>
      <c r="C1859" s="190">
        <f>'2011'!E859</f>
        <v>0</v>
      </c>
      <c r="D1859" s="190">
        <f>'2011'!F859</f>
        <v>0</v>
      </c>
      <c r="E1859" s="190">
        <f>'2011'!G859</f>
        <v>0</v>
      </c>
      <c r="F1859" s="190">
        <f>'2011'!H859</f>
        <v>0</v>
      </c>
      <c r="G1859" s="190">
        <f>'2011'!I859</f>
        <v>0</v>
      </c>
    </row>
    <row r="1860" spans="1:7" ht="12.75" customHeight="1">
      <c r="A1860" s="190" t="str">
        <f>'2011'!C860</f>
        <v>Nichtelektrische Energie (allgemein)</v>
      </c>
      <c r="B1860" s="190">
        <f>'2011'!D860</f>
        <v>0</v>
      </c>
      <c r="C1860" s="190">
        <f>'2011'!E860</f>
        <v>0</v>
      </c>
      <c r="D1860" s="190">
        <f>'2011'!F860</f>
        <v>0</v>
      </c>
      <c r="E1860" s="190">
        <f>'2011'!G860</f>
        <v>0</v>
      </c>
      <c r="F1860" s="190">
        <f>'2011'!H860</f>
        <v>0</v>
      </c>
      <c r="G1860" s="190">
        <f>'2011'!I860</f>
        <v>0</v>
      </c>
    </row>
    <row r="1861" spans="1:7" ht="12.75" customHeight="1">
      <c r="A1861" s="190" t="str">
        <f>'2011'!C861</f>
        <v>Fernwärmebetrieb nichteletr. Energie (SF)</v>
      </c>
      <c r="B1861" s="190">
        <f>'2011'!D861</f>
        <v>0</v>
      </c>
      <c r="C1861" s="190">
        <f>'2011'!E861</f>
        <v>0</v>
      </c>
      <c r="D1861" s="190">
        <f>'2011'!F861</f>
        <v>0</v>
      </c>
      <c r="E1861" s="190">
        <f>'2011'!G861</f>
        <v>0</v>
      </c>
      <c r="F1861" s="190">
        <f>'2011'!H861</f>
        <v>0</v>
      </c>
      <c r="G1861" s="190">
        <f>'2011'!I861</f>
        <v>0</v>
      </c>
    </row>
    <row r="1862" spans="1:7" ht="12.75" customHeight="1">
      <c r="A1862" s="190" t="str">
        <f>'2011'!C862</f>
        <v>Brennstoffe, n.a.g.</v>
      </c>
      <c r="B1862" s="190">
        <f>'2011'!D862</f>
        <v>0</v>
      </c>
      <c r="C1862" s="190">
        <f>'2011'!E862</f>
        <v>0</v>
      </c>
      <c r="D1862" s="190">
        <f>'2011'!F862</f>
        <v>0</v>
      </c>
      <c r="E1862" s="190">
        <f>'2011'!G862</f>
        <v>0</v>
      </c>
      <c r="F1862" s="190">
        <f>'2011'!H862</f>
        <v>0</v>
      </c>
      <c r="G1862" s="190">
        <f>'2011'!I862</f>
        <v>0</v>
      </c>
    </row>
    <row r="1863" spans="1:7" ht="12.75" customHeight="1">
      <c r="A1863" s="190" t="str">
        <f>'2011'!C863</f>
        <v>Fernwärmebetrieb Brennstoffe, n.a.g. (SF)</v>
      </c>
      <c r="B1863" s="190">
        <f>'2011'!D863</f>
        <v>0</v>
      </c>
      <c r="C1863" s="190">
        <f>'2011'!E863</f>
        <v>0</v>
      </c>
      <c r="D1863" s="190">
        <f>'2011'!F863</f>
        <v>0</v>
      </c>
      <c r="E1863" s="190">
        <f>'2011'!G863</f>
        <v>0</v>
      </c>
      <c r="F1863" s="190">
        <f>'2011'!H863</f>
        <v>0</v>
      </c>
      <c r="G1863" s="190">
        <f>'2011'!I863</f>
        <v>0</v>
      </c>
    </row>
    <row r="1864" spans="1:7" ht="12.75" customHeight="1">
      <c r="A1864" s="190" t="str">
        <f>'2011'!C864</f>
        <v>F&amp;E in Volkswirtschaft</v>
      </c>
      <c r="B1864" s="190">
        <f>'2011'!D864</f>
        <v>0</v>
      </c>
      <c r="C1864" s="190">
        <f>'2011'!E864</f>
        <v>0</v>
      </c>
      <c r="D1864" s="190">
        <f>'2011'!F864</f>
        <v>0</v>
      </c>
      <c r="E1864" s="190">
        <f>'2011'!G864</f>
        <v>0</v>
      </c>
      <c r="F1864" s="190">
        <f>'2011'!H864</f>
        <v>0</v>
      </c>
      <c r="G1864" s="190">
        <f>'2011'!I864</f>
        <v>0</v>
      </c>
    </row>
    <row r="1865" spans="1:7" ht="12.75" customHeight="1">
      <c r="A1865" s="190" t="str">
        <f>'2011'!C865</f>
        <v>F&amp;E in Landwirtschaft</v>
      </c>
      <c r="B1865" s="190">
        <f>'2011'!D865</f>
        <v>0</v>
      </c>
      <c r="C1865" s="190">
        <f>'2011'!E865</f>
        <v>0</v>
      </c>
      <c r="D1865" s="190">
        <f>'2011'!F865</f>
        <v>0</v>
      </c>
      <c r="E1865" s="190">
        <f>'2011'!G865</f>
        <v>0</v>
      </c>
      <c r="F1865" s="190">
        <f>'2011'!H865</f>
        <v>0</v>
      </c>
      <c r="G1865" s="190">
        <f>'2011'!I865</f>
        <v>0</v>
      </c>
    </row>
    <row r="1866" spans="1:7" ht="12.75" customHeight="1">
      <c r="A1866" s="190" t="str">
        <f>'2011'!C866</f>
        <v>F&amp;E in Forstwirtschaft, Jagd u. Fischerei</v>
      </c>
      <c r="B1866" s="190">
        <f>'2011'!D866</f>
        <v>0</v>
      </c>
      <c r="C1866" s="190">
        <f>'2011'!E866</f>
        <v>0</v>
      </c>
      <c r="D1866" s="190">
        <f>'2011'!F866</f>
        <v>0</v>
      </c>
      <c r="E1866" s="190">
        <f>'2011'!G866</f>
        <v>0</v>
      </c>
      <c r="F1866" s="190">
        <f>'2011'!H866</f>
        <v>0</v>
      </c>
      <c r="G1866" s="190">
        <f>'2011'!I866</f>
        <v>0</v>
      </c>
    </row>
    <row r="1867" spans="1:7" ht="12.75" customHeight="1">
      <c r="A1867" s="190" t="str">
        <f>'2011'!C867</f>
        <v>F&amp;E in Brennstoffe und Energie</v>
      </c>
      <c r="B1867" s="190">
        <f>'2011'!D867</f>
        <v>0</v>
      </c>
      <c r="C1867" s="190">
        <f>'2011'!E867</f>
        <v>0</v>
      </c>
      <c r="D1867" s="190">
        <f>'2011'!F867</f>
        <v>0</v>
      </c>
      <c r="E1867" s="190">
        <f>'2011'!G867</f>
        <v>0</v>
      </c>
      <c r="F1867" s="190">
        <f>'2011'!H867</f>
        <v>0</v>
      </c>
      <c r="G1867" s="190">
        <f>'2011'!I867</f>
        <v>0</v>
      </c>
    </row>
    <row r="1868" spans="1:7" ht="12.75" customHeight="1">
      <c r="A1868" s="190" t="str">
        <f>'2011'!C868</f>
        <v>F&amp;E in übrige Volkswirtschaft</v>
      </c>
      <c r="B1868" s="190">
        <f>'2011'!D868</f>
        <v>0</v>
      </c>
      <c r="C1868" s="190">
        <f>'2011'!E868</f>
        <v>0</v>
      </c>
      <c r="D1868" s="190">
        <f>'2011'!F868</f>
        <v>0</v>
      </c>
      <c r="E1868" s="190">
        <f>'2011'!G868</f>
        <v>0</v>
      </c>
      <c r="F1868" s="190">
        <f>'2011'!H868</f>
        <v>0</v>
      </c>
      <c r="G1868" s="190">
        <f>'2011'!I868</f>
        <v>0</v>
      </c>
    </row>
    <row r="1869" spans="1:7" ht="12.75" customHeight="1">
      <c r="A1869" s="190" t="str">
        <f>'2011'!C869</f>
        <v>Sonstige gewerbliche Betriebe</v>
      </c>
      <c r="B1869" s="190">
        <f>'2011'!D869</f>
        <v>0</v>
      </c>
      <c r="C1869" s="190">
        <f>'2011'!E869</f>
        <v>0</v>
      </c>
      <c r="D1869" s="190">
        <f>'2011'!F869</f>
        <v>0</v>
      </c>
      <c r="E1869" s="190">
        <f>'2011'!G869</f>
        <v>0</v>
      </c>
      <c r="F1869" s="190">
        <f>'2011'!H869</f>
        <v>0</v>
      </c>
      <c r="G1869" s="190">
        <f>'2011'!I869</f>
        <v>0</v>
      </c>
    </row>
    <row r="1870" spans="1:7" ht="12.75" customHeight="1">
      <c r="A1870" s="190" t="str">
        <f>'2011'!C870</f>
        <v>Sonstige gewerbliche Betriebe</v>
      </c>
      <c r="B1870" s="190">
        <f>'2011'!D870</f>
        <v>0</v>
      </c>
      <c r="C1870" s="190">
        <f>'2011'!E870</f>
        <v>0</v>
      </c>
      <c r="D1870" s="190">
        <f>'2011'!F870</f>
        <v>0</v>
      </c>
      <c r="E1870" s="190">
        <f>'2011'!G870</f>
        <v>0</v>
      </c>
      <c r="F1870" s="190">
        <f>'2011'!H870</f>
        <v>0</v>
      </c>
      <c r="G1870" s="190">
        <f>'2011'!I870</f>
        <v>0</v>
      </c>
    </row>
    <row r="1871" spans="1:7" ht="12.75" customHeight="1">
      <c r="A1871" s="190" t="str">
        <f>'2011'!C871</f>
        <v>FINANZEN UND STEUERN</v>
      </c>
      <c r="B1871" s="190">
        <f>'2011'!D871</f>
        <v>-4457740.75</v>
      </c>
      <c r="C1871" s="190">
        <f>'2011'!E871</f>
        <v>-2251555.7</v>
      </c>
      <c r="D1871" s="190">
        <f>'2011'!F871</f>
        <v>-3154747.48</v>
      </c>
      <c r="E1871" s="190">
        <f>'2011'!G871</f>
        <v>-9864043.93</v>
      </c>
      <c r="F1871" s="190">
        <f>'2011'!H871</f>
        <v>-17685731</v>
      </c>
      <c r="G1871" s="190">
        <f>'2011'!I871</f>
        <v>-27549774.93</v>
      </c>
    </row>
    <row r="1872" spans="1:7" ht="12.75" customHeight="1">
      <c r="A1872" s="190" t="str">
        <f>'2011'!C872</f>
        <v>Steuern</v>
      </c>
      <c r="B1872" s="190">
        <f>'2011'!D872</f>
        <v>0</v>
      </c>
      <c r="C1872" s="190">
        <f>'2011'!E872</f>
        <v>0</v>
      </c>
      <c r="D1872" s="190">
        <f>'2011'!F872</f>
        <v>0</v>
      </c>
      <c r="E1872" s="190">
        <f>'2011'!G872</f>
        <v>0</v>
      </c>
      <c r="F1872" s="190">
        <f>'2011'!H872</f>
        <v>0</v>
      </c>
      <c r="G1872" s="190">
        <f>'2011'!I872</f>
        <v>0</v>
      </c>
    </row>
    <row r="1873" spans="1:7" ht="12.75" customHeight="1">
      <c r="A1873" s="190" t="str">
        <f>'2011'!C873</f>
        <v> Allgemeine Gemeindesteuern</v>
      </c>
      <c r="B1873" s="190">
        <f>'2011'!D873</f>
        <v>0</v>
      </c>
      <c r="C1873" s="190">
        <f>'2011'!E873</f>
        <v>0</v>
      </c>
      <c r="D1873" s="190">
        <f>'2011'!F873</f>
        <v>0</v>
      </c>
      <c r="E1873" s="190">
        <f>'2011'!G873</f>
        <v>0</v>
      </c>
      <c r="F1873" s="190">
        <f>'2011'!H873</f>
        <v>0</v>
      </c>
      <c r="G1873" s="190">
        <f>'2011'!I873</f>
        <v>0</v>
      </c>
    </row>
    <row r="1874" spans="1:7" ht="12.75" customHeight="1">
      <c r="A1874" s="190" t="str">
        <f>'2011'!C874</f>
        <v>Sondersteuern</v>
      </c>
      <c r="B1874" s="190">
        <f>'2011'!D874</f>
        <v>0</v>
      </c>
      <c r="C1874" s="190">
        <f>'2011'!E874</f>
        <v>0</v>
      </c>
      <c r="D1874" s="190">
        <f>'2011'!F874</f>
        <v>0</v>
      </c>
      <c r="E1874" s="190">
        <f>'2011'!G874</f>
        <v>0</v>
      </c>
      <c r="F1874" s="190">
        <f>'2011'!H874</f>
        <v>0</v>
      </c>
      <c r="G1874" s="190">
        <f>'2011'!I874</f>
        <v>0</v>
      </c>
    </row>
    <row r="1875" spans="1:7" ht="12.75" customHeight="1">
      <c r="A1875" s="190" t="str">
        <f>'2011'!C875</f>
        <v>Steuerabkommen</v>
      </c>
      <c r="B1875" s="190">
        <f>'2011'!D875</f>
        <v>0</v>
      </c>
      <c r="C1875" s="190">
        <f>'2011'!E875</f>
        <v>0</v>
      </c>
      <c r="D1875" s="190">
        <f>'2011'!F875</f>
        <v>0</v>
      </c>
      <c r="E1875" s="190">
        <f>'2011'!G875</f>
        <v>0</v>
      </c>
      <c r="F1875" s="190">
        <f>'2011'!H875</f>
        <v>0</v>
      </c>
      <c r="G1875" s="190">
        <f>'2011'!I875</f>
        <v>0</v>
      </c>
    </row>
    <row r="1876" spans="1:7" ht="12.75" customHeight="1">
      <c r="A1876" s="190" t="str">
        <f>'2011'!C876</f>
        <v>Steuerabkommen</v>
      </c>
      <c r="B1876" s="190">
        <f>'2011'!D876</f>
        <v>0</v>
      </c>
      <c r="C1876" s="190">
        <f>'2011'!E876</f>
        <v>0</v>
      </c>
      <c r="D1876" s="190">
        <f>'2011'!F876</f>
        <v>0</v>
      </c>
      <c r="E1876" s="190">
        <f>'2011'!G876</f>
        <v>0</v>
      </c>
      <c r="F1876" s="190">
        <f>'2011'!H876</f>
        <v>0</v>
      </c>
      <c r="G1876" s="190">
        <f>'2011'!I876</f>
        <v>0</v>
      </c>
    </row>
    <row r="1877" spans="1:7" ht="12.75" customHeight="1">
      <c r="A1877" s="190" t="str">
        <f>'2011'!C877</f>
        <v>Finanz- und Lastenausgleich</v>
      </c>
      <c r="B1877" s="190">
        <f>'2011'!D877</f>
        <v>0</v>
      </c>
      <c r="C1877" s="190">
        <f>'2011'!E877</f>
        <v>0</v>
      </c>
      <c r="D1877" s="190">
        <f>'2011'!F877</f>
        <v>0</v>
      </c>
      <c r="E1877" s="190">
        <f>'2011'!G877</f>
        <v>0</v>
      </c>
      <c r="F1877" s="190">
        <f>'2011'!H877</f>
        <v>0</v>
      </c>
      <c r="G1877" s="190">
        <f>'2011'!I877</f>
        <v>0</v>
      </c>
    </row>
    <row r="1878" spans="1:7" ht="12.75" customHeight="1">
      <c r="A1878" s="190" t="str">
        <f>'2011'!C878</f>
        <v>Finanz- und Lastenausgleich</v>
      </c>
      <c r="B1878" s="190">
        <f>'2011'!D878</f>
        <v>0</v>
      </c>
      <c r="C1878" s="190">
        <f>'2011'!E878</f>
        <v>0</v>
      </c>
      <c r="D1878" s="190">
        <f>'2011'!F878</f>
        <v>0</v>
      </c>
      <c r="E1878" s="190">
        <f>'2011'!G878</f>
        <v>0</v>
      </c>
      <c r="F1878" s="190">
        <f>'2011'!H878</f>
        <v>0</v>
      </c>
      <c r="G1878" s="190">
        <f>'2011'!I878</f>
        <v>0</v>
      </c>
    </row>
    <row r="1879" spans="1:7" ht="12.75" customHeight="1">
      <c r="A1879" s="190" t="str">
        <f>'2011'!C879</f>
        <v>Ertragsanteile an Bundeseinnahmen</v>
      </c>
      <c r="B1879" s="190">
        <f>'2011'!D879</f>
        <v>0</v>
      </c>
      <c r="C1879" s="190">
        <f>'2011'!E879</f>
        <v>0</v>
      </c>
      <c r="D1879" s="190">
        <f>'2011'!F879</f>
        <v>0</v>
      </c>
      <c r="E1879" s="190">
        <f>'2011'!G879</f>
        <v>0</v>
      </c>
      <c r="F1879" s="190">
        <f>'2011'!H879</f>
        <v>0</v>
      </c>
      <c r="G1879" s="190">
        <f>'2011'!I879</f>
        <v>0</v>
      </c>
    </row>
    <row r="1880" spans="1:7" ht="12.75" customHeight="1">
      <c r="A1880" s="190" t="str">
        <f>'2011'!C880</f>
        <v>Ertragsanteile an Bundeseinnahmen</v>
      </c>
      <c r="B1880" s="190">
        <f>'2011'!D880</f>
        <v>0</v>
      </c>
      <c r="C1880" s="190">
        <f>'2011'!E880</f>
        <v>0</v>
      </c>
      <c r="D1880" s="190">
        <f>'2011'!F880</f>
        <v>0</v>
      </c>
      <c r="E1880" s="190">
        <f>'2011'!G880</f>
        <v>0</v>
      </c>
      <c r="F1880" s="190">
        <f>'2011'!H880</f>
        <v>0</v>
      </c>
      <c r="G1880" s="190">
        <f>'2011'!I880</f>
        <v>0</v>
      </c>
    </row>
    <row r="1881" spans="1:7" ht="12.75" customHeight="1">
      <c r="A1881" s="190" t="str">
        <f>'2011'!C881</f>
        <v>Ertragsanteile, übrige</v>
      </c>
      <c r="B1881" s="190">
        <f>'2011'!D881</f>
        <v>0</v>
      </c>
      <c r="C1881" s="190">
        <f>'2011'!E881</f>
        <v>0</v>
      </c>
      <c r="D1881" s="190">
        <f>'2011'!F881</f>
        <v>0</v>
      </c>
      <c r="E1881" s="190">
        <f>'2011'!G881</f>
        <v>0</v>
      </c>
      <c r="F1881" s="190">
        <f>'2011'!H881</f>
        <v>0</v>
      </c>
      <c r="G1881" s="190">
        <f>'2011'!I881</f>
        <v>0</v>
      </c>
    </row>
    <row r="1882" spans="1:7" ht="12.75" customHeight="1">
      <c r="A1882" s="190" t="str">
        <f>'2011'!C882</f>
        <v>Ertragsanteile, übrige</v>
      </c>
      <c r="B1882" s="190">
        <f>'2011'!D882</f>
        <v>0</v>
      </c>
      <c r="C1882" s="190">
        <f>'2011'!E882</f>
        <v>0</v>
      </c>
      <c r="D1882" s="190">
        <f>'2011'!F882</f>
        <v>0</v>
      </c>
      <c r="E1882" s="190">
        <f>'2011'!G882</f>
        <v>0</v>
      </c>
      <c r="F1882" s="190">
        <f>'2011'!H882</f>
        <v>0</v>
      </c>
      <c r="G1882" s="190">
        <f>'2011'!I882</f>
        <v>0</v>
      </c>
    </row>
    <row r="1883" spans="1:7" ht="12.75" customHeight="1">
      <c r="A1883" s="190" t="str">
        <f>'2011'!C883</f>
        <v>Vermögens- und Schuldenverwaltung</v>
      </c>
      <c r="B1883" s="190">
        <f>'2011'!D883</f>
        <v>29836.300000000003</v>
      </c>
      <c r="C1883" s="190">
        <f>'2011'!E883</f>
        <v>0</v>
      </c>
      <c r="D1883" s="190">
        <f>'2011'!F883</f>
        <v>0</v>
      </c>
      <c r="E1883" s="190">
        <f>'2011'!G883</f>
        <v>29836.300000000003</v>
      </c>
      <c r="F1883" s="190">
        <f>'2011'!H883</f>
        <v>0</v>
      </c>
      <c r="G1883" s="190">
        <f>'2011'!I883</f>
        <v>29836.300000000003</v>
      </c>
    </row>
    <row r="1884" spans="1:7" ht="12.75" customHeight="1">
      <c r="A1884" s="190" t="str">
        <f>'2011'!C884</f>
        <v>Zinsen</v>
      </c>
      <c r="B1884" s="190">
        <f>'2011'!D884</f>
        <v>0</v>
      </c>
      <c r="C1884" s="190">
        <f>'2011'!E884</f>
        <v>0</v>
      </c>
      <c r="D1884" s="190">
        <f>'2011'!F884</f>
        <v>0</v>
      </c>
      <c r="E1884" s="190">
        <f>'2011'!G884</f>
        <v>0</v>
      </c>
      <c r="F1884" s="190">
        <f>'2011'!H884</f>
        <v>0</v>
      </c>
      <c r="G1884" s="190">
        <f>'2011'!I884</f>
        <v>0</v>
      </c>
    </row>
    <row r="1885" spans="1:7" ht="12.75" customHeight="1">
      <c r="A1885" s="190" t="str">
        <f>'2011'!C885</f>
        <v>Emissionskosten</v>
      </c>
      <c r="B1885" s="190">
        <f>'2011'!D885</f>
        <v>0</v>
      </c>
      <c r="C1885" s="190">
        <f>'2011'!E885</f>
        <v>0</v>
      </c>
      <c r="D1885" s="190">
        <f>'2011'!F885</f>
        <v>0</v>
      </c>
      <c r="E1885" s="190">
        <f>'2011'!G885</f>
        <v>0</v>
      </c>
      <c r="F1885" s="190">
        <f>'2011'!H885</f>
        <v>0</v>
      </c>
      <c r="G1885" s="190">
        <f>'2011'!I885</f>
        <v>0</v>
      </c>
    </row>
    <row r="1886" spans="1:7" ht="12.75" customHeight="1">
      <c r="A1886" s="190" t="str">
        <f>'2011'!C886</f>
        <v>Liegenschaften des Finanzvermögens</v>
      </c>
      <c r="B1886" s="190">
        <f>'2011'!D886</f>
        <v>29836.300000000003</v>
      </c>
      <c r="C1886" s="190">
        <f>'2011'!E886</f>
        <v>0</v>
      </c>
      <c r="D1886" s="190">
        <f>'2011'!F886</f>
        <v>0</v>
      </c>
      <c r="E1886" s="190">
        <f>'2011'!G886</f>
        <v>29836.300000000003</v>
      </c>
      <c r="F1886" s="190">
        <f>'2011'!H886</f>
        <v>0</v>
      </c>
      <c r="G1886" s="190">
        <f>'2011'!I886</f>
        <v>29836.300000000003</v>
      </c>
    </row>
    <row r="1887" spans="1:7" ht="12.75" customHeight="1">
      <c r="A1887" s="190" t="str">
        <f>'2011'!C887</f>
        <v>Finanzvermögen, n.a.g.</v>
      </c>
      <c r="B1887" s="190">
        <f>'2011'!D887</f>
        <v>0</v>
      </c>
      <c r="C1887" s="190">
        <f>'2011'!E887</f>
        <v>0</v>
      </c>
      <c r="D1887" s="190">
        <f>'2011'!F887</f>
        <v>0</v>
      </c>
      <c r="E1887" s="190">
        <f>'2011'!G887</f>
        <v>0</v>
      </c>
      <c r="F1887" s="190">
        <f>'2011'!H887</f>
        <v>0</v>
      </c>
      <c r="G1887" s="190">
        <f>'2011'!I887</f>
        <v>0</v>
      </c>
    </row>
    <row r="1888" spans="1:7" ht="12.75" customHeight="1">
      <c r="A1888" s="190" t="str">
        <f>'2011'!C888</f>
        <v>Rückverteilung</v>
      </c>
      <c r="B1888" s="190">
        <f>'2011'!D888</f>
        <v>0</v>
      </c>
      <c r="C1888" s="190">
        <f>'2011'!E888</f>
        <v>0</v>
      </c>
      <c r="D1888" s="190">
        <f>'2011'!F888</f>
        <v>0</v>
      </c>
      <c r="E1888" s="190">
        <f>'2011'!G888</f>
        <v>0</v>
      </c>
      <c r="F1888" s="190">
        <f>'2011'!H888</f>
        <v>0</v>
      </c>
      <c r="G1888" s="190">
        <f>'2011'!I888</f>
        <v>0</v>
      </c>
    </row>
    <row r="1889" spans="1:7" ht="12.75" customHeight="1">
      <c r="A1889" s="190" t="str">
        <f>'2011'!C889</f>
        <v>Rückverteilung aus CO2-Abgabe</v>
      </c>
      <c r="B1889" s="190">
        <f>'2011'!D889</f>
        <v>0</v>
      </c>
      <c r="C1889" s="190">
        <f>'2011'!E889</f>
        <v>0</v>
      </c>
      <c r="D1889" s="190">
        <f>'2011'!F889</f>
        <v>0</v>
      </c>
      <c r="E1889" s="190">
        <f>'2011'!G889</f>
        <v>0</v>
      </c>
      <c r="F1889" s="190">
        <f>'2011'!H889</f>
        <v>0</v>
      </c>
      <c r="G1889" s="190">
        <f>'2011'!I889</f>
        <v>0</v>
      </c>
    </row>
    <row r="1890" spans="1:7" ht="12.75" customHeight="1">
      <c r="A1890" s="190" t="str">
        <f>'2011'!C890</f>
        <v>Abschluss</v>
      </c>
      <c r="B1890" s="190">
        <f>'2011'!D890</f>
        <v>-4487577.05</v>
      </c>
      <c r="C1890" s="190">
        <f>'2011'!E890</f>
        <v>-2251555.7</v>
      </c>
      <c r="D1890" s="190">
        <f>'2011'!F890</f>
        <v>-3154747.48</v>
      </c>
      <c r="E1890" s="190">
        <f>'2011'!G890</f>
        <v>-9893880.23</v>
      </c>
      <c r="F1890" s="190">
        <f>'2011'!H890</f>
        <v>-17685731</v>
      </c>
      <c r="G1890" s="190">
        <f>'2011'!I890</f>
        <v>-27579611.23</v>
      </c>
    </row>
    <row r="1891" spans="1:7" ht="12.75" customHeight="1">
      <c r="A1891" s="190" t="str">
        <f>'2011'!C891</f>
        <v>Nicht aufgeteilte Posten</v>
      </c>
      <c r="B1891" s="190">
        <f>'2011'!D891</f>
        <v>0</v>
      </c>
      <c r="C1891" s="190">
        <f>'2011'!E891</f>
        <v>0</v>
      </c>
      <c r="D1891" s="190">
        <f>'2011'!F891</f>
        <v>0</v>
      </c>
      <c r="E1891" s="190">
        <f>'2011'!G891</f>
        <v>0</v>
      </c>
      <c r="F1891" s="190">
        <f>'2011'!H891</f>
        <v>0</v>
      </c>
      <c r="G1891" s="190">
        <f>'2011'!I891</f>
        <v>0</v>
      </c>
    </row>
    <row r="1892" spans="1:7" ht="12.75" customHeight="1">
      <c r="A1892" s="190" t="str">
        <f>'2011'!C892</f>
        <v>Neutale Aufwendungen und Erträge</v>
      </c>
      <c r="B1892" s="190">
        <f>'2011'!D892</f>
        <v>0</v>
      </c>
      <c r="C1892" s="190">
        <f>'2011'!E892</f>
        <v>0</v>
      </c>
      <c r="D1892" s="190">
        <f>'2011'!F892</f>
        <v>0</v>
      </c>
      <c r="E1892" s="190">
        <f>'2011'!G892</f>
        <v>0</v>
      </c>
      <c r="F1892" s="190">
        <f>'2011'!H892</f>
        <v>0</v>
      </c>
      <c r="G1892" s="190">
        <f>'2011'!I892</f>
        <v>0</v>
      </c>
    </row>
    <row r="1893" spans="1:7" ht="12.75" customHeight="1">
      <c r="A1893" s="190" t="str">
        <f>'2011'!C893</f>
        <v>Abschluss (Nettoinvestitionen)</v>
      </c>
      <c r="B1893" s="190">
        <f>'2011'!D893</f>
        <v>-4487577.05</v>
      </c>
      <c r="C1893" s="190">
        <f>'2011'!E893</f>
        <v>-2251555.7</v>
      </c>
      <c r="D1893" s="190">
        <f>'2011'!F893</f>
        <v>-3154747.48</v>
      </c>
      <c r="E1893" s="190">
        <f>'2011'!G893</f>
        <v>-9893880.23</v>
      </c>
      <c r="F1893" s="190">
        <f>'2011'!H893</f>
        <v>-17685731</v>
      </c>
      <c r="G1893" s="190">
        <f>'2011'!I893</f>
        <v>-27579611.23</v>
      </c>
    </row>
    <row r="1894" spans="1:7" ht="12.75" customHeight="1">
      <c r="A1894" s="190">
        <f>'2011'!C894</f>
        <v>0</v>
      </c>
      <c r="B1894" s="190">
        <f>'2011'!D894</f>
        <v>0</v>
      </c>
      <c r="C1894" s="190">
        <f>'2011'!E894</f>
        <v>0</v>
      </c>
      <c r="D1894" s="190">
        <f>'2011'!F894</f>
        <v>0</v>
      </c>
      <c r="E1894" s="190">
        <f>'2011'!G894</f>
        <v>0</v>
      </c>
      <c r="F1894" s="190">
        <f>'2011'!H894</f>
        <v>0</v>
      </c>
      <c r="G1894" s="190">
        <f>'2011'!I894</f>
        <v>0</v>
      </c>
    </row>
    <row r="1895" spans="1:7" ht="12.75" customHeight="1">
      <c r="A1895" s="190" t="str">
        <f>'2011'!C895</f>
        <v>NETTOERGEBNIS</v>
      </c>
      <c r="B1895" s="190">
        <f>'2011'!D895</f>
        <v>0</v>
      </c>
      <c r="C1895" s="190">
        <f>'2011'!E895</f>
        <v>0</v>
      </c>
      <c r="D1895" s="190">
        <f>'2011'!F895</f>
        <v>0</v>
      </c>
      <c r="E1895" s="190">
        <f>'2011'!G895</f>
        <v>0</v>
      </c>
      <c r="F1895" s="190">
        <f>'2011'!H895</f>
        <v>0</v>
      </c>
      <c r="G1895" s="190">
        <f>'2011'!I895</f>
        <v>0</v>
      </c>
    </row>
    <row r="1896" spans="1:7" ht="12.75" customHeight="1">
      <c r="A1896" s="190" t="str">
        <f>'2011'!C896</f>
        <v>Kontrolle</v>
      </c>
      <c r="B1896" s="190">
        <f>'2011'!D896</f>
        <v>0</v>
      </c>
      <c r="C1896" s="190">
        <f>'2011'!E896</f>
        <v>0</v>
      </c>
      <c r="D1896" s="190">
        <f>'2011'!F896</f>
        <v>0</v>
      </c>
      <c r="E1896" s="190">
        <f>'2011'!G896</f>
        <v>-1.862645149230957E-09</v>
      </c>
      <c r="F1896" s="190">
        <f>'2011'!H896</f>
        <v>0</v>
      </c>
      <c r="G1896" s="190">
        <f>'2011'!I896</f>
        <v>-3.725290298461914E-09</v>
      </c>
    </row>
    <row r="1897" spans="1:7" ht="12.75" customHeight="1">
      <c r="A1897" s="190">
        <f>'2011'!C897</f>
        <v>0</v>
      </c>
      <c r="B1897" s="190">
        <f>'2011'!D897</f>
        <v>0</v>
      </c>
      <c r="C1897" s="190">
        <f>'2011'!E897</f>
        <v>0</v>
      </c>
      <c r="D1897" s="190">
        <f>'2011'!F897</f>
        <v>0</v>
      </c>
      <c r="E1897" s="190">
        <f>'2011'!G897</f>
        <v>0</v>
      </c>
      <c r="F1897" s="190">
        <f>'2011'!H897</f>
        <v>0</v>
      </c>
      <c r="G1897" s="190">
        <f>'2011'!I897</f>
        <v>0</v>
      </c>
    </row>
    <row r="1898" spans="1:7" ht="12.75" customHeight="1">
      <c r="A1898" s="190">
        <f>'2011'!C898</f>
        <v>0</v>
      </c>
      <c r="B1898" s="190">
        <f>'2011'!D898</f>
        <v>0</v>
      </c>
      <c r="C1898" s="190">
        <f>'2011'!E898</f>
        <v>0</v>
      </c>
      <c r="D1898" s="190">
        <f>'2011'!F898</f>
        <v>0</v>
      </c>
      <c r="E1898" s="190">
        <f>'2011'!G898</f>
        <v>0</v>
      </c>
      <c r="F1898" s="190">
        <f>'2011'!H898</f>
        <v>0</v>
      </c>
      <c r="G1898" s="190">
        <f>'2011'!I898</f>
        <v>0</v>
      </c>
    </row>
    <row r="1899" spans="1:7" ht="12.75" customHeight="1">
      <c r="A1899" s="190">
        <f>'2011'!C899</f>
        <v>0</v>
      </c>
      <c r="B1899" s="190">
        <f>'2011'!D899</f>
        <v>0</v>
      </c>
      <c r="C1899" s="190">
        <f>'2011'!E899</f>
        <v>0</v>
      </c>
      <c r="D1899" s="190">
        <f>'2011'!F899</f>
        <v>0</v>
      </c>
      <c r="E1899" s="190">
        <f>'2011'!G899</f>
        <v>0</v>
      </c>
      <c r="F1899" s="190">
        <f>'2011'!H899</f>
        <v>0</v>
      </c>
      <c r="G1899" s="190">
        <f>'2011'!I899</f>
        <v>0</v>
      </c>
    </row>
    <row r="1900" spans="1:7" ht="12.75" customHeight="1">
      <c r="A1900" s="190" t="str">
        <f>'2011'!C900</f>
        <v>BRUTTOSCHULDEN</v>
      </c>
      <c r="B1900" s="190">
        <f>'2011'!D900</f>
        <v>0</v>
      </c>
      <c r="C1900" s="190">
        <f>'2011'!E900</f>
        <v>0</v>
      </c>
      <c r="D1900" s="190">
        <f>'2011'!F900</f>
        <v>0</v>
      </c>
      <c r="E1900" s="190">
        <f>'2011'!G900</f>
        <v>0</v>
      </c>
      <c r="F1900" s="190">
        <f>'2011'!H900</f>
        <v>0</v>
      </c>
      <c r="G1900" s="190">
        <f>'2011'!I900</f>
        <v>0</v>
      </c>
    </row>
    <row r="1901" spans="1:7" ht="12.75" customHeight="1">
      <c r="A1901" s="190" t="str">
        <f>'2011'!C901</f>
        <v>Laufende Verpflichtungen</v>
      </c>
      <c r="B1901" s="190">
        <f>'2011'!D901</f>
        <v>-6181550.44</v>
      </c>
      <c r="C1901" s="190">
        <f>'2011'!E901</f>
        <v>-4892078.05</v>
      </c>
      <c r="D1901" s="190">
        <f>'2011'!F901</f>
        <v>-7204552.1</v>
      </c>
      <c r="E1901" s="190">
        <f>'2011'!G901</f>
        <v>-18278180.59</v>
      </c>
      <c r="F1901" s="190">
        <f>'2011'!H901</f>
        <v>-58805076.1</v>
      </c>
      <c r="G1901" s="190">
        <f>'2011'!I901</f>
        <v>-77083256.69</v>
      </c>
    </row>
    <row r="1902" spans="1:7" ht="12.75" customHeight="1">
      <c r="A1902" s="190" t="str">
        <f>'2011'!C902</f>
        <v>Kurzfristige Verbindlichkeiten</v>
      </c>
      <c r="B1902" s="190">
        <f>'2011'!D902</f>
        <v>-100000</v>
      </c>
      <c r="C1902" s="190">
        <f>'2011'!E902</f>
        <v>-5024139.8</v>
      </c>
      <c r="D1902" s="190">
        <f>'2011'!F902</f>
        <v>-17251265</v>
      </c>
      <c r="E1902" s="190">
        <f>'2011'!G902</f>
        <v>-22375404.8</v>
      </c>
      <c r="F1902" s="190">
        <f>'2011'!H902</f>
        <v>-20425000</v>
      </c>
      <c r="G1902" s="190">
        <f>'2011'!I902</f>
        <v>-42800404.8</v>
      </c>
    </row>
    <row r="1903" spans="1:7" ht="12.75" customHeight="1">
      <c r="A1903" s="190" t="str">
        <f>'2011'!C903</f>
        <v>Derivative Finanzinstrumente</v>
      </c>
      <c r="B1903" s="190">
        <f>'2011'!D903</f>
        <v>0</v>
      </c>
      <c r="C1903" s="190">
        <f>'2011'!E903</f>
        <v>0</v>
      </c>
      <c r="D1903" s="190">
        <f>'2011'!F903</f>
        <v>0</v>
      </c>
      <c r="E1903" s="190">
        <f>'2011'!G903</f>
        <v>0</v>
      </c>
      <c r="F1903" s="190">
        <f>'2011'!H903</f>
        <v>0</v>
      </c>
      <c r="G1903" s="190">
        <f>'2011'!I903</f>
        <v>0</v>
      </c>
    </row>
    <row r="1904" spans="1:7" ht="12.75" customHeight="1">
      <c r="A1904" s="190" t="str">
        <f>'2011'!C904</f>
        <v>Langfristige Finanzverbindlichkeiten</v>
      </c>
      <c r="B1904" s="190">
        <f>'2011'!D904</f>
        <v>-24159034.8</v>
      </c>
      <c r="C1904" s="190">
        <f>'2011'!E904</f>
        <v>-22520000</v>
      </c>
      <c r="D1904" s="190">
        <f>'2011'!F904</f>
        <v>-24392462.25</v>
      </c>
      <c r="E1904" s="190">
        <f>'2011'!G904</f>
        <v>-71071497.05</v>
      </c>
      <c r="F1904" s="190">
        <f>'2011'!H904</f>
        <v>-82935209.94</v>
      </c>
      <c r="G1904" s="190">
        <f>'2011'!I904</f>
        <v>-154006706.99</v>
      </c>
    </row>
    <row r="1905" spans="1:7" ht="12.75" customHeight="1">
      <c r="A1905" s="190" t="str">
        <f>'2011'!C905</f>
        <v>Bruttoschulden (+)</v>
      </c>
      <c r="B1905" s="190">
        <f>'2011'!D905</f>
        <v>-30440585.240000002</v>
      </c>
      <c r="C1905" s="190">
        <f>'2011'!E905</f>
        <v>-32436217.85</v>
      </c>
      <c r="D1905" s="190">
        <f>'2011'!F905</f>
        <v>-48848279.35</v>
      </c>
      <c r="E1905" s="190">
        <f>'2011'!G905</f>
        <v>-111725082.44</v>
      </c>
      <c r="F1905" s="190">
        <f>'2011'!H905</f>
        <v>-162165286.04</v>
      </c>
      <c r="G1905" s="190">
        <f>'2011'!I905</f>
        <v>-273890368.48</v>
      </c>
    </row>
    <row r="1906" spans="1:7" ht="12.75" customHeight="1">
      <c r="A1906" s="190">
        <f>'2011'!C906</f>
        <v>0</v>
      </c>
      <c r="B1906" s="190">
        <f>'2011'!D906</f>
        <v>0</v>
      </c>
      <c r="C1906" s="190">
        <f>'2011'!E906</f>
        <v>0</v>
      </c>
      <c r="D1906" s="190">
        <f>'2011'!F906</f>
        <v>0</v>
      </c>
      <c r="E1906" s="190">
        <f>'2011'!G906</f>
        <v>0</v>
      </c>
      <c r="F1906" s="190">
        <f>'2011'!H906</f>
        <v>0</v>
      </c>
      <c r="G1906" s="190">
        <f>'2011'!I906</f>
        <v>0</v>
      </c>
    </row>
    <row r="1907" spans="1:7" ht="12.75" customHeight="1">
      <c r="A1907" s="190" t="str">
        <f>'2011'!C907</f>
        <v>BRUTTOVERSCHULDUNGSANTEIL</v>
      </c>
      <c r="B1907" s="190">
        <f>'2011'!D907</f>
        <v>0</v>
      </c>
      <c r="C1907" s="190">
        <f>'2011'!E907</f>
        <v>0</v>
      </c>
      <c r="D1907" s="190">
        <f>'2011'!F907</f>
        <v>0</v>
      </c>
      <c r="E1907" s="190">
        <f>'2011'!G907</f>
        <v>0</v>
      </c>
      <c r="F1907" s="190">
        <f>'2011'!H907</f>
        <v>0</v>
      </c>
      <c r="G1907" s="190">
        <f>'2011'!I907</f>
        <v>0</v>
      </c>
    </row>
    <row r="1908" spans="1:7" ht="12.75" customHeight="1">
      <c r="A1908" s="190" t="str">
        <f>'2011'!C908</f>
        <v>Fiskalertrag</v>
      </c>
      <c r="B1908" s="190">
        <f>'2011'!D908</f>
        <v>21059526.4</v>
      </c>
      <c r="C1908" s="190">
        <f>'2011'!E908</f>
        <v>28157267.209999997</v>
      </c>
      <c r="D1908" s="190">
        <f>'2011'!F908</f>
        <v>36121013.41</v>
      </c>
      <c r="E1908" s="190">
        <f>'2011'!G908</f>
        <v>85337807.02</v>
      </c>
      <c r="F1908" s="190">
        <f>'2011'!H908</f>
        <v>110076004</v>
      </c>
      <c r="G1908" s="190">
        <f>'2011'!I908</f>
        <v>195413811.01999998</v>
      </c>
    </row>
    <row r="1909" spans="1:7" ht="12.75" customHeight="1">
      <c r="A1909" s="190" t="str">
        <f>'2011'!C909</f>
        <v>Regalien und Konzessionen</v>
      </c>
      <c r="B1909" s="190">
        <f>'2011'!D909</f>
        <v>1125800.55</v>
      </c>
      <c r="C1909" s="190">
        <f>'2011'!E909</f>
        <v>599623.35</v>
      </c>
      <c r="D1909" s="190">
        <f>'2011'!F909</f>
        <v>299542.1</v>
      </c>
      <c r="E1909" s="190">
        <f>'2011'!G909</f>
        <v>2024966</v>
      </c>
      <c r="F1909" s="190">
        <f>'2011'!H909</f>
        <v>16143638</v>
      </c>
      <c r="G1909" s="190">
        <f>'2011'!I909</f>
        <v>18168604</v>
      </c>
    </row>
    <row r="1910" spans="1:7" ht="12.75" customHeight="1">
      <c r="A1910" s="190" t="str">
        <f>'2011'!C910</f>
        <v>Entgelte</v>
      </c>
      <c r="B1910" s="190">
        <f>'2011'!D910</f>
        <v>7722533.61</v>
      </c>
      <c r="C1910" s="190">
        <f>'2011'!E910</f>
        <v>5713645.430000001</v>
      </c>
      <c r="D1910" s="190">
        <f>'2011'!F910</f>
        <v>8828829.7</v>
      </c>
      <c r="E1910" s="190">
        <f>'2011'!G910</f>
        <v>22265008.740000006</v>
      </c>
      <c r="F1910" s="190">
        <f>'2011'!H910</f>
        <v>58263121</v>
      </c>
      <c r="G1910" s="190">
        <f>'2011'!I910</f>
        <v>80528129.74000001</v>
      </c>
    </row>
    <row r="1911" spans="1:7" ht="12.75" customHeight="1">
      <c r="A1911" s="190" t="str">
        <f>'2011'!C911</f>
        <v>Verschiedene Erträge</v>
      </c>
      <c r="B1911" s="190">
        <f>'2011'!D911</f>
        <v>175823.2</v>
      </c>
      <c r="C1911" s="190">
        <f>'2011'!E911</f>
        <v>789</v>
      </c>
      <c r="D1911" s="190">
        <f>'2011'!F911</f>
        <v>255735.5</v>
      </c>
      <c r="E1911" s="190">
        <f>'2011'!G911</f>
        <v>432347.7</v>
      </c>
      <c r="F1911" s="190">
        <f>'2011'!H911</f>
        <v>135589</v>
      </c>
      <c r="G1911" s="190">
        <f>'2011'!I911</f>
        <v>567936.7000000001</v>
      </c>
    </row>
    <row r="1912" spans="1:7" ht="12.75" customHeight="1">
      <c r="A1912" s="190" t="str">
        <f>'2011'!C912</f>
        <v>Transferertrag</v>
      </c>
      <c r="B1912" s="190">
        <f>'2011'!D912</f>
        <v>5415474.090000001</v>
      </c>
      <c r="C1912" s="190">
        <f>'2011'!E912</f>
        <v>2000740.26</v>
      </c>
      <c r="D1912" s="190">
        <f>'2011'!F912</f>
        <v>4527555.32</v>
      </c>
      <c r="E1912" s="190">
        <f>'2011'!G912</f>
        <v>11943769.670000002</v>
      </c>
      <c r="F1912" s="190">
        <f>'2011'!H912</f>
        <v>118667814</v>
      </c>
      <c r="G1912" s="190">
        <f>'2011'!I912</f>
        <v>130611583.67</v>
      </c>
    </row>
    <row r="1913" spans="1:7" ht="12.75" customHeight="1">
      <c r="A1913" s="190" t="str">
        <f>'2011'!C913</f>
        <v>Laufender Ertrag</v>
      </c>
      <c r="B1913" s="190">
        <f>'2011'!D913</f>
        <v>35499157.85</v>
      </c>
      <c r="C1913" s="190">
        <f>'2011'!E913</f>
        <v>36472065.25</v>
      </c>
      <c r="D1913" s="190">
        <f>'2011'!F913</f>
        <v>50032676.029999994</v>
      </c>
      <c r="E1913" s="190">
        <f>'2011'!G913</f>
        <v>122003899.13000001</v>
      </c>
      <c r="F1913" s="190">
        <f>'2011'!H913</f>
        <v>303286166</v>
      </c>
      <c r="G1913" s="190">
        <f>'2011'!I913</f>
        <v>425290065.13</v>
      </c>
    </row>
    <row r="1914" spans="1:7" ht="12.75" customHeight="1">
      <c r="A1914" s="190">
        <f>'2011'!C914</f>
        <v>0</v>
      </c>
      <c r="B1914" s="190">
        <f>'2011'!D914</f>
        <v>0</v>
      </c>
      <c r="C1914" s="190">
        <f>'2011'!E914</f>
        <v>0</v>
      </c>
      <c r="D1914" s="190">
        <f>'2011'!F914</f>
        <v>0</v>
      </c>
      <c r="E1914" s="190">
        <f>'2011'!G914</f>
        <v>0</v>
      </c>
      <c r="F1914" s="190">
        <f>'2011'!H914</f>
        <v>0</v>
      </c>
      <c r="G1914" s="190">
        <f>'2011'!I914</f>
        <v>0</v>
      </c>
    </row>
    <row r="1915" spans="1:7" ht="12.75" customHeight="1">
      <c r="A1915" s="190">
        <f>'2011'!C915</f>
        <v>0</v>
      </c>
      <c r="B1915" s="190">
        <f>'2011'!D915</f>
        <v>0</v>
      </c>
      <c r="C1915" s="190">
        <f>'2011'!E915</f>
        <v>0</v>
      </c>
      <c r="D1915" s="190">
        <f>'2011'!F915</f>
        <v>0</v>
      </c>
      <c r="E1915" s="190">
        <f>'2011'!G915</f>
        <v>0</v>
      </c>
      <c r="F1915" s="190">
        <f>'2011'!H915</f>
        <v>0</v>
      </c>
      <c r="G1915" s="190">
        <f>'2011'!I915</f>
        <v>0</v>
      </c>
    </row>
    <row r="1916" spans="1:7" ht="12.75" customHeight="1">
      <c r="A1916" s="190" t="str">
        <f>'2011'!C916</f>
        <v>Bruttoschulden * 100 / Laufender Ertrag</v>
      </c>
      <c r="B1916" s="190">
        <f>'2011'!D916</f>
        <v>0.8575016164784879</v>
      </c>
      <c r="C1916" s="190">
        <f>'2011'!E916</f>
        <v>0.8893441494926039</v>
      </c>
      <c r="D1916" s="190">
        <f>'2011'!F916</f>
        <v>0.9763275368423264</v>
      </c>
      <c r="E1916" s="190">
        <f>'2011'!G916</f>
        <v>0.9157500968141393</v>
      </c>
      <c r="F1916" s="190">
        <f>'2011'!H916</f>
        <v>0.5346939762494805</v>
      </c>
      <c r="G1916" s="190">
        <f>'2011'!I916</f>
        <v>0.6440083861264874</v>
      </c>
    </row>
    <row r="1917" spans="1:7" ht="12.75" customHeight="1">
      <c r="A1917" s="190">
        <f>'2011'!C917</f>
        <v>0</v>
      </c>
      <c r="B1917" s="190">
        <f>'2011'!D917</f>
        <v>0</v>
      </c>
      <c r="C1917" s="190">
        <f>'2011'!E917</f>
        <v>0</v>
      </c>
      <c r="D1917" s="190">
        <f>'2011'!F917</f>
        <v>0</v>
      </c>
      <c r="E1917" s="190">
        <f>'2011'!G917</f>
        <v>0</v>
      </c>
      <c r="F1917" s="190">
        <f>'2011'!H917</f>
        <v>0</v>
      </c>
      <c r="G1917" s="190">
        <f>'2011'!I917</f>
        <v>0</v>
      </c>
    </row>
    <row r="1918" spans="1:7" ht="12.75" customHeight="1">
      <c r="A1918" s="190" t="str">
        <f>'2011'!C918</f>
        <v>NETTOSCHULD I</v>
      </c>
      <c r="B1918" s="190">
        <f>'2011'!D918</f>
        <v>0</v>
      </c>
      <c r="C1918" s="190">
        <f>'2011'!E918</f>
        <v>0</v>
      </c>
      <c r="D1918" s="190">
        <f>'2011'!F918</f>
        <v>0</v>
      </c>
      <c r="E1918" s="190">
        <f>'2011'!G918</f>
        <v>0</v>
      </c>
      <c r="F1918" s="190">
        <f>'2011'!H918</f>
        <v>0</v>
      </c>
      <c r="G1918" s="190">
        <f>'2011'!I918</f>
        <v>0</v>
      </c>
    </row>
    <row r="1919" spans="1:7" ht="12.75" customHeight="1">
      <c r="A1919" s="190" t="str">
        <f>'2011'!C919</f>
        <v>Fremdkapital </v>
      </c>
      <c r="B1919" s="190">
        <f>'2011'!D919</f>
        <v>-36417308.54</v>
      </c>
      <c r="C1919" s="190">
        <f>'2011'!E919</f>
        <v>-34822128.15</v>
      </c>
      <c r="D1919" s="190">
        <f>'2011'!F919</f>
        <v>-52841872.84</v>
      </c>
      <c r="E1919" s="190">
        <f>'2011'!G919</f>
        <v>-124081309.52999999</v>
      </c>
      <c r="F1919" s="190">
        <f>'2011'!H919</f>
        <v>-194722046.48</v>
      </c>
      <c r="G1919" s="190">
        <f>'2011'!I919</f>
        <v>-318803356.01</v>
      </c>
    </row>
    <row r="1920" spans="1:7" ht="12.75" customHeight="1">
      <c r="A1920" s="190" t="str">
        <f>'2011'!C920</f>
        <v>Finanzvermögen</v>
      </c>
      <c r="B1920" s="190">
        <f>'2011'!D920</f>
        <v>59428229.45999999</v>
      </c>
      <c r="C1920" s="190">
        <f>'2011'!E920</f>
        <v>53103543.74</v>
      </c>
      <c r="D1920" s="190">
        <f>'2011'!F920</f>
        <v>84386532.89</v>
      </c>
      <c r="E1920" s="190">
        <f>'2011'!G920</f>
        <v>196918306.09</v>
      </c>
      <c r="F1920" s="190">
        <f>'2011'!H920</f>
        <v>373964951.52</v>
      </c>
      <c r="G1920" s="190">
        <f>'2011'!I920</f>
        <v>570883257.61</v>
      </c>
    </row>
    <row r="1921" spans="1:7" ht="12.75" customHeight="1">
      <c r="A1921" s="190" t="str">
        <f>'2011'!C921</f>
        <v>Nettoschuld I (+ = Nettovermögen I)</v>
      </c>
      <c r="B1921" s="190">
        <f>'2011'!D921</f>
        <v>23010920.919999994</v>
      </c>
      <c r="C1921" s="190">
        <f>'2011'!E921</f>
        <v>18281415.590000004</v>
      </c>
      <c r="D1921" s="190">
        <f>'2011'!F921</f>
        <v>31544660.049999997</v>
      </c>
      <c r="E1921" s="190">
        <f>'2011'!G921</f>
        <v>72836996.56000002</v>
      </c>
      <c r="F1921" s="190">
        <f>'2011'!H921</f>
        <v>179242905.04</v>
      </c>
      <c r="G1921" s="190">
        <f>'2011'!I921</f>
        <v>252079901.60000002</v>
      </c>
    </row>
    <row r="1922" spans="1:7" ht="12.75" customHeight="1">
      <c r="A1922" s="190">
        <f>'2011'!C922</f>
        <v>0</v>
      </c>
      <c r="B1922" s="190">
        <f>'2011'!D922</f>
        <v>0</v>
      </c>
      <c r="C1922" s="190">
        <f>'2011'!E922</f>
        <v>0</v>
      </c>
      <c r="D1922" s="190">
        <f>'2011'!F922</f>
        <v>0</v>
      </c>
      <c r="E1922" s="190">
        <f>'2011'!G922</f>
        <v>0</v>
      </c>
      <c r="F1922" s="190">
        <f>'2011'!H922</f>
        <v>0</v>
      </c>
      <c r="G1922" s="190">
        <f>'2011'!I922</f>
        <v>0</v>
      </c>
    </row>
    <row r="1923" spans="1:7" ht="12.75" customHeight="1">
      <c r="A1923" s="190" t="str">
        <f>'2011'!C923</f>
        <v>NETTOSCHULD II</v>
      </c>
      <c r="B1923" s="190">
        <f>'2011'!D923</f>
        <v>0</v>
      </c>
      <c r="C1923" s="190">
        <f>'2011'!E923</f>
        <v>0</v>
      </c>
      <c r="D1923" s="190">
        <f>'2011'!F923</f>
        <v>0</v>
      </c>
      <c r="E1923" s="190">
        <f>'2011'!G923</f>
        <v>0</v>
      </c>
      <c r="F1923" s="190">
        <f>'2011'!H923</f>
        <v>0</v>
      </c>
      <c r="G1923" s="190">
        <f>'2011'!I923</f>
        <v>0</v>
      </c>
    </row>
    <row r="1924" spans="1:7" ht="12.75" customHeight="1">
      <c r="A1924" s="190" t="str">
        <f>'2011'!C924</f>
        <v>Verwaltungsvermögen</v>
      </c>
      <c r="B1924" s="190">
        <f>'2011'!D924</f>
        <v>-37330152.3</v>
      </c>
      <c r="C1924" s="190">
        <f>'2011'!E924</f>
        <v>-37801259</v>
      </c>
      <c r="D1924" s="190">
        <f>'2011'!F924</f>
        <v>-60634948.99</v>
      </c>
      <c r="E1924" s="190">
        <f>'2011'!G924</f>
        <v>-135766360.29</v>
      </c>
      <c r="F1924" s="190">
        <f>'2011'!H924</f>
        <v>-199271970.89</v>
      </c>
      <c r="G1924" s="190">
        <f>'2011'!I924</f>
        <v>-335038331.18</v>
      </c>
    </row>
    <row r="1925" spans="1:7" ht="12.75" customHeight="1">
      <c r="A1925" s="190" t="str">
        <f>'2011'!C925</f>
        <v>Darlehen</v>
      </c>
      <c r="B1925" s="190">
        <f>'2011'!D925</f>
        <v>17409</v>
      </c>
      <c r="C1925" s="190">
        <f>'2011'!E925</f>
        <v>31001</v>
      </c>
      <c r="D1925" s="190">
        <f>'2011'!F925</f>
        <v>3224000</v>
      </c>
      <c r="E1925" s="190">
        <f>'2011'!G925</f>
        <v>3272410</v>
      </c>
      <c r="F1925" s="190">
        <f>'2011'!H925</f>
        <v>28436436.3</v>
      </c>
      <c r="G1925" s="190">
        <f>'2011'!I925</f>
        <v>31708846.3</v>
      </c>
    </row>
    <row r="1926" spans="1:7" ht="12.75" customHeight="1">
      <c r="A1926" s="190" t="str">
        <f>'2011'!C926</f>
        <v>Beteiligungen/Grundkapitalien</v>
      </c>
      <c r="B1926" s="190">
        <f>'2011'!D926</f>
        <v>8230969.5</v>
      </c>
      <c r="C1926" s="190">
        <f>'2011'!E926</f>
        <v>13283257</v>
      </c>
      <c r="D1926" s="190">
        <f>'2011'!F926</f>
        <v>5191445.8</v>
      </c>
      <c r="E1926" s="190">
        <f>'2011'!G926</f>
        <v>26705672.3</v>
      </c>
      <c r="F1926" s="190">
        <f>'2011'!H926</f>
        <v>79744927.6</v>
      </c>
      <c r="G1926" s="190">
        <f>'2011'!I926</f>
        <v>106450599.89999999</v>
      </c>
    </row>
    <row r="1927" spans="1:7" ht="12.75" customHeight="1">
      <c r="A1927" s="190" t="str">
        <f>'2011'!C927</f>
        <v>Eigenkapital</v>
      </c>
      <c r="B1927" s="190">
        <f>'2011'!D927</f>
        <v>60341073.22</v>
      </c>
      <c r="C1927" s="190">
        <f>'2011'!E927</f>
        <v>56082674.589999996</v>
      </c>
      <c r="D1927" s="190">
        <f>'2011'!F927</f>
        <v>92179609.04</v>
      </c>
      <c r="E1927" s="190">
        <f>'2011'!G927</f>
        <v>208603356.85000002</v>
      </c>
      <c r="F1927" s="190">
        <f>'2011'!H927</f>
        <v>378514875.93</v>
      </c>
      <c r="G1927" s="190">
        <f>'2011'!I927</f>
        <v>587118232.78</v>
      </c>
    </row>
    <row r="1928" spans="1:7" ht="12.75" customHeight="1">
      <c r="A1928" s="190" t="str">
        <f>'2011'!C928</f>
        <v>Nettoschuld II (+ = Nettovermögen II)</v>
      </c>
      <c r="B1928" s="190">
        <f>'2011'!D928</f>
        <v>31259299.42</v>
      </c>
      <c r="C1928" s="190">
        <f>'2011'!E928</f>
        <v>31595673.589999996</v>
      </c>
      <c r="D1928" s="190">
        <f>'2011'!F928</f>
        <v>39960105.85</v>
      </c>
      <c r="E1928" s="190">
        <f>'2011'!G928</f>
        <v>102815078.86000003</v>
      </c>
      <c r="F1928" s="190">
        <f>'2011'!H928</f>
        <v>287424268.94000006</v>
      </c>
      <c r="G1928" s="190">
        <f>'2011'!I928</f>
        <v>390239347.79999995</v>
      </c>
    </row>
    <row r="1929" spans="1:7" ht="12.75" customHeight="1">
      <c r="A1929" s="190">
        <f>'2011'!C929</f>
        <v>0</v>
      </c>
      <c r="B1929" s="190">
        <f>'2011'!D929</f>
        <v>0</v>
      </c>
      <c r="C1929" s="190">
        <f>'2011'!E929</f>
        <v>0</v>
      </c>
      <c r="D1929" s="190">
        <f>'2011'!F929</f>
        <v>0</v>
      </c>
      <c r="E1929" s="190">
        <f>'2011'!G929</f>
        <v>0</v>
      </c>
      <c r="F1929" s="190">
        <f>'2011'!H929</f>
        <v>0</v>
      </c>
      <c r="G1929" s="190">
        <f>'2011'!I929</f>
        <v>0</v>
      </c>
    </row>
    <row r="1930" spans="1:7" ht="12.75" customHeight="1">
      <c r="A1930" s="190" t="str">
        <f>'2011'!C930</f>
        <v>Kontrolle</v>
      </c>
      <c r="B1930" s="190">
        <f>'2011'!D930</f>
        <v>0</v>
      </c>
      <c r="C1930" s="190">
        <f>'2011'!E930</f>
        <v>0</v>
      </c>
      <c r="D1930" s="190">
        <f>'2011'!F930</f>
        <v>0</v>
      </c>
      <c r="E1930" s="190">
        <f>'2011'!G930</f>
        <v>0</v>
      </c>
      <c r="F1930" s="190">
        <f>'2011'!H930</f>
        <v>0</v>
      </c>
      <c r="G1930" s="190">
        <f>'2011'!I930</f>
        <v>0</v>
      </c>
    </row>
    <row r="1931" spans="1:7" ht="12.75" customHeight="1">
      <c r="A1931" s="190" t="str">
        <f>'2011'!C931</f>
        <v>Fremdkapital</v>
      </c>
      <c r="B1931" s="190">
        <f>'2011'!D931</f>
        <v>-36417308.54</v>
      </c>
      <c r="C1931" s="190">
        <f>'2011'!E931</f>
        <v>-34822128.15</v>
      </c>
      <c r="D1931" s="190">
        <f>'2011'!F931</f>
        <v>-52841872.84</v>
      </c>
      <c r="E1931" s="190">
        <f>'2011'!G931</f>
        <v>-124081309.52999999</v>
      </c>
      <c r="F1931" s="190">
        <f>'2011'!H931</f>
        <v>-194722046.48</v>
      </c>
      <c r="G1931" s="190">
        <f>'2011'!I931</f>
        <v>-318803356.01</v>
      </c>
    </row>
    <row r="1932" spans="1:7" ht="12.75" customHeight="1">
      <c r="A1932" s="190" t="str">
        <f>'2011'!C932</f>
        <v>Finanzvermögen</v>
      </c>
      <c r="B1932" s="190">
        <f>'2011'!D932</f>
        <v>59428229.45999999</v>
      </c>
      <c r="C1932" s="190">
        <f>'2011'!E932</f>
        <v>53103543.74</v>
      </c>
      <c r="D1932" s="190">
        <f>'2011'!F932</f>
        <v>84386532.89</v>
      </c>
      <c r="E1932" s="190">
        <f>'2011'!G932</f>
        <v>196918306.09</v>
      </c>
      <c r="F1932" s="190">
        <f>'2011'!H932</f>
        <v>373964951.52</v>
      </c>
      <c r="G1932" s="190">
        <f>'2011'!I932</f>
        <v>570883257.61</v>
      </c>
    </row>
    <row r="1933" spans="1:7" ht="12.75" customHeight="1">
      <c r="A1933" s="190" t="str">
        <f>'2011'!C933</f>
        <v>Darlehen</v>
      </c>
      <c r="B1933" s="190">
        <f>'2011'!D933</f>
        <v>17409</v>
      </c>
      <c r="C1933" s="190">
        <f>'2011'!E933</f>
        <v>31001</v>
      </c>
      <c r="D1933" s="190">
        <f>'2011'!F933</f>
        <v>3224000</v>
      </c>
      <c r="E1933" s="190">
        <f>'2011'!G933</f>
        <v>3272410</v>
      </c>
      <c r="F1933" s="190">
        <f>'2011'!H933</f>
        <v>28436436.3</v>
      </c>
      <c r="G1933" s="190">
        <f>'2011'!I933</f>
        <v>31708846.3</v>
      </c>
    </row>
    <row r="1934" spans="1:7" ht="12.75" customHeight="1">
      <c r="A1934" s="190" t="str">
        <f>'2011'!C934</f>
        <v>Beteiligungen/Grundkapitalien</v>
      </c>
      <c r="B1934" s="190">
        <f>'2011'!D934</f>
        <v>8230969.5</v>
      </c>
      <c r="C1934" s="190">
        <f>'2011'!E934</f>
        <v>13283257</v>
      </c>
      <c r="D1934" s="190">
        <f>'2011'!F934</f>
        <v>5191445.8</v>
      </c>
      <c r="E1934" s="190">
        <f>'2011'!G934</f>
        <v>26705672.3</v>
      </c>
      <c r="F1934" s="190">
        <f>'2011'!H934</f>
        <v>79744927.6</v>
      </c>
      <c r="G1934" s="190">
        <f>'2011'!I934</f>
        <v>106450599.89999999</v>
      </c>
    </row>
    <row r="1935" spans="1:7" ht="12.75" customHeight="1">
      <c r="A1935" s="190" t="str">
        <f>'2011'!C935</f>
        <v>Nettoschuld II (+ = Nettovermögen II)</v>
      </c>
      <c r="B1935" s="190">
        <f>'2011'!D935</f>
        <v>31259299.419999994</v>
      </c>
      <c r="C1935" s="190">
        <f>'2011'!E935</f>
        <v>31595673.590000004</v>
      </c>
      <c r="D1935" s="190">
        <f>'2011'!F935</f>
        <v>39960105.849999994</v>
      </c>
      <c r="E1935" s="190">
        <f>'2011'!G935</f>
        <v>102815078.86000001</v>
      </c>
      <c r="F1935" s="190">
        <f>'2011'!H935</f>
        <v>287424268.94</v>
      </c>
      <c r="G1935" s="190">
        <f>'2011'!I935</f>
        <v>390239347.8</v>
      </c>
    </row>
    <row r="1936" spans="1:7" ht="12.75" customHeight="1">
      <c r="A1936" s="190">
        <f>'2011'!C936</f>
        <v>0</v>
      </c>
      <c r="B1936" s="190">
        <f>'2011'!D936</f>
        <v>0</v>
      </c>
      <c r="C1936" s="190">
        <f>'2011'!E936</f>
        <v>0</v>
      </c>
      <c r="D1936" s="190">
        <f>'2011'!F936</f>
        <v>0</v>
      </c>
      <c r="E1936" s="190">
        <f>'2011'!G936</f>
        <v>0</v>
      </c>
      <c r="F1936" s="190">
        <f>'2011'!H936</f>
        <v>0</v>
      </c>
      <c r="G1936" s="190">
        <f>'2011'!I936</f>
        <v>0</v>
      </c>
    </row>
    <row r="1937" spans="1:7" ht="12.75" customHeight="1">
      <c r="A1937" s="190" t="str">
        <f>'2011'!C937</f>
        <v>NETTOSCHULD I (-) PRO EINWOHNER</v>
      </c>
      <c r="B1937" s="190">
        <f>'2011'!D937</f>
        <v>0</v>
      </c>
      <c r="C1937" s="190">
        <f>'2011'!E937</f>
        <v>0</v>
      </c>
      <c r="D1937" s="190">
        <f>'2011'!F937</f>
        <v>0</v>
      </c>
      <c r="E1937" s="190">
        <f>'2011'!G937</f>
        <v>0</v>
      </c>
      <c r="F1937" s="190">
        <f>'2011'!H937</f>
        <v>0</v>
      </c>
      <c r="G1937" s="190">
        <f>'2011'!I937</f>
        <v>0</v>
      </c>
    </row>
    <row r="1938" spans="1:7" ht="12.75" customHeight="1">
      <c r="A1938" s="190">
        <f>'2011'!C938</f>
        <v>0</v>
      </c>
      <c r="B1938" s="190">
        <f>'2011'!D938</f>
        <v>0</v>
      </c>
      <c r="C1938" s="190">
        <f>'2011'!E938</f>
        <v>0</v>
      </c>
      <c r="D1938" s="190">
        <f>'2011'!F938</f>
        <v>0</v>
      </c>
      <c r="E1938" s="190">
        <f>'2011'!G938</f>
        <v>0</v>
      </c>
      <c r="F1938" s="190">
        <f>'2011'!H938</f>
        <v>0</v>
      </c>
      <c r="G1938" s="190">
        <f>'2011'!I938</f>
        <v>0</v>
      </c>
    </row>
    <row r="1939" spans="1:7" ht="12.75" customHeight="1">
      <c r="A1939" s="190" t="str">
        <f>'2011'!C939</f>
        <v>Nettoschuld I / Einwohner  (+ = Vermögen)</v>
      </c>
      <c r="B1939" s="190">
        <f>'2011'!D939</f>
        <v>2320.3510053443574</v>
      </c>
      <c r="C1939" s="190">
        <f>'2011'!E939</f>
        <v>1513.3622177152322</v>
      </c>
      <c r="D1939" s="190">
        <f>'2011'!F939</f>
        <v>1917.4919488177009</v>
      </c>
      <c r="E1939" s="190">
        <f>'2011'!G939</f>
        <v>1894.4287494798173</v>
      </c>
      <c r="F1939" s="190">
        <f>'2011'!H939</f>
        <v>4661.956539741989</v>
      </c>
      <c r="G1939" s="190">
        <f>'2011'!I939</f>
        <v>6556.3852892218065</v>
      </c>
    </row>
    <row r="1940" spans="1:7" ht="12.75" customHeight="1">
      <c r="A1940" s="190">
        <f>'2011'!C940</f>
        <v>0</v>
      </c>
      <c r="B1940" s="190">
        <f>'2011'!D940</f>
        <v>0</v>
      </c>
      <c r="C1940" s="190">
        <f>'2011'!E940</f>
        <v>0</v>
      </c>
      <c r="D1940" s="190">
        <f>'2011'!F940</f>
        <v>0</v>
      </c>
      <c r="E1940" s="190">
        <f>'2011'!G940</f>
        <v>0</v>
      </c>
      <c r="F1940" s="190">
        <f>'2011'!H940</f>
        <v>0</v>
      </c>
      <c r="G1940" s="190">
        <f>'2011'!I940</f>
        <v>0</v>
      </c>
    </row>
    <row r="1941" spans="1:7" ht="12.75" customHeight="1">
      <c r="A1941" s="190" t="str">
        <f>'2011'!C941</f>
        <v>NETTOSCHULD II (-) PRO EINWOHNER</v>
      </c>
      <c r="B1941" s="190">
        <f>'2011'!D941</f>
        <v>0</v>
      </c>
      <c r="C1941" s="190">
        <f>'2011'!E941</f>
        <v>0</v>
      </c>
      <c r="D1941" s="190">
        <f>'2011'!F941</f>
        <v>0</v>
      </c>
      <c r="E1941" s="190">
        <f>'2011'!G941</f>
        <v>0</v>
      </c>
      <c r="F1941" s="190">
        <f>'2011'!H941</f>
        <v>0</v>
      </c>
      <c r="G1941" s="190">
        <f>'2011'!I941</f>
        <v>0</v>
      </c>
    </row>
    <row r="1942" spans="1:7" ht="12.75" customHeight="1">
      <c r="A1942" s="190">
        <f>'2011'!C942</f>
        <v>0</v>
      </c>
      <c r="B1942" s="190">
        <f>'2011'!D942</f>
        <v>0</v>
      </c>
      <c r="C1942" s="190">
        <f>'2011'!E942</f>
        <v>0</v>
      </c>
      <c r="D1942" s="190">
        <f>'2011'!F942</f>
        <v>0</v>
      </c>
      <c r="E1942" s="190">
        <f>'2011'!G942</f>
        <v>0</v>
      </c>
      <c r="F1942" s="190">
        <f>'2011'!H942</f>
        <v>0</v>
      </c>
      <c r="G1942" s="190">
        <f>'2011'!I942</f>
        <v>0</v>
      </c>
    </row>
    <row r="1943" spans="1:7" ht="12.75" customHeight="1">
      <c r="A1943" s="190" t="str">
        <f>'2011'!C943</f>
        <v>Nettoschuld II / Einwohner (+ = Vermögen)</v>
      </c>
      <c r="B1943" s="190">
        <f>'2011'!D943</f>
        <v>3152.0923081577093</v>
      </c>
      <c r="C1943" s="190">
        <f>'2011'!E943</f>
        <v>2615.53589321192</v>
      </c>
      <c r="D1943" s="190">
        <f>'2011'!F943</f>
        <v>2429.038104066622</v>
      </c>
      <c r="E1943" s="190">
        <f>'2011'!G943</f>
        <v>2674.1333452975455</v>
      </c>
      <c r="F1943" s="190">
        <f>'2011'!H943</f>
        <v>7475.6624256138175</v>
      </c>
      <c r="G1943" s="190">
        <f>'2011'!I943</f>
        <v>10149.79577091136</v>
      </c>
    </row>
    <row r="1944" spans="1:7" ht="12.75" customHeight="1">
      <c r="A1944" s="190">
        <f>'2011'!C944</f>
        <v>0</v>
      </c>
      <c r="B1944" s="190">
        <f>'2011'!D944</f>
        <v>0</v>
      </c>
      <c r="C1944" s="190">
        <f>'2011'!E944</f>
        <v>0</v>
      </c>
      <c r="D1944" s="190">
        <f>'2011'!F944</f>
        <v>0</v>
      </c>
      <c r="E1944" s="190">
        <f>'2011'!G944</f>
        <v>0</v>
      </c>
      <c r="F1944" s="190">
        <f>'2011'!H944</f>
        <v>0</v>
      </c>
      <c r="G1944" s="190">
        <f>'2011'!I944</f>
        <v>0</v>
      </c>
    </row>
    <row r="1945" spans="1:7" ht="12.75" customHeight="1">
      <c r="A1945" s="190" t="str">
        <f>'2011'!C945</f>
        <v>NETTOVERSCHULDUNGSQUOTIENT (+)</v>
      </c>
      <c r="B1945" s="190">
        <f>'2011'!D945</f>
        <v>0</v>
      </c>
      <c r="C1945" s="190">
        <f>'2011'!E945</f>
        <v>0</v>
      </c>
      <c r="D1945" s="190">
        <f>'2011'!F945</f>
        <v>0</v>
      </c>
      <c r="E1945" s="190">
        <f>'2011'!G945</f>
        <v>0</v>
      </c>
      <c r="F1945" s="190">
        <f>'2011'!H945</f>
        <v>0</v>
      </c>
      <c r="G1945" s="190">
        <f>'2011'!I945</f>
        <v>0</v>
      </c>
    </row>
    <row r="1946" spans="1:7" ht="12.75" customHeight="1">
      <c r="A1946" s="190">
        <f>'2011'!C946</f>
        <v>0</v>
      </c>
      <c r="B1946" s="190">
        <f>'2011'!D946</f>
        <v>0</v>
      </c>
      <c r="C1946" s="190">
        <f>'2011'!E946</f>
        <v>0</v>
      </c>
      <c r="D1946" s="190">
        <f>'2011'!F946</f>
        <v>0</v>
      </c>
      <c r="E1946" s="190">
        <f>'2011'!G946</f>
        <v>0</v>
      </c>
      <c r="F1946" s="190">
        <f>'2011'!H946</f>
        <v>0</v>
      </c>
      <c r="G1946" s="190">
        <f>'2011'!I946</f>
        <v>0</v>
      </c>
    </row>
    <row r="1947" spans="1:7" ht="12.75" customHeight="1">
      <c r="A1947" s="190" t="str">
        <f>'2011'!C947</f>
        <v>Nettoschuld I / Fiskalertrag x 100 (- = Vermögen)</v>
      </c>
      <c r="B1947" s="190">
        <f>'2011'!D947</f>
        <v>-1.0926608928869357</v>
      </c>
      <c r="C1947" s="190">
        <f>'2011'!E947</f>
        <v>-0.649261004402707</v>
      </c>
      <c r="D1947" s="190">
        <f>'2011'!F947</f>
        <v>-0.8733049566451796</v>
      </c>
      <c r="E1947" s="190">
        <f>'2011'!G947</f>
        <v>-0.8535138071093126</v>
      </c>
      <c r="F1947" s="190">
        <f>'2011'!H947</f>
        <v>-1.628355849836264</v>
      </c>
      <c r="G1947" s="190">
        <f>'2011'!I947</f>
        <v>-1.2899799675581807</v>
      </c>
    </row>
    <row r="1948" spans="1:7" ht="12.75" customHeight="1">
      <c r="A1948" s="190">
        <f>'2011'!C948</f>
        <v>0</v>
      </c>
      <c r="B1948" s="190">
        <f>'2011'!D948</f>
        <v>0</v>
      </c>
      <c r="C1948" s="190">
        <f>'2011'!E948</f>
        <v>0</v>
      </c>
      <c r="D1948" s="190">
        <f>'2011'!F948</f>
        <v>0</v>
      </c>
      <c r="E1948" s="190">
        <f>'2011'!G948</f>
        <v>0</v>
      </c>
      <c r="F1948" s="190">
        <f>'2011'!H948</f>
        <v>0</v>
      </c>
      <c r="G1948" s="190">
        <f>'2011'!I948</f>
        <v>0</v>
      </c>
    </row>
    <row r="1949" spans="1:7" ht="12.75" customHeight="1">
      <c r="A1949" s="190" t="str">
        <f>'2011'!C949</f>
        <v>EIGENKAPITAL</v>
      </c>
      <c r="B1949" s="190">
        <f>'2011'!D949</f>
        <v>0</v>
      </c>
      <c r="C1949" s="190">
        <f>'2011'!E949</f>
        <v>0</v>
      </c>
      <c r="D1949" s="190">
        <f>'2011'!F949</f>
        <v>0</v>
      </c>
      <c r="E1949" s="190">
        <f>'2011'!G949</f>
        <v>0</v>
      </c>
      <c r="F1949" s="190">
        <f>'2011'!H949</f>
        <v>0</v>
      </c>
      <c r="G1949" s="190">
        <f>'2011'!I949</f>
        <v>0</v>
      </c>
    </row>
    <row r="1950" spans="1:7" ht="12.75" customHeight="1">
      <c r="A1950" s="190">
        <f>'2011'!C950</f>
        <v>0</v>
      </c>
      <c r="B1950" s="190">
        <f>'2011'!D950</f>
        <v>0</v>
      </c>
      <c r="C1950" s="190">
        <f>'2011'!E950</f>
        <v>0</v>
      </c>
      <c r="D1950" s="190">
        <f>'2011'!F950</f>
        <v>0</v>
      </c>
      <c r="E1950" s="190">
        <f>'2011'!G950</f>
        <v>0</v>
      </c>
      <c r="F1950" s="190">
        <f>'2011'!H950</f>
        <v>0</v>
      </c>
      <c r="G1950" s="190">
        <f>'2011'!I950</f>
        <v>0</v>
      </c>
    </row>
    <row r="1951" spans="1:7" ht="12.75" customHeight="1">
      <c r="A1951" s="190" t="str">
        <f>'2011'!C951</f>
        <v>Eigenkapital</v>
      </c>
      <c r="B1951" s="190">
        <f>'2011'!D951</f>
        <v>60341073.22</v>
      </c>
      <c r="C1951" s="190">
        <f>'2011'!E951</f>
        <v>56082674.589999996</v>
      </c>
      <c r="D1951" s="190">
        <f>'2011'!F951</f>
        <v>92179609.04</v>
      </c>
      <c r="E1951" s="190">
        <f>'2011'!G951</f>
        <v>208603356.85000002</v>
      </c>
      <c r="F1951" s="190">
        <f>'2011'!H951</f>
        <v>378514875.93</v>
      </c>
      <c r="G1951" s="190">
        <f>'2011'!I951</f>
        <v>587118232.78</v>
      </c>
    </row>
    <row r="1952" spans="1:7" ht="12.75" customHeight="1">
      <c r="A1952" s="190">
        <f>'2011'!C952</f>
        <v>0</v>
      </c>
      <c r="B1952" s="190">
        <f>'2011'!D952</f>
        <v>0</v>
      </c>
      <c r="C1952" s="190">
        <f>'2011'!E952</f>
        <v>0</v>
      </c>
      <c r="D1952" s="190">
        <f>'2011'!F952</f>
        <v>0</v>
      </c>
      <c r="E1952" s="190">
        <f>'2011'!G952</f>
        <v>0</v>
      </c>
      <c r="F1952" s="190">
        <f>'2011'!H952</f>
        <v>0</v>
      </c>
      <c r="G1952" s="190">
        <f>'2011'!I952</f>
        <v>0</v>
      </c>
    </row>
    <row r="1953" spans="1:7" ht="12.75" customHeight="1">
      <c r="A1953" s="190" t="str">
        <f>'2011'!C953</f>
        <v>EIGENKAPITALDECKUNGSGRAD</v>
      </c>
      <c r="B1953" s="190">
        <f>'2011'!D953</f>
        <v>0</v>
      </c>
      <c r="C1953" s="190">
        <f>'2011'!E953</f>
        <v>0</v>
      </c>
      <c r="D1953" s="190">
        <f>'2011'!F953</f>
        <v>0</v>
      </c>
      <c r="E1953" s="190">
        <f>'2011'!G953</f>
        <v>0</v>
      </c>
      <c r="F1953" s="190">
        <f>'2011'!H953</f>
        <v>0</v>
      </c>
      <c r="G1953" s="190">
        <f>'2011'!I953</f>
        <v>0</v>
      </c>
    </row>
    <row r="1954" spans="1:7" ht="12.75" customHeight="1">
      <c r="A1954" s="190" t="str">
        <f>'2011'!C954</f>
        <v>Total Aufwand</v>
      </c>
      <c r="B1954" s="190">
        <f>'2011'!D954</f>
        <v>47890654.79000001</v>
      </c>
      <c r="C1954" s="190">
        <f>'2011'!E954</f>
        <v>48263316.620000005</v>
      </c>
      <c r="D1954" s="190">
        <f>'2011'!F954</f>
        <v>66392069.62</v>
      </c>
      <c r="E1954" s="190">
        <f>'2011'!G954</f>
        <v>162546041.03</v>
      </c>
      <c r="F1954" s="190">
        <f>'2011'!H954</f>
        <v>362583762</v>
      </c>
      <c r="G1954" s="190">
        <f>'2011'!I954</f>
        <v>525129803.03</v>
      </c>
    </row>
    <row r="1955" spans="1:7" ht="12.75" customHeight="1">
      <c r="A1955" s="190" t="str">
        <f>'2011'!C955</f>
        <v>Durchlaufende Beiträge</v>
      </c>
      <c r="B1955" s="190">
        <f>'2011'!D955</f>
        <v>0</v>
      </c>
      <c r="C1955" s="190">
        <f>'2011'!E955</f>
        <v>0</v>
      </c>
      <c r="D1955" s="190">
        <f>'2011'!F955</f>
        <v>0</v>
      </c>
      <c r="E1955" s="190">
        <f>'2011'!G955</f>
        <v>0</v>
      </c>
      <c r="F1955" s="190">
        <f>'2011'!H955</f>
        <v>-28430592</v>
      </c>
      <c r="G1955" s="190">
        <f>'2011'!I955</f>
        <v>-28430592</v>
      </c>
    </row>
    <row r="1956" spans="1:7" ht="12.75" customHeight="1">
      <c r="A1956" s="190" t="str">
        <f>'2011'!C956</f>
        <v>ausserordentlicher Aufwand</v>
      </c>
      <c r="B1956" s="190">
        <f>'2011'!D956</f>
        <v>-1060893.53</v>
      </c>
      <c r="C1956" s="190">
        <f>'2011'!E956</f>
        <v>-2005225</v>
      </c>
      <c r="D1956" s="190">
        <f>'2011'!F956</f>
        <v>-372772.3</v>
      </c>
      <c r="E1956" s="190">
        <f>'2011'!G956</f>
        <v>-3438890.8299999996</v>
      </c>
      <c r="F1956" s="190">
        <f>'2011'!H956</f>
        <v>-12901113</v>
      </c>
      <c r="G1956" s="190">
        <f>'2011'!I956</f>
        <v>-16340003.830000002</v>
      </c>
    </row>
    <row r="1957" spans="1:7" ht="12.75" customHeight="1">
      <c r="A1957" s="190" t="str">
        <f>'2011'!C957</f>
        <v>Interne Verrechnungen</v>
      </c>
      <c r="B1957" s="190">
        <f>'2011'!D957</f>
        <v>-5937643.01</v>
      </c>
      <c r="C1957" s="190">
        <f>'2011'!E957</f>
        <v>-4636688.75</v>
      </c>
      <c r="D1957" s="190">
        <f>'2011'!F957</f>
        <v>-6493096.64</v>
      </c>
      <c r="E1957" s="190">
        <f>'2011'!G957</f>
        <v>-17067428.4</v>
      </c>
      <c r="F1957" s="190">
        <f>'2011'!H957</f>
        <v>-10680140</v>
      </c>
      <c r="G1957" s="190">
        <f>'2011'!I957</f>
        <v>-27747568.400000002</v>
      </c>
    </row>
    <row r="1958" spans="1:7" ht="12.75" customHeight="1">
      <c r="A1958" s="190" t="str">
        <f>'2011'!C958</f>
        <v>Laufender Aufwand</v>
      </c>
      <c r="B1958" s="190">
        <f>'2011'!D958</f>
        <v>40892118.25000001</v>
      </c>
      <c r="C1958" s="190">
        <f>'2011'!E958</f>
        <v>41621402.870000005</v>
      </c>
      <c r="D1958" s="190">
        <f>'2011'!F958</f>
        <v>59526200.68</v>
      </c>
      <c r="E1958" s="190">
        <f>'2011'!G958</f>
        <v>142039721.79999998</v>
      </c>
      <c r="F1958" s="190">
        <f>'2011'!H958</f>
        <v>310571917</v>
      </c>
      <c r="G1958" s="190">
        <f>'2011'!I958</f>
        <v>452611638.8</v>
      </c>
    </row>
    <row r="1959" spans="1:7" ht="12.75" customHeight="1">
      <c r="A1959" s="190">
        <f>'2011'!C959</f>
        <v>0</v>
      </c>
      <c r="B1959" s="190">
        <f>'2011'!D959</f>
        <v>0</v>
      </c>
      <c r="C1959" s="190">
        <f>'2011'!E959</f>
        <v>0</v>
      </c>
      <c r="D1959" s="190">
        <f>'2011'!F959</f>
        <v>0</v>
      </c>
      <c r="E1959" s="190">
        <f>'2011'!G959</f>
        <v>0</v>
      </c>
      <c r="F1959" s="190">
        <f>'2011'!H959</f>
        <v>0</v>
      </c>
      <c r="G1959" s="190">
        <f>'2011'!I959</f>
        <v>0</v>
      </c>
    </row>
    <row r="1960" spans="1:7" ht="12.75" customHeight="1">
      <c r="A1960" s="190" t="str">
        <f>'2011'!C960</f>
        <v>Bilanzüberschuss/-fehlbetrag</v>
      </c>
      <c r="B1960" s="190">
        <f>'2011'!D960</f>
        <v>22995832.26</v>
      </c>
      <c r="C1960" s="190">
        <f>'2011'!E960</f>
        <v>3514457.15</v>
      </c>
      <c r="D1960" s="190">
        <f>'2011'!F960</f>
        <v>472270.26</v>
      </c>
      <c r="E1960" s="190">
        <f>'2011'!G960</f>
        <v>26982559.67</v>
      </c>
      <c r="F1960" s="190">
        <f>'2011'!H960</f>
        <v>51349462.54</v>
      </c>
      <c r="G1960" s="190">
        <f>'2011'!I960</f>
        <v>78332022.21000001</v>
      </c>
    </row>
    <row r="1961" spans="1:7" ht="12.75" customHeight="1">
      <c r="A1961" s="190">
        <f>'2011'!C961</f>
        <v>0</v>
      </c>
      <c r="B1961" s="190">
        <f>'2011'!D961</f>
        <v>0</v>
      </c>
      <c r="C1961" s="190">
        <f>'2011'!E961</f>
        <v>0</v>
      </c>
      <c r="D1961" s="190">
        <f>'2011'!F961</f>
        <v>0</v>
      </c>
      <c r="E1961" s="190">
        <f>'2011'!G961</f>
        <v>0</v>
      </c>
      <c r="F1961" s="190">
        <f>'2011'!H961</f>
        <v>0</v>
      </c>
      <c r="G1961" s="190">
        <f>'2011'!I961</f>
        <v>0</v>
      </c>
    </row>
    <row r="1962" spans="1:7" ht="12.75" customHeight="1">
      <c r="A1962" s="190" t="str">
        <f>'2011'!C962</f>
        <v>Bilanzüberschuss/-fehlbetrag / Laufender Aufwand * 100</v>
      </c>
      <c r="B1962" s="190">
        <f>'2011'!D962</f>
        <v>0.5623536574801917</v>
      </c>
      <c r="C1962" s="190">
        <f>'2011'!E962</f>
        <v>0.7838546589095302</v>
      </c>
      <c r="D1962" s="190">
        <f>'2011'!F962</f>
        <v>0.8167017576234129</v>
      </c>
      <c r="E1962" s="190">
        <f>'2011'!G962</f>
        <v>0.733851870512464</v>
      </c>
      <c r="F1962" s="190">
        <f>'2011'!H962</f>
        <v>0.299842197290491</v>
      </c>
      <c r="G1962" s="190">
        <f>'2011'!I962</f>
        <v>0.436044203510217</v>
      </c>
    </row>
    <row r="1963" spans="1:7" ht="12.75" customHeight="1">
      <c r="A1963" s="190">
        <f>'2011'!C963</f>
        <v>0</v>
      </c>
      <c r="B1963" s="190">
        <f>'2011'!D963</f>
        <v>0</v>
      </c>
      <c r="C1963" s="190">
        <f>'2011'!E963</f>
        <v>0</v>
      </c>
      <c r="D1963" s="190">
        <f>'2011'!F963</f>
        <v>0</v>
      </c>
      <c r="E1963" s="190">
        <f>'2011'!G963</f>
        <v>0</v>
      </c>
      <c r="F1963" s="190">
        <f>'2011'!H963</f>
        <v>0</v>
      </c>
      <c r="G1963" s="190">
        <f>'2011'!I963</f>
        <v>0</v>
      </c>
    </row>
    <row r="1964" spans="1:7" ht="12.75" customHeight="1">
      <c r="A1964" s="190" t="str">
        <f>'2011'!C964</f>
        <v>SELBSTFINANZIERUNG</v>
      </c>
      <c r="B1964" s="190">
        <f>'2011'!D964</f>
        <v>0</v>
      </c>
      <c r="C1964" s="190">
        <f>'2011'!E964</f>
        <v>0</v>
      </c>
      <c r="D1964" s="190">
        <f>'2011'!F964</f>
        <v>0</v>
      </c>
      <c r="E1964" s="190">
        <f>'2011'!G964</f>
        <v>0</v>
      </c>
      <c r="F1964" s="190">
        <f>'2011'!H964</f>
        <v>0</v>
      </c>
      <c r="G1964" s="190">
        <f>'2011'!I964</f>
        <v>0</v>
      </c>
    </row>
    <row r="1965" spans="1:7" ht="12.75" customHeight="1">
      <c r="A1965" s="190" t="str">
        <f>'2011'!C965</f>
        <v>Ertragsüberschuss Erfolgsrechnung</v>
      </c>
      <c r="B1965" s="190">
        <f>'2011'!D965</f>
        <v>637558.6</v>
      </c>
      <c r="C1965" s="190">
        <f>'2011'!E965</f>
        <v>3514457.15</v>
      </c>
      <c r="D1965" s="190">
        <f>'2011'!F965</f>
        <v>472270.26</v>
      </c>
      <c r="E1965" s="190">
        <f>'2011'!G965</f>
        <v>4624286.01</v>
      </c>
      <c r="F1965" s="190">
        <f>'2011'!H965</f>
        <v>8102268</v>
      </c>
      <c r="G1965" s="190">
        <f>'2011'!I965</f>
        <v>12726554.01</v>
      </c>
    </row>
    <row r="1966" spans="1:7" ht="12.75" customHeight="1">
      <c r="A1966" s="190" t="str">
        <f>'2011'!C966</f>
        <v>Aufwandüberschuss Erfolgsrechnung </v>
      </c>
      <c r="B1966" s="190">
        <f>'2011'!D966</f>
        <v>0</v>
      </c>
      <c r="C1966" s="190">
        <f>'2011'!E966</f>
        <v>0</v>
      </c>
      <c r="D1966" s="190">
        <f>'2011'!F966</f>
        <v>0</v>
      </c>
      <c r="E1966" s="190">
        <f>'2011'!G966</f>
        <v>0</v>
      </c>
      <c r="F1966" s="190">
        <f>'2011'!H966</f>
        <v>0</v>
      </c>
      <c r="G1966" s="190">
        <f>'2011'!I966</f>
        <v>0</v>
      </c>
    </row>
    <row r="1967" spans="1:7" ht="12.75" customHeight="1">
      <c r="A1967" s="190" t="str">
        <f>'2011'!C967</f>
        <v>Abschreibungen VV</v>
      </c>
      <c r="B1967" s="190">
        <f>'2011'!D967</f>
        <v>3684268</v>
      </c>
      <c r="C1967" s="190">
        <f>'2011'!E967</f>
        <v>3242020.98</v>
      </c>
      <c r="D1967" s="190">
        <f>'2011'!F967</f>
        <v>6232616.07</v>
      </c>
      <c r="E1967" s="190">
        <f>'2011'!G967</f>
        <v>13158905.05</v>
      </c>
      <c r="F1967" s="190">
        <f>'2011'!H967</f>
        <v>9019009</v>
      </c>
      <c r="G1967" s="190">
        <f>'2011'!I967</f>
        <v>22177914.05</v>
      </c>
    </row>
    <row r="1968" spans="1:7" ht="12.75" customHeight="1">
      <c r="A1968" s="190" t="str">
        <f>'2011'!C968</f>
        <v>Abschreibungen Investitionsbeiträge</v>
      </c>
      <c r="B1968" s="190">
        <f>'2011'!D968</f>
        <v>22355</v>
      </c>
      <c r="C1968" s="190">
        <f>'2011'!E968</f>
        <v>281462.85</v>
      </c>
      <c r="D1968" s="190">
        <f>'2011'!F968</f>
        <v>1363914.75</v>
      </c>
      <c r="E1968" s="190">
        <f>'2011'!G968</f>
        <v>1667732.6</v>
      </c>
      <c r="F1968" s="190">
        <f>'2011'!H968</f>
        <v>4981496</v>
      </c>
      <c r="G1968" s="190">
        <f>'2011'!I968</f>
        <v>6649228.6</v>
      </c>
    </row>
    <row r="1969" spans="1:7" ht="12.75" customHeight="1">
      <c r="A1969" s="190" t="str">
        <f>'2011'!C969</f>
        <v>Aufwertung VV</v>
      </c>
      <c r="B1969" s="190">
        <f>'2011'!D969</f>
        <v>0</v>
      </c>
      <c r="C1969" s="190">
        <f>'2011'!E969</f>
        <v>0</v>
      </c>
      <c r="D1969" s="190">
        <f>'2011'!F969</f>
        <v>0</v>
      </c>
      <c r="E1969" s="190">
        <f>'2011'!G969</f>
        <v>0</v>
      </c>
      <c r="F1969" s="190">
        <f>'2011'!H969</f>
        <v>0</v>
      </c>
      <c r="G1969" s="190">
        <f>'2011'!I969</f>
        <v>0</v>
      </c>
    </row>
    <row r="1970" spans="1:7" ht="12.75" customHeight="1">
      <c r="A1970" s="190" t="str">
        <f>'2011'!C970</f>
        <v>Zusätzliche Abschreibungen</v>
      </c>
      <c r="B1970" s="190">
        <f>'2011'!D970</f>
        <v>0</v>
      </c>
      <c r="C1970" s="190">
        <f>'2011'!E970</f>
        <v>0</v>
      </c>
      <c r="D1970" s="190">
        <f>'2011'!F970</f>
        <v>372772.3</v>
      </c>
      <c r="E1970" s="190">
        <f>'2011'!G970</f>
        <v>372772.3</v>
      </c>
      <c r="F1970" s="190">
        <f>'2011'!H970</f>
        <v>9727164</v>
      </c>
      <c r="G1970" s="190">
        <f>'2011'!I970</f>
        <v>10099936.3</v>
      </c>
    </row>
    <row r="1971" spans="1:7" ht="12.75" customHeight="1">
      <c r="A1971" s="190" t="str">
        <f>'2011'!C971</f>
        <v>A.o.Transferaufwand; zus.Abschr.auf Darl,, Beteilig,, Invest.Beitr.</v>
      </c>
      <c r="B1971" s="190">
        <f>'2011'!D971</f>
        <v>0</v>
      </c>
      <c r="C1971" s="190">
        <f>'2011'!E971</f>
        <v>0</v>
      </c>
      <c r="D1971" s="190">
        <f>'2011'!F971</f>
        <v>0</v>
      </c>
      <c r="E1971" s="190">
        <f>'2011'!G971</f>
        <v>0</v>
      </c>
      <c r="F1971" s="190">
        <f>'2011'!H971</f>
        <v>2666608</v>
      </c>
      <c r="G1971" s="190">
        <f>'2011'!I971</f>
        <v>2666608</v>
      </c>
    </row>
    <row r="1972" spans="1:7" ht="12.75" customHeight="1">
      <c r="A1972" s="190" t="str">
        <f>'2011'!C972</f>
        <v>Einlagen in Fonds und Spezialfinanzierungen im EK</v>
      </c>
      <c r="B1972" s="190">
        <f>'2011'!D972</f>
        <v>107741.95</v>
      </c>
      <c r="C1972" s="190">
        <f>'2011'!E972</f>
        <v>100805.1</v>
      </c>
      <c r="D1972" s="190">
        <f>'2011'!F972</f>
        <v>473976.48</v>
      </c>
      <c r="E1972" s="190">
        <f>'2011'!G972</f>
        <v>682523.53</v>
      </c>
      <c r="F1972" s="190">
        <f>'2011'!H972</f>
        <v>877809</v>
      </c>
      <c r="G1972" s="190">
        <f>'2011'!I972</f>
        <v>1560332.53</v>
      </c>
    </row>
    <row r="1973" spans="1:7" ht="12.75" customHeight="1">
      <c r="A1973" s="190" t="str">
        <f>'2011'!C973</f>
        <v>Entnahmen aus Fonds und Spezialfinanzierungen im EK</v>
      </c>
      <c r="B1973" s="190">
        <f>'2011'!D973</f>
        <v>0</v>
      </c>
      <c r="C1973" s="190">
        <f>'2011'!E973</f>
        <v>-19275.95</v>
      </c>
      <c r="D1973" s="190">
        <f>'2011'!F973</f>
        <v>-1361400.2</v>
      </c>
      <c r="E1973" s="190">
        <f>'2011'!G973</f>
        <v>-1380676.15</v>
      </c>
      <c r="F1973" s="190">
        <f>'2011'!H973</f>
        <v>-12409694</v>
      </c>
      <c r="G1973" s="190">
        <f>'2011'!I973</f>
        <v>-13790370.15</v>
      </c>
    </row>
    <row r="1974" spans="1:7" ht="12.75" customHeight="1">
      <c r="A1974" s="190" t="str">
        <f>'2011'!C974</f>
        <v>Einlagen in das Eigenkapital</v>
      </c>
      <c r="B1974" s="190">
        <f>'2011'!D974</f>
        <v>0</v>
      </c>
      <c r="C1974" s="190">
        <f>'2011'!E974</f>
        <v>0</v>
      </c>
      <c r="D1974" s="190">
        <f>'2011'!F974</f>
        <v>0</v>
      </c>
      <c r="E1974" s="190">
        <f>'2011'!G974</f>
        <v>0</v>
      </c>
      <c r="F1974" s="190">
        <f>'2011'!H974</f>
        <v>507341</v>
      </c>
      <c r="G1974" s="190">
        <f>'2011'!I974</f>
        <v>507341</v>
      </c>
    </row>
    <row r="1975" spans="1:7" ht="12.75" customHeight="1">
      <c r="A1975" s="190" t="str">
        <f>'2011'!C975</f>
        <v>Entnahmen aus dem Eigenkapital</v>
      </c>
      <c r="B1975" s="190">
        <f>'2011'!D975</f>
        <v>0</v>
      </c>
      <c r="C1975" s="190">
        <f>'2011'!E975</f>
        <v>0</v>
      </c>
      <c r="D1975" s="190">
        <f>'2011'!F975</f>
        <v>0</v>
      </c>
      <c r="E1975" s="190">
        <f>'2011'!G975</f>
        <v>0</v>
      </c>
      <c r="F1975" s="190">
        <f>'2011'!H975</f>
        <v>-134365</v>
      </c>
      <c r="G1975" s="190">
        <f>'2011'!I975</f>
        <v>-134365</v>
      </c>
    </row>
    <row r="1976" spans="1:7" ht="12.75" customHeight="1">
      <c r="A1976" s="190" t="str">
        <f>'2011'!C976</f>
        <v>Selbstfinanzierung</v>
      </c>
      <c r="B1976" s="190">
        <f>'2011'!D976</f>
        <v>4451923.55</v>
      </c>
      <c r="C1976" s="190">
        <f>'2011'!E976</f>
        <v>7119470.129999999</v>
      </c>
      <c r="D1976" s="190">
        <f>'2011'!F976</f>
        <v>7554149.660000001</v>
      </c>
      <c r="E1976" s="190">
        <f>'2011'!G976</f>
        <v>19125543.340000007</v>
      </c>
      <c r="F1976" s="190">
        <f>'2011'!H976</f>
        <v>23337636</v>
      </c>
      <c r="G1976" s="190">
        <f>'2011'!I976</f>
        <v>42463179.34000001</v>
      </c>
    </row>
    <row r="1977" spans="1:7" ht="12.75" customHeight="1">
      <c r="A1977" s="190">
        <f>'2011'!C977</f>
        <v>0</v>
      </c>
      <c r="B1977" s="190">
        <f>'2011'!D977</f>
        <v>0</v>
      </c>
      <c r="C1977" s="190">
        <f>'2011'!E977</f>
        <v>0</v>
      </c>
      <c r="D1977" s="190">
        <f>'2011'!F977</f>
        <v>0</v>
      </c>
      <c r="E1977" s="190">
        <f>'2011'!G977</f>
        <v>0</v>
      </c>
      <c r="F1977" s="190">
        <f>'2011'!H977</f>
        <v>0</v>
      </c>
      <c r="G1977" s="190">
        <f>'2011'!I977</f>
        <v>0</v>
      </c>
    </row>
    <row r="1978" spans="1:7" ht="12.75" customHeight="1">
      <c r="A1978" s="190" t="str">
        <f>'2011'!C978</f>
        <v>SELBSTFINANZIERUNGSANTEIL</v>
      </c>
      <c r="B1978" s="190">
        <f>'2011'!D978</f>
        <v>0</v>
      </c>
      <c r="C1978" s="190">
        <f>'2011'!E978</f>
        <v>0</v>
      </c>
      <c r="D1978" s="190">
        <f>'2011'!F978</f>
        <v>0</v>
      </c>
      <c r="E1978" s="190">
        <f>'2011'!G978</f>
        <v>0</v>
      </c>
      <c r="F1978" s="190">
        <f>'2011'!H978</f>
        <v>0</v>
      </c>
      <c r="G1978" s="190">
        <f>'2011'!I978</f>
        <v>0</v>
      </c>
    </row>
    <row r="1979" spans="1:7" ht="12.75" customHeight="1">
      <c r="A1979" s="190" t="str">
        <f>'2011'!C979</f>
        <v>Fiskalertrag</v>
      </c>
      <c r="B1979" s="190">
        <f>'2011'!D979</f>
        <v>21059526.4</v>
      </c>
      <c r="C1979" s="190">
        <f>'2011'!E979</f>
        <v>28157267.209999997</v>
      </c>
      <c r="D1979" s="190">
        <f>'2011'!F979</f>
        <v>36121013.41</v>
      </c>
      <c r="E1979" s="190">
        <f>'2011'!G979</f>
        <v>85337807.02</v>
      </c>
      <c r="F1979" s="190">
        <f>'2011'!H979</f>
        <v>110076004</v>
      </c>
      <c r="G1979" s="190">
        <f>'2011'!I979</f>
        <v>195413811.01999998</v>
      </c>
    </row>
    <row r="1980" spans="1:7" ht="12.75" customHeight="1">
      <c r="A1980" s="190" t="str">
        <f>'2011'!C980</f>
        <v>Regalien und Konzessionen</v>
      </c>
      <c r="B1980" s="190">
        <f>'2011'!D980</f>
        <v>1125800.55</v>
      </c>
      <c r="C1980" s="190">
        <f>'2011'!E980</f>
        <v>599623.35</v>
      </c>
      <c r="D1980" s="190">
        <f>'2011'!F980</f>
        <v>299542.1</v>
      </c>
      <c r="E1980" s="190">
        <f>'2011'!G980</f>
        <v>2024966</v>
      </c>
      <c r="F1980" s="190">
        <f>'2011'!H980</f>
        <v>16143638</v>
      </c>
      <c r="G1980" s="190">
        <f>'2011'!I980</f>
        <v>18168604</v>
      </c>
    </row>
    <row r="1981" spans="1:7" ht="12.75" customHeight="1">
      <c r="A1981" s="190" t="str">
        <f>'2011'!C981</f>
        <v>Entgelte</v>
      </c>
      <c r="B1981" s="190">
        <f>'2011'!D981</f>
        <v>7722533.61</v>
      </c>
      <c r="C1981" s="190">
        <f>'2011'!E981</f>
        <v>5713645.430000001</v>
      </c>
      <c r="D1981" s="190">
        <f>'2011'!F981</f>
        <v>8828829.7</v>
      </c>
      <c r="E1981" s="190">
        <f>'2011'!G981</f>
        <v>22265008.740000006</v>
      </c>
      <c r="F1981" s="190">
        <f>'2011'!H981</f>
        <v>58263121</v>
      </c>
      <c r="G1981" s="190">
        <f>'2011'!I981</f>
        <v>80528129.74000001</v>
      </c>
    </row>
    <row r="1982" spans="1:7" ht="12.75" customHeight="1">
      <c r="A1982" s="190" t="str">
        <f>'2011'!C982</f>
        <v>Verschiedene Erträge</v>
      </c>
      <c r="B1982" s="190">
        <f>'2011'!D982</f>
        <v>175823.2</v>
      </c>
      <c r="C1982" s="190">
        <f>'2011'!E982</f>
        <v>789</v>
      </c>
      <c r="D1982" s="190">
        <f>'2011'!F982</f>
        <v>255735.5</v>
      </c>
      <c r="E1982" s="190">
        <f>'2011'!G982</f>
        <v>432347.7</v>
      </c>
      <c r="F1982" s="190">
        <f>'2011'!H982</f>
        <v>135589</v>
      </c>
      <c r="G1982" s="190">
        <f>'2011'!I982</f>
        <v>567936.7000000001</v>
      </c>
    </row>
    <row r="1983" spans="1:7" ht="12.75" customHeight="1">
      <c r="A1983" s="190" t="str">
        <f>'2011'!C983</f>
        <v>Transferertrag</v>
      </c>
      <c r="B1983" s="190">
        <f>'2011'!D983</f>
        <v>5415474.090000001</v>
      </c>
      <c r="C1983" s="190">
        <f>'2011'!E983</f>
        <v>2000740.26</v>
      </c>
      <c r="D1983" s="190">
        <f>'2011'!F983</f>
        <v>4527555.32</v>
      </c>
      <c r="E1983" s="190">
        <f>'2011'!G983</f>
        <v>11943769.670000002</v>
      </c>
      <c r="F1983" s="190">
        <f>'2011'!H983</f>
        <v>118667814</v>
      </c>
      <c r="G1983" s="190">
        <f>'2011'!I983</f>
        <v>130611583.67</v>
      </c>
    </row>
    <row r="1984" spans="1:7" ht="12.75" customHeight="1">
      <c r="A1984" s="190" t="str">
        <f>'2011'!C984</f>
        <v>Laufender Ertrag</v>
      </c>
      <c r="B1984" s="190">
        <f>'2011'!D984</f>
        <v>35499157.85</v>
      </c>
      <c r="C1984" s="190">
        <f>'2011'!E984</f>
        <v>36472065.25</v>
      </c>
      <c r="D1984" s="190">
        <f>'2011'!F984</f>
        <v>50032676.029999994</v>
      </c>
      <c r="E1984" s="190">
        <f>'2011'!G984</f>
        <v>122003899.13000001</v>
      </c>
      <c r="F1984" s="190">
        <f>'2011'!H984</f>
        <v>303286166</v>
      </c>
      <c r="G1984" s="190">
        <f>'2011'!I984</f>
        <v>425290065.13</v>
      </c>
    </row>
    <row r="1985" spans="1:7" ht="12.75" customHeight="1">
      <c r="A1985" s="190">
        <f>'2011'!C985</f>
        <v>0</v>
      </c>
      <c r="B1985" s="190">
        <f>'2011'!D985</f>
        <v>0</v>
      </c>
      <c r="C1985" s="190">
        <f>'2011'!E985</f>
        <v>0</v>
      </c>
      <c r="D1985" s="190">
        <f>'2011'!F985</f>
        <v>0</v>
      </c>
      <c r="E1985" s="190">
        <f>'2011'!G985</f>
        <v>0</v>
      </c>
      <c r="F1985" s="190">
        <f>'2011'!H985</f>
        <v>0</v>
      </c>
      <c r="G1985" s="190">
        <f>'2011'!I985</f>
        <v>0</v>
      </c>
    </row>
    <row r="1986" spans="1:7" ht="12.75" customHeight="1">
      <c r="A1986" s="190" t="str">
        <f>'2011'!C986</f>
        <v>Selbstfinanzierung / Laufender Ertrag * 100</v>
      </c>
      <c r="B1986" s="190">
        <f>'2011'!D986</f>
        <v>0.12540927220897438</v>
      </c>
      <c r="C1986" s="190">
        <f>'2011'!E986</f>
        <v>0.19520337225762116</v>
      </c>
      <c r="D1986" s="190">
        <f>'2011'!F986</f>
        <v>0.15098432183540358</v>
      </c>
      <c r="E1986" s="190">
        <f>'2011'!G986</f>
        <v>0.1567617385705106</v>
      </c>
      <c r="F1986" s="190">
        <f>'2011'!H986</f>
        <v>0.0769492268895641</v>
      </c>
      <c r="G1986" s="190">
        <f>'2011'!I986</f>
        <v>0.09984521817367197</v>
      </c>
    </row>
    <row r="1987" spans="1:7" ht="12.75" customHeight="1">
      <c r="A1987" s="190">
        <f>'2011'!C987</f>
        <v>0</v>
      </c>
      <c r="B1987" s="190">
        <f>'2011'!D987</f>
        <v>0</v>
      </c>
      <c r="C1987" s="190">
        <f>'2011'!E987</f>
        <v>0</v>
      </c>
      <c r="D1987" s="190">
        <f>'2011'!F987</f>
        <v>0</v>
      </c>
      <c r="E1987" s="190">
        <f>'2011'!G987</f>
        <v>0</v>
      </c>
      <c r="F1987" s="190">
        <f>'2011'!H987</f>
        <v>0</v>
      </c>
      <c r="G1987" s="190">
        <f>'2011'!I987</f>
        <v>0</v>
      </c>
    </row>
    <row r="1988" spans="1:7" ht="12.75" customHeight="1">
      <c r="A1988" s="190" t="str">
        <f>'2011'!C988</f>
        <v>SELBSTFINANZIERUNGSRAD</v>
      </c>
      <c r="B1988" s="190">
        <f>'2011'!D988</f>
        <v>0</v>
      </c>
      <c r="C1988" s="190">
        <f>'2011'!E988</f>
        <v>0</v>
      </c>
      <c r="D1988" s="190">
        <f>'2011'!F988</f>
        <v>0</v>
      </c>
      <c r="E1988" s="190">
        <f>'2011'!G988</f>
        <v>0</v>
      </c>
      <c r="F1988" s="190">
        <f>'2011'!H988</f>
        <v>0</v>
      </c>
      <c r="G1988" s="190">
        <f>'2011'!I988</f>
        <v>0</v>
      </c>
    </row>
    <row r="1989" spans="1:7" ht="12.75" customHeight="1">
      <c r="A1989" s="190">
        <f>'2011'!C989</f>
        <v>0</v>
      </c>
      <c r="B1989" s="190">
        <f>'2011'!D989</f>
        <v>0</v>
      </c>
      <c r="C1989" s="190">
        <f>'2011'!E989</f>
        <v>0</v>
      </c>
      <c r="D1989" s="190">
        <f>'2011'!F989</f>
        <v>0</v>
      </c>
      <c r="E1989" s="190">
        <f>'2011'!G989</f>
        <v>0</v>
      </c>
      <c r="F1989" s="190">
        <f>'2011'!H989</f>
        <v>0</v>
      </c>
      <c r="G1989" s="190">
        <f>'2011'!I989</f>
        <v>0</v>
      </c>
    </row>
    <row r="1990" spans="1:7" ht="12.75" customHeight="1">
      <c r="A1990" s="190" t="str">
        <f>'2011'!C990</f>
        <v>Nettoinvestitionen</v>
      </c>
      <c r="B1990" s="190">
        <f>'2011'!D990</f>
        <v>4487577.05</v>
      </c>
      <c r="C1990" s="190">
        <f>'2011'!E990</f>
        <v>2251555.7</v>
      </c>
      <c r="D1990" s="190">
        <f>'2011'!F990</f>
        <v>3154747.48</v>
      </c>
      <c r="E1990" s="190">
        <f>'2011'!G990</f>
        <v>9893880.229999999</v>
      </c>
      <c r="F1990" s="190">
        <f>'2011'!H990</f>
        <v>17685731</v>
      </c>
      <c r="G1990" s="190">
        <f>'2011'!I990</f>
        <v>27579611.229999997</v>
      </c>
    </row>
    <row r="1991" spans="1:7" ht="12.75" customHeight="1">
      <c r="A1991" s="190">
        <f>'2011'!C991</f>
        <v>0</v>
      </c>
      <c r="B1991" s="190">
        <f>'2011'!D991</f>
        <v>0</v>
      </c>
      <c r="C1991" s="190">
        <f>'2011'!E991</f>
        <v>0</v>
      </c>
      <c r="D1991" s="190">
        <f>'2011'!F991</f>
        <v>0</v>
      </c>
      <c r="E1991" s="190">
        <f>'2011'!G991</f>
        <v>0</v>
      </c>
      <c r="F1991" s="190">
        <f>'2011'!H991</f>
        <v>0</v>
      </c>
      <c r="G1991" s="190">
        <f>'2011'!I991</f>
        <v>0</v>
      </c>
    </row>
    <row r="1992" spans="1:7" ht="12.75" customHeight="1">
      <c r="A1992" s="190" t="str">
        <f>'2011'!C992</f>
        <v>Selbstfinanzierung / Nettoinvestitionen * 100</v>
      </c>
      <c r="B1992" s="190">
        <f>'2011'!D992</f>
        <v>0.9920550667759566</v>
      </c>
      <c r="C1992" s="190">
        <f>'2011'!E992</f>
        <v>3.162022653936564</v>
      </c>
      <c r="D1992" s="190">
        <f>'2011'!F992</f>
        <v>2.3945338598067445</v>
      </c>
      <c r="E1992" s="190">
        <f>'2011'!G992</f>
        <v>1.9330680072321849</v>
      </c>
      <c r="F1992" s="190">
        <f>'2011'!H992</f>
        <v>1.3195742941018385</v>
      </c>
      <c r="G1992" s="190">
        <f>'2011'!I992</f>
        <v>1.5396583724795316</v>
      </c>
    </row>
    <row r="1993" spans="1:7" ht="12.75" customHeight="1">
      <c r="A1993" s="190">
        <f>'2011'!C993</f>
        <v>0</v>
      </c>
      <c r="B1993" s="190">
        <f>'2011'!D993</f>
        <v>0</v>
      </c>
      <c r="C1993" s="190">
        <f>'2011'!E993</f>
        <v>0</v>
      </c>
      <c r="D1993" s="190">
        <f>'2011'!F993</f>
        <v>0</v>
      </c>
      <c r="E1993" s="190">
        <f>'2011'!G993</f>
        <v>0</v>
      </c>
      <c r="F1993" s="190">
        <f>'2011'!H993</f>
        <v>0</v>
      </c>
      <c r="G1993" s="190">
        <f>'2011'!I993</f>
        <v>0</v>
      </c>
    </row>
    <row r="1994" spans="1:7" ht="12.75" customHeight="1">
      <c r="A1994" s="190" t="str">
        <f>'2011'!C994</f>
        <v>KAPITALDIENSTANTEIL</v>
      </c>
      <c r="B1994" s="190">
        <f>'2011'!D994</f>
        <v>0</v>
      </c>
      <c r="C1994" s="190">
        <f>'2011'!E994</f>
        <v>0</v>
      </c>
      <c r="D1994" s="190">
        <f>'2011'!F994</f>
        <v>0</v>
      </c>
      <c r="E1994" s="190">
        <f>'2011'!G994</f>
        <v>0</v>
      </c>
      <c r="F1994" s="190">
        <f>'2011'!H994</f>
        <v>0</v>
      </c>
      <c r="G1994" s="190">
        <f>'2011'!I994</f>
        <v>0</v>
      </c>
    </row>
    <row r="1995" spans="1:7" ht="12.75" customHeight="1">
      <c r="A1995" s="190" t="str">
        <f>'2011'!C995</f>
        <v>Zinsaufwand</v>
      </c>
      <c r="B1995" s="190">
        <f>'2011'!D995</f>
        <v>597222.16</v>
      </c>
      <c r="C1995" s="190">
        <f>'2011'!E995</f>
        <v>649109.25</v>
      </c>
      <c r="D1995" s="190">
        <f>'2011'!F995</f>
        <v>596584.83</v>
      </c>
      <c r="E1995" s="190">
        <f>'2011'!G995</f>
        <v>1842916.2400000002</v>
      </c>
      <c r="F1995" s="190">
        <f>'2011'!H995</f>
        <v>2813509</v>
      </c>
      <c r="G1995" s="190">
        <f>'2011'!I995</f>
        <v>4656425.24</v>
      </c>
    </row>
    <row r="1996" spans="1:7" ht="12.75" customHeight="1">
      <c r="A1996" s="190" t="str">
        <f>'2011'!C996</f>
        <v>Zinsertrag</v>
      </c>
      <c r="B1996" s="190">
        <f>'2011'!D996</f>
        <v>-9060.6</v>
      </c>
      <c r="C1996" s="190">
        <f>'2011'!E996</f>
        <v>-189558.54</v>
      </c>
      <c r="D1996" s="190">
        <f>'2011'!F996</f>
        <v>-90881.91</v>
      </c>
      <c r="E1996" s="190">
        <f>'2011'!G996</f>
        <v>-289501.05000000005</v>
      </c>
      <c r="F1996" s="190">
        <f>'2011'!H996</f>
        <v>-6678318</v>
      </c>
      <c r="G1996" s="190">
        <f>'2011'!I996</f>
        <v>-6967819.05</v>
      </c>
    </row>
    <row r="1997" spans="1:7" ht="12.75" customHeight="1">
      <c r="A1997" s="190" t="str">
        <f>'2011'!C997</f>
        <v>Nettozinsaufwand</v>
      </c>
      <c r="B1997" s="190">
        <f>'2011'!D997</f>
        <v>588161.56</v>
      </c>
      <c r="C1997" s="190">
        <f>'2011'!E997</f>
        <v>459550.70999999996</v>
      </c>
      <c r="D1997" s="190">
        <f>'2011'!F997</f>
        <v>505702.9199999999</v>
      </c>
      <c r="E1997" s="190">
        <f>'2011'!G997</f>
        <v>1553415.1900000002</v>
      </c>
      <c r="F1997" s="190">
        <f>'2011'!H997</f>
        <v>-3864809</v>
      </c>
      <c r="G1997" s="190">
        <f>'2011'!I997</f>
        <v>-2311393.8099999996</v>
      </c>
    </row>
    <row r="1998" spans="1:7" ht="12.75" customHeight="1">
      <c r="A1998" s="190">
        <f>'2011'!C998</f>
        <v>0</v>
      </c>
      <c r="B1998" s="190">
        <f>'2011'!D998</f>
        <v>0</v>
      </c>
      <c r="C1998" s="190">
        <f>'2011'!E998</f>
        <v>0</v>
      </c>
      <c r="D1998" s="190">
        <f>'2011'!F998</f>
        <v>0</v>
      </c>
      <c r="E1998" s="190">
        <f>'2011'!G998</f>
        <v>0</v>
      </c>
      <c r="F1998" s="190">
        <f>'2011'!H998</f>
        <v>0</v>
      </c>
      <c r="G1998" s="190">
        <f>'2011'!I998</f>
        <v>0</v>
      </c>
    </row>
    <row r="1999" spans="1:7" ht="12.75" customHeight="1">
      <c r="A1999" s="190" t="str">
        <f>'2011'!C999</f>
        <v>Planmässige Abschreibungen</v>
      </c>
      <c r="B1999" s="190">
        <f>'2011'!D999</f>
        <v>3641780.9</v>
      </c>
      <c r="C1999" s="190">
        <f>'2011'!E999</f>
        <v>3020698.28</v>
      </c>
      <c r="D1999" s="190">
        <f>'2011'!F999</f>
        <v>5970025.62</v>
      </c>
      <c r="E1999" s="190">
        <f>'2011'!G999</f>
        <v>12632504.8</v>
      </c>
      <c r="F1999" s="190">
        <f>'2011'!H999</f>
        <v>9019009</v>
      </c>
      <c r="G1999" s="190">
        <f>'2011'!I999</f>
        <v>21651513.8</v>
      </c>
    </row>
    <row r="2000" spans="1:7" ht="12.75" customHeight="1">
      <c r="A2000" s="190" t="str">
        <f>'2011'!C1000</f>
        <v>Abschreibungen immaterielle Anlagen</v>
      </c>
      <c r="B2000" s="190">
        <f>'2011'!D1000</f>
        <v>42487.1</v>
      </c>
      <c r="C2000" s="190">
        <f>'2011'!E1000</f>
        <v>221322.7</v>
      </c>
      <c r="D2000" s="190">
        <f>'2011'!F1000</f>
        <v>262590.45</v>
      </c>
      <c r="E2000" s="190">
        <f>'2011'!G1000</f>
        <v>526400.25</v>
      </c>
      <c r="F2000" s="190">
        <f>'2011'!H1000</f>
        <v>0</v>
      </c>
      <c r="G2000" s="190">
        <f>'2011'!I1000</f>
        <v>526400.25</v>
      </c>
    </row>
    <row r="2001" spans="1:7" ht="12.75" customHeight="1">
      <c r="A2001" s="190" t="str">
        <f>'2011'!C1001</f>
        <v>Abschreibungen Investitionsbeiträge</v>
      </c>
      <c r="B2001" s="190">
        <f>'2011'!D1001</f>
        <v>22355</v>
      </c>
      <c r="C2001" s="190">
        <f>'2011'!E1001</f>
        <v>281462.85</v>
      </c>
      <c r="D2001" s="190">
        <f>'2011'!F1001</f>
        <v>1363914.75</v>
      </c>
      <c r="E2001" s="190">
        <f>'2011'!G1001</f>
        <v>1667732.6</v>
      </c>
      <c r="F2001" s="190">
        <f>'2011'!H1001</f>
        <v>4981496</v>
      </c>
      <c r="G2001" s="190">
        <f>'2011'!I1001</f>
        <v>6649228.6</v>
      </c>
    </row>
    <row r="2002" spans="1:7" ht="12.75" customHeight="1">
      <c r="A2002" s="190" t="str">
        <f>'2011'!C1002</f>
        <v>Total planmässige Abschreibungen VV</v>
      </c>
      <c r="B2002" s="190">
        <f>'2011'!D1002</f>
        <v>3706623</v>
      </c>
      <c r="C2002" s="190">
        <f>'2011'!E1002</f>
        <v>3523483.83</v>
      </c>
      <c r="D2002" s="190">
        <f>'2011'!F1002</f>
        <v>7596530.82</v>
      </c>
      <c r="E2002" s="190">
        <f>'2011'!G1002</f>
        <v>14826637.65</v>
      </c>
      <c r="F2002" s="190">
        <f>'2011'!H1002</f>
        <v>14000505</v>
      </c>
      <c r="G2002" s="190">
        <f>'2011'!I1002</f>
        <v>28827142.65</v>
      </c>
    </row>
    <row r="2003" spans="1:7" ht="12.75" customHeight="1">
      <c r="A2003" s="190">
        <f>'2011'!C1003</f>
        <v>0</v>
      </c>
      <c r="B2003" s="190">
        <f>'2011'!D1003</f>
        <v>0</v>
      </c>
      <c r="C2003" s="190">
        <f>'2011'!E1003</f>
        <v>0</v>
      </c>
      <c r="D2003" s="190">
        <f>'2011'!F1003</f>
        <v>0</v>
      </c>
      <c r="E2003" s="190">
        <f>'2011'!G1003</f>
        <v>0</v>
      </c>
      <c r="F2003" s="190">
        <f>'2011'!H1003</f>
        <v>0</v>
      </c>
      <c r="G2003" s="190">
        <f>'2011'!I1003</f>
        <v>0</v>
      </c>
    </row>
    <row r="2004" spans="1:7" ht="12.75" customHeight="1">
      <c r="A2004" s="190" t="str">
        <f>'2011'!C1004</f>
        <v>Nettozinsaufwand+Abschreibungen VV / Laufender Ertrag * 100</v>
      </c>
      <c r="B2004" s="190">
        <f>'2011'!D1004</f>
        <v>0.1209827167773221</v>
      </c>
      <c r="C2004" s="190">
        <f>'2011'!E1004</f>
        <v>0.10920781460271159</v>
      </c>
      <c r="D2004" s="190">
        <f>'2011'!F1004</f>
        <v>0.16193884442922532</v>
      </c>
      <c r="E2004" s="190">
        <f>'2011'!G1004</f>
        <v>0.13425843728606085</v>
      </c>
      <c r="F2004" s="190">
        <f>'2011'!H1004</f>
        <v>0.03341957905195056</v>
      </c>
      <c r="G2004" s="190">
        <f>'2011'!I1004</f>
        <v>0.06234744475372316</v>
      </c>
    </row>
    <row r="2005" spans="1:7" ht="12.75" customHeight="1">
      <c r="A2005" s="190">
        <f>'2011'!C1005</f>
        <v>0</v>
      </c>
      <c r="B2005" s="190">
        <f>'2011'!D1005</f>
        <v>0</v>
      </c>
      <c r="C2005" s="190">
        <f>'2011'!E1005</f>
        <v>0</v>
      </c>
      <c r="D2005" s="190">
        <f>'2011'!F1005</f>
        <v>0</v>
      </c>
      <c r="E2005" s="190">
        <f>'2011'!G1005</f>
        <v>0</v>
      </c>
      <c r="F2005" s="190">
        <f>'2011'!H1005</f>
        <v>0</v>
      </c>
      <c r="G2005" s="190">
        <f>'2011'!I1005</f>
        <v>0</v>
      </c>
    </row>
    <row r="2006" spans="1:7" ht="12.75" customHeight="1">
      <c r="A2006" s="190" t="str">
        <f>'2011'!C1006</f>
        <v>SALDO DER FINANZERTRÄGE</v>
      </c>
      <c r="B2006" s="190">
        <f>'2011'!D1006</f>
        <v>0</v>
      </c>
      <c r="C2006" s="190">
        <f>'2011'!E1006</f>
        <v>0</v>
      </c>
      <c r="D2006" s="190">
        <f>'2011'!F1006</f>
        <v>0</v>
      </c>
      <c r="E2006" s="190">
        <f>'2011'!G1006</f>
        <v>0</v>
      </c>
      <c r="F2006" s="190">
        <f>'2011'!H1006</f>
        <v>0</v>
      </c>
      <c r="G2006" s="190">
        <f>'2011'!I1006</f>
        <v>0</v>
      </c>
    </row>
    <row r="2007" spans="1:7" ht="12.75" customHeight="1">
      <c r="A2007" s="190">
        <f>'2011'!C1007</f>
        <v>0</v>
      </c>
      <c r="B2007" s="190">
        <f>'2011'!D1007</f>
        <v>0</v>
      </c>
      <c r="C2007" s="190">
        <f>'2011'!E1007</f>
        <v>0</v>
      </c>
      <c r="D2007" s="190">
        <f>'2011'!F1007</f>
        <v>0</v>
      </c>
      <c r="E2007" s="190">
        <f>'2011'!G1007</f>
        <v>0</v>
      </c>
      <c r="F2007" s="190">
        <f>'2011'!H1007</f>
        <v>0</v>
      </c>
      <c r="G2007" s="190">
        <f>'2011'!I1007</f>
        <v>0</v>
      </c>
    </row>
    <row r="2008" spans="1:7" ht="12.75" customHeight="1">
      <c r="A2008" s="190" t="str">
        <f>'2011'!C1008</f>
        <v>Finanzerträge</v>
      </c>
      <c r="B2008" s="190">
        <f>'2011'!D1008</f>
        <v>-2108066.85</v>
      </c>
      <c r="C2008" s="190">
        <f>'2011'!E1008</f>
        <v>-3072726.6900000004</v>
      </c>
      <c r="D2008" s="190">
        <f>'2011'!F1008</f>
        <v>-3330469.76</v>
      </c>
      <c r="E2008" s="190">
        <f>'2011'!G1008</f>
        <v>-8511263.3</v>
      </c>
      <c r="F2008" s="190">
        <f>'2011'!H1008</f>
        <v>-13226123</v>
      </c>
      <c r="G2008" s="190">
        <f>'2011'!I1008</f>
        <v>-21737386.3</v>
      </c>
    </row>
    <row r="2009" spans="1:7" ht="12.75" customHeight="1">
      <c r="A2009" s="190" t="str">
        <f>'2011'!C1009</f>
        <v>Finanzaufwand</v>
      </c>
      <c r="B2009" s="190">
        <f>'2011'!D1009</f>
        <v>817929.81</v>
      </c>
      <c r="C2009" s="190">
        <f>'2011'!E1009</f>
        <v>1233973.89</v>
      </c>
      <c r="D2009" s="190">
        <f>'2011'!F1009</f>
        <v>1210651.79</v>
      </c>
      <c r="E2009" s="190">
        <f>'2011'!G1009</f>
        <v>3262555.49</v>
      </c>
      <c r="F2009" s="190">
        <f>'2011'!H1009</f>
        <v>5543599</v>
      </c>
      <c r="G2009" s="190">
        <f>'2011'!I1009</f>
        <v>8806154.49</v>
      </c>
    </row>
    <row r="2010" spans="1:7" ht="12.75" customHeight="1">
      <c r="A2010" s="190" t="str">
        <f>'2011'!C1010</f>
        <v>Saldo der Finanzerträge</v>
      </c>
      <c r="B2010" s="190">
        <f>'2011'!D1010</f>
        <v>-1290137.04</v>
      </c>
      <c r="C2010" s="190">
        <f>'2011'!E1010</f>
        <v>-1838752.8000000005</v>
      </c>
      <c r="D2010" s="190">
        <f>'2011'!F1010</f>
        <v>-2119817.9699999997</v>
      </c>
      <c r="E2010" s="190">
        <f>'2011'!G1010</f>
        <v>-5248707.8100000005</v>
      </c>
      <c r="F2010" s="190">
        <f>'2011'!H1010</f>
        <v>-7682524</v>
      </c>
      <c r="G2010" s="190">
        <f>'2011'!I1010</f>
        <v>-12931231.81</v>
      </c>
    </row>
    <row r="2011" spans="1:7" ht="12.75" customHeight="1">
      <c r="A2011" s="190">
        <f>'2011'!C1011</f>
        <v>0</v>
      </c>
      <c r="B2011" s="190">
        <f>'2011'!D1011</f>
        <v>0</v>
      </c>
      <c r="C2011" s="190">
        <f>'2011'!E1011</f>
        <v>0</v>
      </c>
      <c r="D2011" s="190">
        <f>'2011'!F1011</f>
        <v>0</v>
      </c>
      <c r="E2011" s="190">
        <f>'2011'!G1011</f>
        <v>0</v>
      </c>
      <c r="F2011" s="190">
        <f>'2011'!H1011</f>
        <v>0</v>
      </c>
      <c r="G2011" s="190">
        <f>'2011'!I1011</f>
        <v>0</v>
      </c>
    </row>
    <row r="2012" spans="1:7" ht="12.75" customHeight="1">
      <c r="A2012" s="190" t="str">
        <f>'2011'!C1012</f>
        <v>BRUTTORENDITE DES FINANZVERMÖGENS</v>
      </c>
      <c r="B2012" s="190">
        <f>'2011'!D1012</f>
        <v>0</v>
      </c>
      <c r="C2012" s="190">
        <f>'2011'!E1012</f>
        <v>0</v>
      </c>
      <c r="D2012" s="190">
        <f>'2011'!F1012</f>
        <v>0</v>
      </c>
      <c r="E2012" s="190">
        <f>'2011'!G1012</f>
        <v>0</v>
      </c>
      <c r="F2012" s="190">
        <f>'2011'!H1012</f>
        <v>0</v>
      </c>
      <c r="G2012" s="190">
        <f>'2011'!I1012</f>
        <v>0</v>
      </c>
    </row>
    <row r="2013" spans="1:7" ht="12.75" customHeight="1">
      <c r="A2013" s="190">
        <f>'2011'!C1013</f>
        <v>0</v>
      </c>
      <c r="B2013" s="190">
        <f>'2011'!D1013</f>
        <v>0</v>
      </c>
      <c r="C2013" s="190">
        <f>'2011'!E1013</f>
        <v>0</v>
      </c>
      <c r="D2013" s="190">
        <f>'2011'!F1013</f>
        <v>0</v>
      </c>
      <c r="E2013" s="190">
        <f>'2011'!G1013</f>
        <v>0</v>
      </c>
      <c r="F2013" s="190">
        <f>'2011'!H1013</f>
        <v>0</v>
      </c>
      <c r="G2013" s="190">
        <f>'2011'!I1013</f>
        <v>0</v>
      </c>
    </row>
    <row r="2014" spans="1:7" ht="12.75" customHeight="1">
      <c r="A2014" s="190" t="str">
        <f>'2011'!C1014</f>
        <v>Zinsertrag</v>
      </c>
      <c r="B2014" s="190">
        <f>'2011'!D1014</f>
        <v>9060.6</v>
      </c>
      <c r="C2014" s="190">
        <f>'2011'!E1014</f>
        <v>189558.54</v>
      </c>
      <c r="D2014" s="190">
        <f>'2011'!F1014</f>
        <v>90881.91</v>
      </c>
      <c r="E2014" s="190">
        <f>'2011'!G1014</f>
        <v>289501.05000000005</v>
      </c>
      <c r="F2014" s="190">
        <f>'2011'!H1014</f>
        <v>6678318</v>
      </c>
      <c r="G2014" s="190">
        <f>'2011'!I1014</f>
        <v>6967819.05</v>
      </c>
    </row>
    <row r="2015" spans="1:7" ht="12.75" customHeight="1">
      <c r="A2015" s="190" t="str">
        <f>'2011'!C1015</f>
        <v>Realisierte Gewinne FV</v>
      </c>
      <c r="B2015" s="190">
        <f>'2011'!D1015</f>
        <v>0</v>
      </c>
      <c r="C2015" s="190">
        <f>'2011'!E1015</f>
        <v>156485</v>
      </c>
      <c r="D2015" s="190">
        <f>'2011'!F1015</f>
        <v>1405681.3</v>
      </c>
      <c r="E2015" s="190">
        <f>'2011'!G1015</f>
        <v>1562166.3</v>
      </c>
      <c r="F2015" s="190">
        <f>'2011'!H1015</f>
        <v>0</v>
      </c>
      <c r="G2015" s="190">
        <f>'2011'!I1015</f>
        <v>1562166.3</v>
      </c>
    </row>
    <row r="2016" spans="1:7" ht="12.75" customHeight="1">
      <c r="A2016" s="190" t="str">
        <f>'2011'!C1016</f>
        <v>Beteiligungsertrag FV</v>
      </c>
      <c r="B2016" s="190">
        <f>'2011'!D1016</f>
        <v>107140</v>
      </c>
      <c r="C2016" s="190">
        <f>'2011'!E1016</f>
        <v>0</v>
      </c>
      <c r="D2016" s="190">
        <f>'2011'!F1016</f>
        <v>65751.55</v>
      </c>
      <c r="E2016" s="190">
        <f>'2011'!G1016</f>
        <v>172891.55</v>
      </c>
      <c r="F2016" s="190">
        <f>'2011'!H1016</f>
        <v>1733734</v>
      </c>
      <c r="G2016" s="190">
        <f>'2011'!I1016</f>
        <v>1906625.55</v>
      </c>
    </row>
    <row r="2017" spans="1:7" ht="12.75" customHeight="1">
      <c r="A2017" s="190" t="str">
        <f>'2011'!C1017</f>
        <v>Liegenschaftenertrag FV</v>
      </c>
      <c r="B2017" s="190">
        <f>'2011'!D1017</f>
        <v>726034.6</v>
      </c>
      <c r="C2017" s="190">
        <f>'2011'!E1017</f>
        <v>1242209.95</v>
      </c>
      <c r="D2017" s="190">
        <f>'2011'!F1017</f>
        <v>1009529.3</v>
      </c>
      <c r="E2017" s="190">
        <f>'2011'!G1017</f>
        <v>2977773.8499999996</v>
      </c>
      <c r="F2017" s="190">
        <f>'2011'!H1017</f>
        <v>1131866</v>
      </c>
      <c r="G2017" s="190">
        <f>'2011'!I1017</f>
        <v>4109639.8499999996</v>
      </c>
    </row>
    <row r="2018" spans="1:7" ht="12.75" customHeight="1">
      <c r="A2018" s="190" t="str">
        <f>'2011'!C1018</f>
        <v>Wertberichtigungen Anlagen FV</v>
      </c>
      <c r="B2018" s="190">
        <f>'2011'!D1018</f>
        <v>0</v>
      </c>
      <c r="C2018" s="190">
        <f>'2011'!E1018</f>
        <v>0</v>
      </c>
      <c r="D2018" s="190">
        <f>'2011'!F1018</f>
        <v>238873.55</v>
      </c>
      <c r="E2018" s="190">
        <f>'2011'!G1018</f>
        <v>238873.55</v>
      </c>
      <c r="F2018" s="190">
        <f>'2011'!H1018</f>
        <v>1067044</v>
      </c>
      <c r="G2018" s="190">
        <f>'2011'!I1018</f>
        <v>1305917.55</v>
      </c>
    </row>
    <row r="2019" spans="1:7" ht="12.75" customHeight="1">
      <c r="A2019" s="190" t="str">
        <f>'2011'!C1019</f>
        <v>Ertrag Finanzvermögen</v>
      </c>
      <c r="B2019" s="190">
        <f>'2011'!D1019</f>
        <v>842235.2</v>
      </c>
      <c r="C2019" s="190">
        <f>'2011'!E1019</f>
        <v>1588253.49</v>
      </c>
      <c r="D2019" s="190">
        <f>'2011'!F1019</f>
        <v>2810717.61</v>
      </c>
      <c r="E2019" s="190">
        <f>'2011'!G1019</f>
        <v>5241206.3</v>
      </c>
      <c r="F2019" s="190">
        <f>'2011'!H1019</f>
        <v>10610962</v>
      </c>
      <c r="G2019" s="190">
        <f>'2011'!I1019</f>
        <v>15852168.3</v>
      </c>
    </row>
    <row r="2020" spans="1:7" ht="12.75" customHeight="1">
      <c r="A2020" s="190">
        <f>'2011'!C1020</f>
        <v>0</v>
      </c>
      <c r="B2020" s="190">
        <f>'2011'!D1020</f>
        <v>0</v>
      </c>
      <c r="C2020" s="190">
        <f>'2011'!E1020</f>
        <v>0</v>
      </c>
      <c r="D2020" s="190">
        <f>'2011'!F1020</f>
        <v>0</v>
      </c>
      <c r="E2020" s="190">
        <f>'2011'!G1020</f>
        <v>0</v>
      </c>
      <c r="F2020" s="190">
        <f>'2011'!H1020</f>
        <v>0</v>
      </c>
      <c r="G2020" s="190">
        <f>'2011'!I1020</f>
        <v>0</v>
      </c>
    </row>
    <row r="2021" spans="1:7" ht="12.75" customHeight="1">
      <c r="A2021" s="190" t="str">
        <f>'2011'!C1021</f>
        <v>Ertrag Finanzvermögen / Finanzvermögen * 100</v>
      </c>
      <c r="B2021" s="190">
        <f>'2011'!D1021</f>
        <v>0.014172308474491779</v>
      </c>
      <c r="C2021" s="190">
        <f>'2011'!E1021</f>
        <v>0.02990861585012556</v>
      </c>
      <c r="D2021" s="190">
        <f>'2011'!F1021</f>
        <v>0.03330765601738659</v>
      </c>
      <c r="E2021" s="190">
        <f>'2011'!G1021</f>
        <v>0.026616145568531077</v>
      </c>
      <c r="F2021" s="190">
        <f>'2011'!H1021</f>
        <v>0.02837421516875096</v>
      </c>
      <c r="G2021" s="190">
        <f>'2011'!I1021</f>
        <v>0.02776779330745313</v>
      </c>
    </row>
    <row r="2022" spans="1:7" ht="12.75" customHeight="1">
      <c r="A2022" s="190">
        <f>'2011'!C1022</f>
        <v>0</v>
      </c>
      <c r="B2022" s="190">
        <f>'2011'!D1022</f>
        <v>0</v>
      </c>
      <c r="C2022" s="190">
        <f>'2011'!E1022</f>
        <v>0</v>
      </c>
      <c r="D2022" s="190">
        <f>'2011'!F1022</f>
        <v>0</v>
      </c>
      <c r="E2022" s="190">
        <f>'2011'!G1022</f>
        <v>0</v>
      </c>
      <c r="F2022" s="190">
        <f>'2011'!H1022</f>
        <v>0</v>
      </c>
      <c r="G2022" s="190">
        <f>'2011'!I1022</f>
        <v>0</v>
      </c>
    </row>
    <row r="2023" spans="1:7" ht="12.75" customHeight="1">
      <c r="A2023" s="190" t="str">
        <f>'2011'!C1023</f>
        <v>ZINSBELASTUNGSANTEIL</v>
      </c>
      <c r="B2023" s="190">
        <f>'2011'!D1023</f>
        <v>0</v>
      </c>
      <c r="C2023" s="190">
        <f>'2011'!E1023</f>
        <v>0</v>
      </c>
      <c r="D2023" s="190">
        <f>'2011'!F1023</f>
        <v>0</v>
      </c>
      <c r="E2023" s="190">
        <f>'2011'!G1023</f>
        <v>0</v>
      </c>
      <c r="F2023" s="190">
        <f>'2011'!H1023</f>
        <v>0</v>
      </c>
      <c r="G2023" s="190">
        <f>'2011'!I1023</f>
        <v>0</v>
      </c>
    </row>
    <row r="2024" spans="1:7" ht="12.75" customHeight="1">
      <c r="A2024" s="190">
        <f>'2011'!C1024</f>
        <v>0</v>
      </c>
      <c r="B2024" s="190">
        <f>'2011'!D1024</f>
        <v>0</v>
      </c>
      <c r="C2024" s="190">
        <f>'2011'!E1024</f>
        <v>0</v>
      </c>
      <c r="D2024" s="190">
        <f>'2011'!F1024</f>
        <v>0</v>
      </c>
      <c r="E2024" s="190">
        <f>'2011'!G1024</f>
        <v>0</v>
      </c>
      <c r="F2024" s="190">
        <f>'2011'!H1024</f>
        <v>0</v>
      </c>
      <c r="G2024" s="190">
        <f>'2011'!I1024</f>
        <v>0</v>
      </c>
    </row>
    <row r="2025" spans="1:7" ht="12.75" customHeight="1">
      <c r="A2025" s="190" t="str">
        <f>'2011'!C1025</f>
        <v>(Zinsaufwand - Zinsertrag * 100) / Laufender Ertrag</v>
      </c>
      <c r="B2025" s="190">
        <f>'2011'!D1025</f>
        <v>0.016568324310262478</v>
      </c>
      <c r="C2025" s="190">
        <f>'2011'!E1025</f>
        <v>0.012600073696128299</v>
      </c>
      <c r="D2025" s="190">
        <f>'2011'!F1025</f>
        <v>0.010107452971269745</v>
      </c>
      <c r="E2025" s="190">
        <f>'2011'!G1025</f>
        <v>0.012732504461556384</v>
      </c>
      <c r="F2025" s="190">
        <f>'2011'!H1025</f>
        <v>-0.012743110083036231</v>
      </c>
      <c r="G2025" s="190">
        <f>'2011'!I1025</f>
        <v>-0.005434864342042571</v>
      </c>
    </row>
    <row r="2026" spans="1:7" ht="12.75" customHeight="1">
      <c r="A2026" s="190">
        <f>'2011'!C1026</f>
        <v>0</v>
      </c>
      <c r="B2026" s="190">
        <f>'2011'!D1026</f>
        <v>0</v>
      </c>
      <c r="C2026" s="190">
        <f>'2011'!E1026</f>
        <v>0</v>
      </c>
      <c r="D2026" s="190">
        <f>'2011'!F1026</f>
        <v>0</v>
      </c>
      <c r="E2026" s="190">
        <f>'2011'!G1026</f>
        <v>0</v>
      </c>
      <c r="F2026" s="190">
        <f>'2011'!H1026</f>
        <v>0</v>
      </c>
      <c r="G2026" s="190">
        <f>'2011'!I1026</f>
        <v>0</v>
      </c>
    </row>
    <row r="2027" spans="1:7" ht="12.75" customHeight="1">
      <c r="A2027" s="190" t="str">
        <f>'2011'!C1027</f>
        <v>INVESTITIONSANTEIL</v>
      </c>
      <c r="B2027" s="190">
        <f>'2011'!D1027</f>
        <v>0</v>
      </c>
      <c r="C2027" s="190">
        <f>'2011'!E1027</f>
        <v>0</v>
      </c>
      <c r="D2027" s="190">
        <f>'2011'!F1027</f>
        <v>0</v>
      </c>
      <c r="E2027" s="190">
        <f>'2011'!G1027</f>
        <v>0</v>
      </c>
      <c r="F2027" s="190">
        <f>'2011'!H1027</f>
        <v>0</v>
      </c>
      <c r="G2027" s="190">
        <f>'2011'!I1027</f>
        <v>0</v>
      </c>
    </row>
    <row r="2028" spans="1:7" ht="12.75" customHeight="1">
      <c r="A2028" s="190" t="str">
        <f>'2011'!C1028</f>
        <v>Sachanlagen</v>
      </c>
      <c r="B2028" s="190">
        <f>'2011'!D1028</f>
        <v>7107548.220000001</v>
      </c>
      <c r="C2028" s="190">
        <f>'2011'!E1028</f>
        <v>3028344.3</v>
      </c>
      <c r="D2028" s="190">
        <f>'2011'!F1028</f>
        <v>5188694.4799999995</v>
      </c>
      <c r="E2028" s="190">
        <f>'2011'!G1028</f>
        <v>15324587</v>
      </c>
      <c r="F2028" s="190">
        <f>'2011'!H1028</f>
        <v>11527649</v>
      </c>
      <c r="G2028" s="190">
        <f>'2011'!I1028</f>
        <v>26852236</v>
      </c>
    </row>
    <row r="2029" spans="1:7" ht="12.75" customHeight="1">
      <c r="A2029" s="190" t="str">
        <f>'2011'!C1029</f>
        <v>Invesitionen auf Rechnung Dritter</v>
      </c>
      <c r="B2029" s="190">
        <f>'2011'!D1029</f>
        <v>0</v>
      </c>
      <c r="C2029" s="190">
        <f>'2011'!E1029</f>
        <v>0</v>
      </c>
      <c r="D2029" s="190">
        <f>'2011'!F1029</f>
        <v>0</v>
      </c>
      <c r="E2029" s="190">
        <f>'2011'!G1029</f>
        <v>0</v>
      </c>
      <c r="F2029" s="190">
        <f>'2011'!H1029</f>
        <v>0</v>
      </c>
      <c r="G2029" s="190">
        <f>'2011'!I1029</f>
        <v>0</v>
      </c>
    </row>
    <row r="2030" spans="1:7" ht="12.75" customHeight="1">
      <c r="A2030" s="190" t="str">
        <f>'2011'!C1030</f>
        <v>Immaterielle Anlagen</v>
      </c>
      <c r="B2030" s="190">
        <f>'2011'!D1030</f>
        <v>372319.18</v>
      </c>
      <c r="C2030" s="190">
        <f>'2011'!E1030</f>
        <v>328031.7</v>
      </c>
      <c r="D2030" s="190">
        <f>'2011'!F1030</f>
        <v>63289.5</v>
      </c>
      <c r="E2030" s="190">
        <f>'2011'!G1030</f>
        <v>763640.38</v>
      </c>
      <c r="F2030" s="190">
        <f>'2011'!H1030</f>
        <v>1277303</v>
      </c>
      <c r="G2030" s="190">
        <f>'2011'!I1030</f>
        <v>2040943.38</v>
      </c>
    </row>
    <row r="2031" spans="1:7" ht="12.75" customHeight="1">
      <c r="A2031" s="190" t="str">
        <f>'2011'!C1031</f>
        <v>Darlehen</v>
      </c>
      <c r="B2031" s="190">
        <f>'2011'!D1031</f>
        <v>0</v>
      </c>
      <c r="C2031" s="190">
        <f>'2011'!E1031</f>
        <v>0</v>
      </c>
      <c r="D2031" s="190">
        <f>'2011'!F1031</f>
        <v>0</v>
      </c>
      <c r="E2031" s="190">
        <f>'2011'!G1031</f>
        <v>0</v>
      </c>
      <c r="F2031" s="190">
        <f>'2011'!H1031</f>
        <v>70000</v>
      </c>
      <c r="G2031" s="190">
        <f>'2011'!I1031</f>
        <v>70000</v>
      </c>
    </row>
    <row r="2032" spans="1:7" ht="12.75" customHeight="1">
      <c r="A2032" s="190" t="str">
        <f>'2011'!C1032</f>
        <v>Beteiligungen und Grundkapitalien</v>
      </c>
      <c r="B2032" s="190">
        <f>'2011'!D1032</f>
        <v>0</v>
      </c>
      <c r="C2032" s="190">
        <f>'2011'!E1032</f>
        <v>0</v>
      </c>
      <c r="D2032" s="190">
        <f>'2011'!F1032</f>
        <v>0</v>
      </c>
      <c r="E2032" s="190">
        <f>'2011'!G1032</f>
        <v>0</v>
      </c>
      <c r="F2032" s="190">
        <f>'2011'!H1032</f>
        <v>40000</v>
      </c>
      <c r="G2032" s="190">
        <f>'2011'!I1032</f>
        <v>40000</v>
      </c>
    </row>
    <row r="2033" spans="1:7" ht="12.75" customHeight="1">
      <c r="A2033" s="190" t="str">
        <f>'2011'!C1033</f>
        <v>Eigene Investitionsbeiträge</v>
      </c>
      <c r="B2033" s="190">
        <f>'2011'!D1033</f>
        <v>171507.95</v>
      </c>
      <c r="C2033" s="190">
        <f>'2011'!E1033</f>
        <v>51311.9</v>
      </c>
      <c r="D2033" s="190">
        <f>'2011'!F1033</f>
        <v>406378.4</v>
      </c>
      <c r="E2033" s="190">
        <f>'2011'!G1033</f>
        <v>629198.25</v>
      </c>
      <c r="F2033" s="190">
        <f>'2011'!H1033</f>
        <v>13617807</v>
      </c>
      <c r="G2033" s="190">
        <f>'2011'!I1033</f>
        <v>14247005.25</v>
      </c>
    </row>
    <row r="2034" spans="1:7" ht="12.75" customHeight="1">
      <c r="A2034" s="190" t="str">
        <f>'2011'!C1034</f>
        <v>Bruttoinvestitionen</v>
      </c>
      <c r="B2034" s="190">
        <f>'2011'!D1034</f>
        <v>7651375.350000001</v>
      </c>
      <c r="C2034" s="190">
        <f>'2011'!E1034</f>
        <v>3407687.9</v>
      </c>
      <c r="D2034" s="190">
        <f>'2011'!F1034</f>
        <v>5658362.38</v>
      </c>
      <c r="E2034" s="190">
        <f>'2011'!G1034</f>
        <v>16717425.63</v>
      </c>
      <c r="F2034" s="190">
        <f>'2011'!H1034</f>
        <v>26532759</v>
      </c>
      <c r="G2034" s="190">
        <f>'2011'!I1034</f>
        <v>43250184.629999995</v>
      </c>
    </row>
    <row r="2035" spans="1:7" ht="12.75" customHeight="1">
      <c r="A2035" s="190">
        <f>'2011'!C1035</f>
        <v>0</v>
      </c>
      <c r="B2035" s="190">
        <f>'2011'!D1035</f>
        <v>0</v>
      </c>
      <c r="C2035" s="190">
        <f>'2011'!E1035</f>
        <v>0</v>
      </c>
      <c r="D2035" s="190">
        <f>'2011'!F1035</f>
        <v>0</v>
      </c>
      <c r="E2035" s="190">
        <f>'2011'!G1035</f>
        <v>0</v>
      </c>
      <c r="F2035" s="190">
        <f>'2011'!H1035</f>
        <v>0</v>
      </c>
      <c r="G2035" s="190">
        <f>'2011'!I1035</f>
        <v>0</v>
      </c>
    </row>
    <row r="2036" spans="1:7" ht="12.75" customHeight="1">
      <c r="A2036" s="190" t="str">
        <f>'2011'!C1036</f>
        <v>Total Aufwand Erfolgsrechnung</v>
      </c>
      <c r="B2036" s="190">
        <f>'2011'!D1036</f>
        <v>47890654.79000001</v>
      </c>
      <c r="C2036" s="190">
        <f>'2011'!E1036</f>
        <v>48263316.620000005</v>
      </c>
      <c r="D2036" s="190">
        <f>'2011'!F1036</f>
        <v>66392069.62</v>
      </c>
      <c r="E2036" s="190">
        <f>'2011'!G1036</f>
        <v>162546041.03</v>
      </c>
      <c r="F2036" s="190">
        <f>'2011'!H1036</f>
        <v>362583762</v>
      </c>
      <c r="G2036" s="190">
        <f>'2011'!I1036</f>
        <v>525129803.03</v>
      </c>
    </row>
    <row r="2037" spans="1:7" ht="12.75" customHeight="1">
      <c r="A2037" s="190" t="str">
        <f>'2011'!C1037</f>
        <v>Abschreibung Verwaltungsvermögen</v>
      </c>
      <c r="B2037" s="190">
        <f>'2011'!D1037</f>
        <v>-3684268</v>
      </c>
      <c r="C2037" s="190">
        <f>'2011'!E1037</f>
        <v>-3242020.98</v>
      </c>
      <c r="D2037" s="190">
        <f>'2011'!F1037</f>
        <v>-6232616.07</v>
      </c>
      <c r="E2037" s="190">
        <f>'2011'!G1037</f>
        <v>-13158905.05</v>
      </c>
      <c r="F2037" s="190">
        <f>'2011'!H1037</f>
        <v>-9019009</v>
      </c>
      <c r="G2037" s="190">
        <f>'2011'!I1037</f>
        <v>-22177914.05</v>
      </c>
    </row>
    <row r="2038" spans="1:7" ht="12.75" customHeight="1">
      <c r="A2038" s="190" t="str">
        <f>'2011'!C1038</f>
        <v>Einlagen in Fonds und Spezialfinanzierungen</v>
      </c>
      <c r="B2038" s="190">
        <f>'2011'!D1038</f>
        <v>-107741.95</v>
      </c>
      <c r="C2038" s="190">
        <f>'2011'!E1038</f>
        <v>-100805.1</v>
      </c>
      <c r="D2038" s="190">
        <f>'2011'!F1038</f>
        <v>-473976.48</v>
      </c>
      <c r="E2038" s="190">
        <f>'2011'!G1038</f>
        <v>-682523.53</v>
      </c>
      <c r="F2038" s="190">
        <f>'2011'!H1038</f>
        <v>-3306200</v>
      </c>
      <c r="G2038" s="190">
        <f>'2011'!I1038</f>
        <v>-3988723.5300000003</v>
      </c>
    </row>
    <row r="2039" spans="1:7" ht="12.75" customHeight="1">
      <c r="A2039" s="190" t="str">
        <f>'2011'!C1039</f>
        <v>Durchlaufende Beiträge</v>
      </c>
      <c r="B2039" s="190">
        <f>'2011'!D1039</f>
        <v>0</v>
      </c>
      <c r="C2039" s="190">
        <f>'2011'!E1039</f>
        <v>0</v>
      </c>
      <c r="D2039" s="190">
        <f>'2011'!F1039</f>
        <v>0</v>
      </c>
      <c r="E2039" s="190">
        <f>'2011'!G1039</f>
        <v>0</v>
      </c>
      <c r="F2039" s="190">
        <f>'2011'!H1039</f>
        <v>-28430592</v>
      </c>
      <c r="G2039" s="190">
        <f>'2011'!I1039</f>
        <v>-28430592</v>
      </c>
    </row>
    <row r="2040" spans="1:7" ht="12.75" customHeight="1">
      <c r="A2040" s="190" t="str">
        <f>'2011'!C1040</f>
        <v>Ausserordenlicher Aufwand</v>
      </c>
      <c r="B2040" s="190">
        <f>'2011'!D1040</f>
        <v>-1060893.53</v>
      </c>
      <c r="C2040" s="190">
        <f>'2011'!E1040</f>
        <v>-2005225</v>
      </c>
      <c r="D2040" s="190">
        <f>'2011'!F1040</f>
        <v>-372772.3</v>
      </c>
      <c r="E2040" s="190">
        <f>'2011'!G1040</f>
        <v>-3438890.8299999996</v>
      </c>
      <c r="F2040" s="190">
        <f>'2011'!H1040</f>
        <v>-12901113</v>
      </c>
      <c r="G2040" s="190">
        <f>'2011'!I1040</f>
        <v>-16340003.830000002</v>
      </c>
    </row>
    <row r="2041" spans="1:7" ht="12.75" customHeight="1">
      <c r="A2041" s="190" t="str">
        <f>'2011'!C1041</f>
        <v>Interne Verrechnungen</v>
      </c>
      <c r="B2041" s="190">
        <f>'2011'!D1041</f>
        <v>-5937643.01</v>
      </c>
      <c r="C2041" s="190">
        <f>'2011'!E1041</f>
        <v>-4636688.75</v>
      </c>
      <c r="D2041" s="190">
        <f>'2011'!F1041</f>
        <v>-6493096.64</v>
      </c>
      <c r="E2041" s="190">
        <f>'2011'!G1041</f>
        <v>-17067428.4</v>
      </c>
      <c r="F2041" s="190">
        <f>'2011'!H1041</f>
        <v>-10680140</v>
      </c>
      <c r="G2041" s="190">
        <f>'2011'!I1041</f>
        <v>-27747568.400000002</v>
      </c>
    </row>
    <row r="2042" spans="1:7" ht="12.75" customHeight="1">
      <c r="A2042" s="190" t="str">
        <f>'2011'!C1042</f>
        <v>Bruttoinvestitionen</v>
      </c>
      <c r="B2042" s="190">
        <f>'2011'!D1042</f>
        <v>7651375.350000001</v>
      </c>
      <c r="C2042" s="190">
        <f>'2011'!E1042</f>
        <v>3407687.9</v>
      </c>
      <c r="D2042" s="190">
        <f>'2011'!F1042</f>
        <v>5658362.38</v>
      </c>
      <c r="E2042" s="190">
        <f>'2011'!G1042</f>
        <v>16717425.63</v>
      </c>
      <c r="F2042" s="190">
        <f>'2011'!H1042</f>
        <v>26532759</v>
      </c>
      <c r="G2042" s="190">
        <f>'2011'!I1042</f>
        <v>43250184.629999995</v>
      </c>
    </row>
    <row r="2043" spans="1:7" ht="12.75" customHeight="1">
      <c r="A2043" s="190" t="str">
        <f>'2011'!C1043</f>
        <v>Konsolidierter Gesamtaufwand</v>
      </c>
      <c r="B2043" s="190">
        <f>'2011'!D1043</f>
        <v>44751483.650000006</v>
      </c>
      <c r="C2043" s="190">
        <f>'2011'!E1043</f>
        <v>41686264.690000005</v>
      </c>
      <c r="D2043" s="190">
        <f>'2011'!F1043</f>
        <v>58477970.510000005</v>
      </c>
      <c r="E2043" s="190">
        <f>'2011'!G1043</f>
        <v>144915718.84999996</v>
      </c>
      <c r="F2043" s="190">
        <f>'2011'!H1043</f>
        <v>324779467</v>
      </c>
      <c r="G2043" s="190">
        <f>'2011'!I1043</f>
        <v>469695185.85</v>
      </c>
    </row>
    <row r="2044" spans="1:7" ht="12.75" customHeight="1">
      <c r="A2044" s="190">
        <f>'2011'!C1044</f>
        <v>0</v>
      </c>
      <c r="B2044" s="190">
        <f>'2011'!D1044</f>
        <v>0</v>
      </c>
      <c r="C2044" s="190">
        <f>'2011'!E1044</f>
        <v>0</v>
      </c>
      <c r="D2044" s="190">
        <f>'2011'!F1044</f>
        <v>0</v>
      </c>
      <c r="E2044" s="190">
        <f>'2011'!G1044</f>
        <v>0</v>
      </c>
      <c r="F2044" s="190">
        <f>'2011'!H1044</f>
        <v>0</v>
      </c>
      <c r="G2044" s="190">
        <f>'2011'!I1044</f>
        <v>0</v>
      </c>
    </row>
    <row r="2045" spans="1:7" ht="12.75" customHeight="1">
      <c r="A2045" s="190" t="str">
        <f>'2011'!C1045</f>
        <v>Bruttoinvestitionen / konsolierter Gesamtaufwand * 100</v>
      </c>
      <c r="B2045" s="190">
        <f>'2011'!D1045</f>
        <v>0.17097478621806542</v>
      </c>
      <c r="C2045" s="190">
        <f>'2011'!E1045</f>
        <v>0.08174606013134729</v>
      </c>
      <c r="D2045" s="190">
        <f>'2011'!F1045</f>
        <v>0.09676058061954106</v>
      </c>
      <c r="E2045" s="190">
        <f>'2011'!G1045</f>
        <v>0.11535964326481347</v>
      </c>
      <c r="F2045" s="190">
        <f>'2011'!H1045</f>
        <v>0.08169469346410375</v>
      </c>
      <c r="G2045" s="190">
        <f>'2011'!I1045</f>
        <v>0.09208138795744907</v>
      </c>
    </row>
    <row r="2046" spans="1:7" ht="12.75" customHeight="1">
      <c r="A2046" s="190">
        <f>'2011'!C1046</f>
        <v>0</v>
      </c>
      <c r="B2046" s="190">
        <f>'2011'!D1046</f>
        <v>0</v>
      </c>
      <c r="C2046" s="190">
        <f>'2011'!E1046</f>
        <v>0</v>
      </c>
      <c r="D2046" s="190">
        <f>'2011'!F1046</f>
        <v>0</v>
      </c>
      <c r="E2046" s="190">
        <f>'2011'!G1046</f>
        <v>0</v>
      </c>
      <c r="F2046" s="190">
        <f>'2011'!H1046</f>
        <v>0</v>
      </c>
      <c r="G2046" s="190">
        <f>'2011'!I1046</f>
        <v>0</v>
      </c>
    </row>
    <row r="2047" spans="1:7" ht="12.75" customHeight="1">
      <c r="A2047" s="190" t="str">
        <f>'2011'!C1047</f>
        <v>GESTUFER ERFOLGSAUSWEIS</v>
      </c>
      <c r="B2047" s="190">
        <f>'2011'!D1047</f>
        <v>0</v>
      </c>
      <c r="C2047" s="190">
        <f>'2011'!E1047</f>
        <v>0</v>
      </c>
      <c r="D2047" s="190">
        <f>'2011'!F1047</f>
        <v>0</v>
      </c>
      <c r="E2047" s="190">
        <f>'2011'!G1047</f>
        <v>0</v>
      </c>
      <c r="F2047" s="190">
        <f>'2011'!H1047</f>
        <v>0</v>
      </c>
      <c r="G2047" s="190">
        <f>'2011'!I1047</f>
        <v>0</v>
      </c>
    </row>
    <row r="2048" spans="1:7" ht="12.75" customHeight="1">
      <c r="A2048" s="190">
        <f>'2011'!C1048</f>
        <v>0</v>
      </c>
      <c r="B2048" s="190">
        <f>'2011'!D1048</f>
        <v>0</v>
      </c>
      <c r="C2048" s="190">
        <f>'2011'!E1048</f>
        <v>0</v>
      </c>
      <c r="D2048" s="190">
        <f>'2011'!F1048</f>
        <v>0</v>
      </c>
      <c r="E2048" s="190">
        <f>'2011'!G1048</f>
        <v>0</v>
      </c>
      <c r="F2048" s="190">
        <f>'2011'!H1048</f>
        <v>0</v>
      </c>
      <c r="G2048" s="190">
        <f>'2011'!I1048</f>
        <v>0</v>
      </c>
    </row>
    <row r="2049" spans="1:7" ht="12.75" customHeight="1">
      <c r="A2049" s="190" t="str">
        <f>'2011'!C1049</f>
        <v>Personalaufwand</v>
      </c>
      <c r="B2049" s="190">
        <f>'2011'!D1049</f>
        <v>21877511.6</v>
      </c>
      <c r="C2049" s="190">
        <f>'2011'!E1049</f>
        <v>23409920.500000004</v>
      </c>
      <c r="D2049" s="190">
        <f>'2011'!F1049</f>
        <v>30682990.540000003</v>
      </c>
      <c r="E2049" s="190">
        <f>'2011'!G1049</f>
        <v>75970422.64</v>
      </c>
      <c r="F2049" s="190">
        <f>'2011'!H1049</f>
        <v>71379209</v>
      </c>
      <c r="G2049" s="190">
        <f>'2011'!I1049</f>
        <v>147349631.64</v>
      </c>
    </row>
    <row r="2050" spans="1:7" ht="12.75" customHeight="1">
      <c r="A2050" s="190" t="str">
        <f>'2011'!C1050</f>
        <v>Sach- und übriger Betriebsaufwand</v>
      </c>
      <c r="B2050" s="190">
        <f>'2011'!D1050</f>
        <v>10577287.240000002</v>
      </c>
      <c r="C2050" s="190">
        <f>'2011'!E1050</f>
        <v>8346573.03</v>
      </c>
      <c r="D2050" s="190">
        <f>'2011'!F1050</f>
        <v>12542877.870000001</v>
      </c>
      <c r="E2050" s="190">
        <f>'2011'!G1050</f>
        <v>31466738.14</v>
      </c>
      <c r="F2050" s="190">
        <f>'2011'!H1050</f>
        <v>31330807</v>
      </c>
      <c r="G2050" s="190">
        <f>'2011'!I1050</f>
        <v>62797545.14000001</v>
      </c>
    </row>
    <row r="2051" spans="1:7" ht="12.75" customHeight="1">
      <c r="A2051" s="190" t="str">
        <f>'2011'!C1051</f>
        <v>Abschreibungen Verwaltungsvermögen</v>
      </c>
      <c r="B2051" s="190">
        <f>'2011'!D1051</f>
        <v>3684268</v>
      </c>
      <c r="C2051" s="190">
        <f>'2011'!E1051</f>
        <v>3242020.98</v>
      </c>
      <c r="D2051" s="190">
        <f>'2011'!F1051</f>
        <v>6232616.07</v>
      </c>
      <c r="E2051" s="190">
        <f>'2011'!G1051</f>
        <v>13158905.05</v>
      </c>
      <c r="F2051" s="190">
        <f>'2011'!H1051</f>
        <v>9019009</v>
      </c>
      <c r="G2051" s="190">
        <f>'2011'!I1051</f>
        <v>22177914.05</v>
      </c>
    </row>
    <row r="2052" spans="1:7" ht="12.75" customHeight="1">
      <c r="A2052" s="190" t="str">
        <f>'2011'!C1052</f>
        <v>Einlagen in Fonds und Spezialfinanzierungen</v>
      </c>
      <c r="B2052" s="190">
        <f>'2011'!D1052</f>
        <v>107741.95</v>
      </c>
      <c r="C2052" s="190">
        <f>'2011'!E1052</f>
        <v>100805.1</v>
      </c>
      <c r="D2052" s="190">
        <f>'2011'!F1052</f>
        <v>473976.48</v>
      </c>
      <c r="E2052" s="190">
        <f>'2011'!G1052</f>
        <v>682523.53</v>
      </c>
      <c r="F2052" s="190">
        <f>'2011'!H1052</f>
        <v>3306200</v>
      </c>
      <c r="G2052" s="190">
        <f>'2011'!I1052</f>
        <v>3988723.5300000003</v>
      </c>
    </row>
    <row r="2053" spans="1:7" ht="12.75" customHeight="1">
      <c r="A2053" s="190" t="str">
        <f>'2011'!C1053</f>
        <v>Transferaufwand</v>
      </c>
      <c r="B2053" s="190">
        <f>'2011'!D1053</f>
        <v>3827379.65</v>
      </c>
      <c r="C2053" s="190">
        <f>'2011'!E1053</f>
        <v>5288109.369999999</v>
      </c>
      <c r="D2053" s="190">
        <f>'2011'!F1053</f>
        <v>8383087.93</v>
      </c>
      <c r="E2053" s="190">
        <f>'2011'!G1053</f>
        <v>17498576.95</v>
      </c>
      <c r="F2053" s="190">
        <f>'2011'!H1053</f>
        <v>189993093</v>
      </c>
      <c r="G2053" s="190">
        <f>'2011'!I1053</f>
        <v>207491669.95</v>
      </c>
    </row>
    <row r="2054" spans="1:7" ht="12.75" customHeight="1">
      <c r="A2054" s="190" t="str">
        <f>'2011'!C1054</f>
        <v>Durchlaufende Beiträge</v>
      </c>
      <c r="B2054" s="190">
        <f>'2011'!D1054</f>
        <v>0</v>
      </c>
      <c r="C2054" s="190">
        <f>'2011'!E1054</f>
        <v>0</v>
      </c>
      <c r="D2054" s="190">
        <f>'2011'!F1054</f>
        <v>0</v>
      </c>
      <c r="E2054" s="190">
        <f>'2011'!G1054</f>
        <v>0</v>
      </c>
      <c r="F2054" s="190">
        <f>'2011'!H1054</f>
        <v>28430592</v>
      </c>
      <c r="G2054" s="190">
        <f>'2011'!I1054</f>
        <v>28430592</v>
      </c>
    </row>
    <row r="2055" spans="1:7" ht="12.75" customHeight="1">
      <c r="A2055" s="190" t="str">
        <f>'2011'!C1055</f>
        <v>Interne Verrechnungen</v>
      </c>
      <c r="B2055" s="190">
        <f>'2011'!D1055</f>
        <v>5937643.01</v>
      </c>
      <c r="C2055" s="190">
        <f>'2011'!E1055</f>
        <v>4636688.75</v>
      </c>
      <c r="D2055" s="190">
        <f>'2011'!F1055</f>
        <v>6493096.64</v>
      </c>
      <c r="E2055" s="190">
        <f>'2011'!G1055</f>
        <v>17067428.4</v>
      </c>
      <c r="F2055" s="190">
        <f>'2011'!H1055</f>
        <v>10680140</v>
      </c>
      <c r="G2055" s="190">
        <f>'2011'!I1055</f>
        <v>27747568.400000002</v>
      </c>
    </row>
    <row r="2056" spans="1:7" ht="12.75" customHeight="1">
      <c r="A2056" s="190" t="str">
        <f>'2011'!C1056</f>
        <v>Betrieblicher Aufwand</v>
      </c>
      <c r="B2056" s="190">
        <f>'2011'!D1056</f>
        <v>46011831.45</v>
      </c>
      <c r="C2056" s="190">
        <f>'2011'!E1056</f>
        <v>45024117.730000004</v>
      </c>
      <c r="D2056" s="190">
        <f>'2011'!F1056</f>
        <v>64808645.53</v>
      </c>
      <c r="E2056" s="190">
        <f>'2011'!G1056</f>
        <v>155844594.71</v>
      </c>
      <c r="F2056" s="190">
        <f>'2011'!H1056</f>
        <v>344139050</v>
      </c>
      <c r="G2056" s="190">
        <f>'2011'!I1056</f>
        <v>499983644.71</v>
      </c>
    </row>
    <row r="2057" spans="1:7" ht="12.75" customHeight="1">
      <c r="A2057" s="190">
        <f>'2011'!C1057</f>
        <v>0</v>
      </c>
      <c r="B2057" s="190">
        <f>'2011'!D1057</f>
        <v>0</v>
      </c>
      <c r="C2057" s="190">
        <f>'2011'!E1057</f>
        <v>0</v>
      </c>
      <c r="D2057" s="190">
        <f>'2011'!F1057</f>
        <v>0</v>
      </c>
      <c r="E2057" s="190">
        <f>'2011'!G1057</f>
        <v>0</v>
      </c>
      <c r="F2057" s="190">
        <f>'2011'!H1057</f>
        <v>0</v>
      </c>
      <c r="G2057" s="190">
        <f>'2011'!I1057</f>
        <v>0</v>
      </c>
    </row>
    <row r="2058" spans="1:7" ht="12.75" customHeight="1">
      <c r="A2058" s="190" t="str">
        <f>'2011'!C1058</f>
        <v>Fiskalertrag</v>
      </c>
      <c r="B2058" s="190">
        <f>'2011'!D1058</f>
        <v>-21059526.4</v>
      </c>
      <c r="C2058" s="190">
        <f>'2011'!E1058</f>
        <v>-28157267.209999997</v>
      </c>
      <c r="D2058" s="190">
        <f>'2011'!F1058</f>
        <v>-36121013.41</v>
      </c>
      <c r="E2058" s="190">
        <f>'2011'!G1058</f>
        <v>-85337807.02</v>
      </c>
      <c r="F2058" s="190">
        <f>'2011'!H1058</f>
        <v>-110076004</v>
      </c>
      <c r="G2058" s="190">
        <f>'2011'!I1058</f>
        <v>-195413811.01999998</v>
      </c>
    </row>
    <row r="2059" spans="1:7" ht="12.75" customHeight="1">
      <c r="A2059" s="190" t="str">
        <f>'2011'!C1059</f>
        <v>Regalien und Konzessionen</v>
      </c>
      <c r="B2059" s="190">
        <f>'2011'!D1059</f>
        <v>-1125800.55</v>
      </c>
      <c r="C2059" s="190">
        <f>'2011'!E1059</f>
        <v>-599623.35</v>
      </c>
      <c r="D2059" s="190">
        <f>'2011'!F1059</f>
        <v>-299542.1</v>
      </c>
      <c r="E2059" s="190">
        <f>'2011'!G1059</f>
        <v>-2024966</v>
      </c>
      <c r="F2059" s="190">
        <f>'2011'!H1059</f>
        <v>-16143638</v>
      </c>
      <c r="G2059" s="190">
        <f>'2011'!I1059</f>
        <v>-18168604</v>
      </c>
    </row>
    <row r="2060" spans="1:7" ht="12.75" customHeight="1">
      <c r="A2060" s="190" t="str">
        <f>'2011'!C1060</f>
        <v>Entgelte</v>
      </c>
      <c r="B2060" s="190">
        <f>'2011'!D1060</f>
        <v>-7722533.61</v>
      </c>
      <c r="C2060" s="190">
        <f>'2011'!E1060</f>
        <v>-5713645.430000001</v>
      </c>
      <c r="D2060" s="190">
        <f>'2011'!F1060</f>
        <v>-8828829.7</v>
      </c>
      <c r="E2060" s="190">
        <f>'2011'!G1060</f>
        <v>-22265008.740000006</v>
      </c>
      <c r="F2060" s="190">
        <f>'2011'!H1060</f>
        <v>-58263121</v>
      </c>
      <c r="G2060" s="190">
        <f>'2011'!I1060</f>
        <v>-80528129.74000001</v>
      </c>
    </row>
    <row r="2061" spans="1:7" ht="12.75" customHeight="1">
      <c r="A2061" s="190" t="str">
        <f>'2011'!C1061</f>
        <v>Verschiedene Eträge</v>
      </c>
      <c r="B2061" s="190">
        <f>'2011'!D1061</f>
        <v>-175823.2</v>
      </c>
      <c r="C2061" s="190">
        <f>'2011'!E1061</f>
        <v>-789</v>
      </c>
      <c r="D2061" s="190">
        <f>'2011'!F1061</f>
        <v>-255735.5</v>
      </c>
      <c r="E2061" s="190">
        <f>'2011'!G1061</f>
        <v>-432347.7</v>
      </c>
      <c r="F2061" s="190">
        <f>'2011'!H1061</f>
        <v>-135589</v>
      </c>
      <c r="G2061" s="190">
        <f>'2011'!I1061</f>
        <v>-567936.7000000001</v>
      </c>
    </row>
    <row r="2062" spans="1:7" ht="12.75" customHeight="1">
      <c r="A2062" s="190" t="str">
        <f>'2011'!C1062</f>
        <v>Entnahmen aus Fonds und Spezialfinanzierungen</v>
      </c>
      <c r="B2062" s="190">
        <f>'2011'!D1062</f>
        <v>0</v>
      </c>
      <c r="C2062" s="190">
        <f>'2011'!E1062</f>
        <v>-97780</v>
      </c>
      <c r="D2062" s="190">
        <f>'2011'!F1062</f>
        <v>-1361400.2</v>
      </c>
      <c r="E2062" s="190">
        <f>'2011'!G1062</f>
        <v>-1459180.2</v>
      </c>
      <c r="F2062" s="190">
        <f>'2011'!H1062</f>
        <v>-14928644</v>
      </c>
      <c r="G2062" s="190">
        <f>'2011'!I1062</f>
        <v>-16387824.2</v>
      </c>
    </row>
    <row r="2063" spans="1:7" ht="12.75" customHeight="1">
      <c r="A2063" s="190" t="str">
        <f>'2011'!C1063</f>
        <v>Transferertrag</v>
      </c>
      <c r="B2063" s="190">
        <f>'2011'!D1063</f>
        <v>-5415474.090000001</v>
      </c>
      <c r="C2063" s="190">
        <f>'2011'!E1063</f>
        <v>-2000740.26</v>
      </c>
      <c r="D2063" s="190">
        <f>'2011'!F1063</f>
        <v>-4527555.32</v>
      </c>
      <c r="E2063" s="190">
        <f>'2011'!G1063</f>
        <v>-11943769.670000002</v>
      </c>
      <c r="F2063" s="190">
        <f>'2011'!H1063</f>
        <v>-118667814</v>
      </c>
      <c r="G2063" s="190">
        <f>'2011'!I1063</f>
        <v>-130611583.67</v>
      </c>
    </row>
    <row r="2064" spans="1:7" ht="12.75" customHeight="1">
      <c r="A2064" s="190" t="str">
        <f>'2011'!C1064</f>
        <v>Durchlaufende Beiträge</v>
      </c>
      <c r="B2064" s="190">
        <f>'2011'!D1064</f>
        <v>0</v>
      </c>
      <c r="C2064" s="190">
        <f>'2011'!E1064</f>
        <v>0</v>
      </c>
      <c r="D2064" s="190">
        <f>'2011'!F1064</f>
        <v>0</v>
      </c>
      <c r="E2064" s="190">
        <f>'2011'!G1064</f>
        <v>0</v>
      </c>
      <c r="F2064" s="190">
        <f>'2011'!H1064</f>
        <v>-28430592</v>
      </c>
      <c r="G2064" s="190">
        <f>'2011'!I1064</f>
        <v>-28430592</v>
      </c>
    </row>
    <row r="2065" spans="1:7" ht="12.75" customHeight="1">
      <c r="A2065" s="190" t="str">
        <f>'2011'!C1065</f>
        <v> Interne Verrechnungen</v>
      </c>
      <c r="B2065" s="190">
        <f>'2011'!D1065</f>
        <v>-5937643.01</v>
      </c>
      <c r="C2065" s="190">
        <f>'2011'!E1065</f>
        <v>-4636688.75</v>
      </c>
      <c r="D2065" s="190">
        <f>'2011'!F1065</f>
        <v>-6493096.64</v>
      </c>
      <c r="E2065" s="190">
        <f>'2011'!G1065</f>
        <v>-17067428.4</v>
      </c>
      <c r="F2065" s="190">
        <f>'2011'!H1065</f>
        <v>-10680140</v>
      </c>
      <c r="G2065" s="190">
        <f>'2011'!I1065</f>
        <v>-27747568.400000002</v>
      </c>
    </row>
    <row r="2066" spans="1:7" ht="12.75" customHeight="1">
      <c r="A2066" s="190" t="str">
        <f>'2011'!C1066</f>
        <v>Betrieblicher Etrag</v>
      </c>
      <c r="B2066" s="190">
        <f>'2011'!D1066</f>
        <v>-41436800.86</v>
      </c>
      <c r="C2066" s="190">
        <f>'2011'!E1066</f>
        <v>-41206534</v>
      </c>
      <c r="D2066" s="190">
        <f>'2011'!F1066</f>
        <v>-57887172.87</v>
      </c>
      <c r="E2066" s="190">
        <f>'2011'!G1066</f>
        <v>-140530507.73000002</v>
      </c>
      <c r="F2066" s="190">
        <f>'2011'!H1066</f>
        <v>-357325542</v>
      </c>
      <c r="G2066" s="190">
        <f>'2011'!I1066</f>
        <v>-497856049.72999996</v>
      </c>
    </row>
    <row r="2067" spans="1:7" ht="12.75" customHeight="1">
      <c r="A2067" s="190">
        <f>'2011'!C1067</f>
        <v>0</v>
      </c>
      <c r="B2067" s="190">
        <f>'2011'!D1067</f>
        <v>0</v>
      </c>
      <c r="C2067" s="190">
        <f>'2011'!E1067</f>
        <v>0</v>
      </c>
      <c r="D2067" s="190">
        <f>'2011'!F1067</f>
        <v>0</v>
      </c>
      <c r="E2067" s="190">
        <f>'2011'!G1067</f>
        <v>0</v>
      </c>
      <c r="F2067" s="190">
        <f>'2011'!H1067</f>
        <v>0</v>
      </c>
      <c r="G2067" s="190">
        <f>'2011'!I1067</f>
        <v>0</v>
      </c>
    </row>
    <row r="2068" spans="1:7" ht="12.75" customHeight="1">
      <c r="A2068" s="190" t="str">
        <f>'2011'!C1068</f>
        <v>Ergebnis aus betrieblicher Tätigkeit</v>
      </c>
      <c r="B2068" s="190">
        <f>'2011'!D1068</f>
        <v>4575030.590000004</v>
      </c>
      <c r="C2068" s="190">
        <f>'2011'!E1068</f>
        <v>3817583.730000004</v>
      </c>
      <c r="D2068" s="190">
        <f>'2011'!F1068</f>
        <v>6921472.660000004</v>
      </c>
      <c r="E2068" s="190">
        <f>'2011'!G1068</f>
        <v>15314086.97999999</v>
      </c>
      <c r="F2068" s="190">
        <f>'2011'!H1068</f>
        <v>-13186492</v>
      </c>
      <c r="G2068" s="190">
        <f>'2011'!I1068</f>
        <v>2127594.980000019</v>
      </c>
    </row>
    <row r="2069" spans="1:7" ht="12.75" customHeight="1">
      <c r="A2069" s="190">
        <f>'2011'!C1069</f>
        <v>0</v>
      </c>
      <c r="B2069" s="190">
        <f>'2011'!D1069</f>
        <v>0</v>
      </c>
      <c r="C2069" s="190">
        <f>'2011'!E1069</f>
        <v>0</v>
      </c>
      <c r="D2069" s="190">
        <f>'2011'!F1069</f>
        <v>0</v>
      </c>
      <c r="E2069" s="190">
        <f>'2011'!G1069</f>
        <v>0</v>
      </c>
      <c r="F2069" s="190">
        <f>'2011'!H1069</f>
        <v>0</v>
      </c>
      <c r="G2069" s="190">
        <f>'2011'!I1069</f>
        <v>0</v>
      </c>
    </row>
    <row r="2070" spans="1:7" ht="12.75" customHeight="1">
      <c r="A2070" s="190" t="str">
        <f>'2011'!C1070</f>
        <v>Finanzaufwand</v>
      </c>
      <c r="B2070" s="190">
        <f>'2011'!D1070</f>
        <v>817929.81</v>
      </c>
      <c r="C2070" s="190">
        <f>'2011'!E1070</f>
        <v>1233973.89</v>
      </c>
      <c r="D2070" s="190">
        <f>'2011'!F1070</f>
        <v>1210651.79</v>
      </c>
      <c r="E2070" s="190">
        <f>'2011'!G1070</f>
        <v>3262555.49</v>
      </c>
      <c r="F2070" s="190">
        <f>'2011'!H1070</f>
        <v>5543599</v>
      </c>
      <c r="G2070" s="190">
        <f>'2011'!I1070</f>
        <v>8806154.49</v>
      </c>
    </row>
    <row r="2071" spans="1:7" ht="12.75" customHeight="1">
      <c r="A2071" s="190" t="str">
        <f>'2011'!C1071</f>
        <v>Finanzertrag</v>
      </c>
      <c r="B2071" s="190">
        <f>'2011'!D1071</f>
        <v>-2108066.85</v>
      </c>
      <c r="C2071" s="190">
        <f>'2011'!E1071</f>
        <v>-3072726.6900000004</v>
      </c>
      <c r="D2071" s="190">
        <f>'2011'!F1071</f>
        <v>-3330469.76</v>
      </c>
      <c r="E2071" s="190">
        <f>'2011'!G1071</f>
        <v>-8511263.3</v>
      </c>
      <c r="F2071" s="190">
        <f>'2011'!H1071</f>
        <v>-13226123</v>
      </c>
      <c r="G2071" s="190">
        <f>'2011'!I1071</f>
        <v>-21737386.3</v>
      </c>
    </row>
    <row r="2072" spans="1:7" ht="12.75" customHeight="1">
      <c r="A2072" s="190" t="str">
        <f>'2011'!C1072</f>
        <v>Ergebnis aus Finanzierung</v>
      </c>
      <c r="B2072" s="190">
        <f>'2011'!D1072</f>
        <v>-1290137.04</v>
      </c>
      <c r="C2072" s="190">
        <f>'2011'!E1072</f>
        <v>-1838752.8000000005</v>
      </c>
      <c r="D2072" s="190">
        <f>'2011'!F1072</f>
        <v>-2119817.9699999997</v>
      </c>
      <c r="E2072" s="190">
        <f>'2011'!G1072</f>
        <v>-5248707.8100000005</v>
      </c>
      <c r="F2072" s="190">
        <f>'2011'!H1072</f>
        <v>-7682524</v>
      </c>
      <c r="G2072" s="190">
        <f>'2011'!I1072</f>
        <v>-12931231.81</v>
      </c>
    </row>
    <row r="2073" spans="1:7" ht="12.75" customHeight="1">
      <c r="A2073" s="190">
        <f>'2011'!C1073</f>
        <v>0</v>
      </c>
      <c r="B2073" s="190">
        <f>'2011'!D1073</f>
        <v>0</v>
      </c>
      <c r="C2073" s="190">
        <f>'2011'!E1073</f>
        <v>0</v>
      </c>
      <c r="D2073" s="190">
        <f>'2011'!F1073</f>
        <v>0</v>
      </c>
      <c r="E2073" s="190">
        <f>'2011'!G1073</f>
        <v>0</v>
      </c>
      <c r="F2073" s="190">
        <f>'2011'!H1073</f>
        <v>0</v>
      </c>
      <c r="G2073" s="190">
        <f>'2011'!I1073</f>
        <v>0</v>
      </c>
    </row>
    <row r="2074" spans="1:7" ht="12.75" customHeight="1">
      <c r="A2074" s="190" t="str">
        <f>'2011'!C1074</f>
        <v>Operatives Ergebnis</v>
      </c>
      <c r="B2074" s="190">
        <f>'2011'!D1074</f>
        <v>3284893.5500000035</v>
      </c>
      <c r="C2074" s="190">
        <f>'2011'!E1074</f>
        <v>1978830.9300000037</v>
      </c>
      <c r="D2074" s="190">
        <f>'2011'!F1074</f>
        <v>4801654.690000004</v>
      </c>
      <c r="E2074" s="190">
        <f>'2011'!G1074</f>
        <v>10065379.169999989</v>
      </c>
      <c r="F2074" s="190">
        <f>'2011'!H1074</f>
        <v>-20869016</v>
      </c>
      <c r="G2074" s="190">
        <f>'2011'!I1074</f>
        <v>-10803636.829999981</v>
      </c>
    </row>
    <row r="2075" spans="1:7" ht="12.75" customHeight="1">
      <c r="A2075" s="190">
        <f>'2011'!C1075</f>
        <v>0</v>
      </c>
      <c r="B2075" s="190">
        <f>'2011'!D1075</f>
        <v>0</v>
      </c>
      <c r="C2075" s="190">
        <f>'2011'!E1075</f>
        <v>0</v>
      </c>
      <c r="D2075" s="190">
        <f>'2011'!F1075</f>
        <v>0</v>
      </c>
      <c r="E2075" s="190">
        <f>'2011'!G1075</f>
        <v>0</v>
      </c>
      <c r="F2075" s="190">
        <f>'2011'!H1075</f>
        <v>0</v>
      </c>
      <c r="G2075" s="190">
        <f>'2011'!I1075</f>
        <v>0</v>
      </c>
    </row>
    <row r="2076" spans="1:7" ht="12.75" customHeight="1">
      <c r="A2076" s="190" t="str">
        <f>'2011'!C1076</f>
        <v>Ausserordentlicher Aufwand</v>
      </c>
      <c r="B2076" s="190">
        <f>'2011'!D1076</f>
        <v>1060893.53</v>
      </c>
      <c r="C2076" s="190">
        <f>'2011'!E1076</f>
        <v>2005225</v>
      </c>
      <c r="D2076" s="190">
        <f>'2011'!F1076</f>
        <v>372772.3</v>
      </c>
      <c r="E2076" s="190">
        <f>'2011'!G1076</f>
        <v>3438890.8299999996</v>
      </c>
      <c r="F2076" s="190">
        <f>'2011'!H1076</f>
        <v>12901113</v>
      </c>
      <c r="G2076" s="190">
        <f>'2011'!I1076</f>
        <v>16340003.830000002</v>
      </c>
    </row>
    <row r="2077" spans="1:7" ht="12.75" customHeight="1">
      <c r="A2077" s="190" t="str">
        <f>'2011'!C1077</f>
        <v>Ausserordentlicher Ertrag</v>
      </c>
      <c r="B2077" s="190">
        <f>'2011'!D1077</f>
        <v>-4983345.680000001</v>
      </c>
      <c r="C2077" s="190">
        <f>'2011'!E1077</f>
        <v>-7498513.079999999</v>
      </c>
      <c r="D2077" s="190">
        <f>'2011'!F1077</f>
        <v>-5646697.25</v>
      </c>
      <c r="E2077" s="190">
        <f>'2011'!G1077</f>
        <v>-18128556.009999998</v>
      </c>
      <c r="F2077" s="190">
        <f>'2011'!H1077</f>
        <v>-134365</v>
      </c>
      <c r="G2077" s="190">
        <f>'2011'!I1077</f>
        <v>-18262921.009999998</v>
      </c>
    </row>
    <row r="2078" spans="1:7" ht="12.75" customHeight="1">
      <c r="A2078" s="190" t="str">
        <f>'2011'!C1078</f>
        <v>Ausserordentliches Ergebnis</v>
      </c>
      <c r="B2078" s="190">
        <f>'2011'!D1078</f>
        <v>-3922452.1500000004</v>
      </c>
      <c r="C2078" s="190">
        <f>'2011'!E1078</f>
        <v>-5493288.079999999</v>
      </c>
      <c r="D2078" s="190">
        <f>'2011'!F1078</f>
        <v>-5273924.95</v>
      </c>
      <c r="E2078" s="190">
        <f>'2011'!G1078</f>
        <v>-14689665.179999998</v>
      </c>
      <c r="F2078" s="190">
        <f>'2011'!H1078</f>
        <v>12766748</v>
      </c>
      <c r="G2078" s="190">
        <f>'2011'!I1078</f>
        <v>-1922917.179999996</v>
      </c>
    </row>
    <row r="2079" spans="1:7" ht="12.75" customHeight="1">
      <c r="A2079" s="190">
        <f>'2011'!C1079</f>
        <v>0</v>
      </c>
      <c r="B2079" s="190">
        <f>'2011'!D1079</f>
        <v>0</v>
      </c>
      <c r="C2079" s="190">
        <f>'2011'!E1079</f>
        <v>0</v>
      </c>
      <c r="D2079" s="190">
        <f>'2011'!F1079</f>
        <v>0</v>
      </c>
      <c r="E2079" s="190">
        <f>'2011'!G1079</f>
        <v>0</v>
      </c>
      <c r="F2079" s="190">
        <f>'2011'!H1079</f>
        <v>0</v>
      </c>
      <c r="G2079" s="190">
        <f>'2011'!I1079</f>
        <v>0</v>
      </c>
    </row>
    <row r="2080" spans="1:7" ht="12.75" customHeight="1">
      <c r="A2080" s="190" t="str">
        <f>'2011'!C1080</f>
        <v>Gesamtergebnis (Operatives und a.o. Ergebnis)</v>
      </c>
      <c r="B2080" s="190">
        <f>'2011'!D1080</f>
        <v>-637558.5999999968</v>
      </c>
      <c r="C2080" s="190">
        <f>'2011'!E1080</f>
        <v>-3514457.1499999957</v>
      </c>
      <c r="D2080" s="190">
        <f>'2011'!F1080</f>
        <v>-472270.25999999605</v>
      </c>
      <c r="E2080" s="190">
        <f>'2011'!G1080</f>
        <v>-4624286.010000009</v>
      </c>
      <c r="F2080" s="190">
        <f>'2011'!H1080</f>
        <v>-8102268</v>
      </c>
      <c r="G2080" s="190">
        <f>'2011'!I1080</f>
        <v>-12726554.009999977</v>
      </c>
    </row>
    <row r="2081" spans="1:7" ht="12.75" customHeight="1">
      <c r="A2081" s="190" t="str">
        <f>'2011'!C1081</f>
        <v>(- = Gewinn / + = Verlust)</v>
      </c>
      <c r="B2081" s="190">
        <f>'2011'!D1081</f>
        <v>0</v>
      </c>
      <c r="C2081" s="190">
        <f>'2011'!E1081</f>
        <v>0</v>
      </c>
      <c r="D2081" s="190">
        <f>'2011'!F1081</f>
        <v>0</v>
      </c>
      <c r="E2081" s="190">
        <f>'2011'!G1081</f>
        <v>0</v>
      </c>
      <c r="F2081" s="190">
        <f>'2011'!H1081</f>
        <v>0</v>
      </c>
      <c r="G2081" s="190">
        <f>'2011'!I1081</f>
        <v>0</v>
      </c>
    </row>
    <row r="2082" spans="1:7" ht="12.75" customHeight="1">
      <c r="A2082" s="190" t="str">
        <f>'2011'!C1082</f>
        <v>GESAMTÜBERSICHT JAHRESRECHNUNG</v>
      </c>
      <c r="B2082" s="190">
        <f>'2011'!D1082</f>
        <v>0</v>
      </c>
      <c r="C2082" s="190">
        <f>'2011'!E1082</f>
        <v>0</v>
      </c>
      <c r="D2082" s="190">
        <f>'2011'!F1082</f>
        <v>0</v>
      </c>
      <c r="E2082" s="190">
        <f>'2011'!G1082</f>
        <v>0</v>
      </c>
      <c r="F2082" s="190">
        <f>'2011'!H1082</f>
        <v>0</v>
      </c>
      <c r="G2082" s="190">
        <f>'2011'!I1082</f>
        <v>0</v>
      </c>
    </row>
    <row r="2083" spans="1:7" ht="12.75" customHeight="1">
      <c r="A2083" s="190">
        <f>'2011'!C1083</f>
        <v>0</v>
      </c>
      <c r="B2083" s="190">
        <f>'2011'!D1083</f>
        <v>0</v>
      </c>
      <c r="C2083" s="190">
        <f>'2011'!E1083</f>
        <v>0</v>
      </c>
      <c r="D2083" s="190">
        <f>'2011'!F1083</f>
        <v>0</v>
      </c>
      <c r="E2083" s="190">
        <f>'2011'!G1083</f>
        <v>0</v>
      </c>
      <c r="F2083" s="190">
        <f>'2011'!H1083</f>
        <v>0</v>
      </c>
      <c r="G2083" s="190">
        <f>'2011'!I1083</f>
        <v>0</v>
      </c>
    </row>
    <row r="2084" spans="1:7" ht="12.75" customHeight="1">
      <c r="A2084" s="190" t="str">
        <f>'2011'!C1084</f>
        <v>NETTOVERMÖGEN / NETTOSCHULD</v>
      </c>
      <c r="B2084" s="190">
        <f>'2011'!D1084</f>
        <v>0</v>
      </c>
      <c r="C2084" s="190">
        <f>'2011'!E1084</f>
        <v>0</v>
      </c>
      <c r="D2084" s="190">
        <f>'2011'!F1084</f>
        <v>0</v>
      </c>
      <c r="E2084" s="190">
        <f>'2011'!G1084</f>
        <v>0</v>
      </c>
      <c r="F2084" s="190">
        <f>'2011'!H1084</f>
        <v>0</v>
      </c>
      <c r="G2084" s="190">
        <f>'2011'!I1084</f>
        <v>0</v>
      </c>
    </row>
    <row r="2085" spans="1:7" ht="12.75" customHeight="1">
      <c r="A2085" s="190" t="str">
        <f>'2011'!C1085</f>
        <v>Verwaltungsvermögen</v>
      </c>
      <c r="B2085" s="190">
        <f>'2011'!D1085</f>
        <v>-37330152.3</v>
      </c>
      <c r="C2085" s="190">
        <f>'2011'!E1085</f>
        <v>-37801259</v>
      </c>
      <c r="D2085" s="190">
        <f>'2011'!F1085</f>
        <v>-60634948.99</v>
      </c>
      <c r="E2085" s="190">
        <f>'2011'!G1085</f>
        <v>-135766360.29</v>
      </c>
      <c r="F2085" s="190">
        <f>'2011'!H1085</f>
        <v>-199271970.89</v>
      </c>
      <c r="G2085" s="190">
        <f>'2011'!I1085</f>
        <v>-335038331.18</v>
      </c>
    </row>
    <row r="2086" spans="1:7" ht="12.75" customHeight="1">
      <c r="A2086" s="190" t="str">
        <f>'2011'!C1086</f>
        <v>Eigenkapital</v>
      </c>
      <c r="B2086" s="190">
        <f>'2011'!D1086</f>
        <v>60341073.22</v>
      </c>
      <c r="C2086" s="190">
        <f>'2011'!E1086</f>
        <v>56082674.589999996</v>
      </c>
      <c r="D2086" s="190">
        <f>'2011'!F1086</f>
        <v>92179609.04</v>
      </c>
      <c r="E2086" s="190">
        <f>'2011'!G1086</f>
        <v>208603356.85000002</v>
      </c>
      <c r="F2086" s="190">
        <f>'2011'!H1086</f>
        <v>378514875.93</v>
      </c>
      <c r="G2086" s="190">
        <f>'2011'!I1086</f>
        <v>587118232.78</v>
      </c>
    </row>
    <row r="2087" spans="1:7" ht="12.75" customHeight="1">
      <c r="A2087" s="190" t="str">
        <f>'2011'!C1087</f>
        <v>Nettoschuld I (+ = Nettovermögen I)</v>
      </c>
      <c r="B2087" s="190">
        <f>'2011'!D1087</f>
        <v>23010920.92</v>
      </c>
      <c r="C2087" s="190">
        <f>'2011'!E1087</f>
        <v>18281415.589999996</v>
      </c>
      <c r="D2087" s="190">
        <f>'2011'!F1087</f>
        <v>31544660.050000004</v>
      </c>
      <c r="E2087" s="190">
        <f>'2011'!G1087</f>
        <v>72836996.56000003</v>
      </c>
      <c r="F2087" s="190">
        <f>'2011'!H1087</f>
        <v>179242905.04000002</v>
      </c>
      <c r="G2087" s="190">
        <f>'2011'!I1087</f>
        <v>252079901.59999996</v>
      </c>
    </row>
    <row r="2088" spans="1:7" ht="12.75" customHeight="1">
      <c r="A2088" s="190">
        <f>'2011'!C1088</f>
        <v>0</v>
      </c>
      <c r="B2088" s="190">
        <f>'2011'!D1088</f>
        <v>0</v>
      </c>
      <c r="C2088" s="190">
        <f>'2011'!E1088</f>
        <v>0</v>
      </c>
      <c r="D2088" s="190">
        <f>'2011'!F1088</f>
        <v>0</v>
      </c>
      <c r="E2088" s="190">
        <f>'2011'!G1088</f>
        <v>0</v>
      </c>
      <c r="F2088" s="190">
        <f>'2011'!H1088</f>
        <v>0</v>
      </c>
      <c r="G2088" s="190">
        <f>'2011'!I1088</f>
        <v>0</v>
      </c>
    </row>
    <row r="2089" spans="1:7" ht="12.75" customHeight="1">
      <c r="A2089" s="190" t="str">
        <f>'2011'!C1089</f>
        <v>ERFOLGSRECHNUNG</v>
      </c>
      <c r="B2089" s="190">
        <f>'2011'!D1089</f>
        <v>0</v>
      </c>
      <c r="C2089" s="190">
        <f>'2011'!E1089</f>
        <v>0</v>
      </c>
      <c r="D2089" s="190">
        <f>'2011'!F1089</f>
        <v>0</v>
      </c>
      <c r="E2089" s="190">
        <f>'2011'!G1089</f>
        <v>0</v>
      </c>
      <c r="F2089" s="190">
        <f>'2011'!H1089</f>
        <v>0</v>
      </c>
      <c r="G2089" s="190">
        <f>'2011'!I1089</f>
        <v>0</v>
      </c>
    </row>
    <row r="2090" spans="1:7" ht="12.75" customHeight="1">
      <c r="A2090" s="190" t="str">
        <f>'2011'!C1090</f>
        <v>Total Aufwand</v>
      </c>
      <c r="B2090" s="190">
        <f>'2011'!D1090</f>
        <v>47890654.79000001</v>
      </c>
      <c r="C2090" s="190">
        <f>'2011'!E1090</f>
        <v>48263316.620000005</v>
      </c>
      <c r="D2090" s="190">
        <f>'2011'!F1090</f>
        <v>66392069.62</v>
      </c>
      <c r="E2090" s="190">
        <f>'2011'!G1090</f>
        <v>162546041.03</v>
      </c>
      <c r="F2090" s="190">
        <f>'2011'!H1090</f>
        <v>362583762</v>
      </c>
      <c r="G2090" s="190">
        <f>'2011'!I1090</f>
        <v>525129803.03</v>
      </c>
    </row>
    <row r="2091" spans="1:7" ht="12.75" customHeight="1">
      <c r="A2091" s="190" t="str">
        <f>'2011'!C1091</f>
        <v>Total Ertrag</v>
      </c>
      <c r="B2091" s="190">
        <f>'2011'!D1091</f>
        <v>-48528213.39</v>
      </c>
      <c r="C2091" s="190">
        <f>'2011'!E1091</f>
        <v>-51777773.769999996</v>
      </c>
      <c r="D2091" s="190">
        <f>'2011'!F1091</f>
        <v>-66864339.879999995</v>
      </c>
      <c r="E2091" s="190">
        <f>'2011'!G1091</f>
        <v>-167170327.04000002</v>
      </c>
      <c r="F2091" s="190">
        <f>'2011'!H1091</f>
        <v>-370686030</v>
      </c>
      <c r="G2091" s="190">
        <f>'2011'!I1091</f>
        <v>-537856357.04</v>
      </c>
    </row>
    <row r="2092" spans="1:7" ht="12.75" customHeight="1">
      <c r="A2092" s="190" t="str">
        <f>'2011'!C1092</f>
        <v>Ertragsüberschuss (-) / Aufwandüberschuss (+)</v>
      </c>
      <c r="B2092" s="190">
        <f>'2011'!D1092</f>
        <v>-637558.599999994</v>
      </c>
      <c r="C2092" s="190">
        <f>'2011'!E1092</f>
        <v>-3514457.149999991</v>
      </c>
      <c r="D2092" s="190">
        <f>'2011'!F1092</f>
        <v>-472270.2599999979</v>
      </c>
      <c r="E2092" s="190">
        <f>'2011'!G1092</f>
        <v>-4624286.01000002</v>
      </c>
      <c r="F2092" s="190">
        <f>'2011'!H1092</f>
        <v>-8102268</v>
      </c>
      <c r="G2092" s="190">
        <f>'2011'!I1092</f>
        <v>-12726554.00999999</v>
      </c>
    </row>
    <row r="2093" spans="1:7" ht="12.75" customHeight="1">
      <c r="A2093" s="190">
        <f>'2011'!C1093</f>
        <v>0</v>
      </c>
      <c r="B2093" s="190">
        <f>'2011'!D1093</f>
        <v>0</v>
      </c>
      <c r="C2093" s="190">
        <f>'2011'!E1093</f>
        <v>0</v>
      </c>
      <c r="D2093" s="190">
        <f>'2011'!F1093</f>
        <v>0</v>
      </c>
      <c r="E2093" s="190">
        <f>'2011'!G1093</f>
        <v>0</v>
      </c>
      <c r="F2093" s="190">
        <f>'2011'!H1093</f>
        <v>0</v>
      </c>
      <c r="G2093" s="190">
        <f>'2011'!I1093</f>
        <v>0</v>
      </c>
    </row>
    <row r="2094" spans="1:7" ht="12.75" customHeight="1">
      <c r="A2094" s="190" t="str">
        <f>'2011'!C1094</f>
        <v>NETTOINVESTITIONEN</v>
      </c>
      <c r="B2094" s="190">
        <f>'2011'!D1094</f>
        <v>0</v>
      </c>
      <c r="C2094" s="190">
        <f>'2011'!E1094</f>
        <v>0</v>
      </c>
      <c r="D2094" s="190">
        <f>'2011'!F1094</f>
        <v>0</v>
      </c>
      <c r="E2094" s="190">
        <f>'2011'!G1094</f>
        <v>0</v>
      </c>
      <c r="F2094" s="190">
        <f>'2011'!H1094</f>
        <v>0</v>
      </c>
      <c r="G2094" s="190">
        <f>'2011'!I1094</f>
        <v>0</v>
      </c>
    </row>
    <row r="2095" spans="1:7" ht="12.75" customHeight="1">
      <c r="A2095" s="190" t="str">
        <f>'2011'!C1095</f>
        <v>Investitionsausgaben</v>
      </c>
      <c r="B2095" s="190">
        <f>'2011'!D1095</f>
        <v>7651375.350000001</v>
      </c>
      <c r="C2095" s="190">
        <f>'2011'!E1095</f>
        <v>3407687.9</v>
      </c>
      <c r="D2095" s="190">
        <f>'2011'!F1095</f>
        <v>5658362.38</v>
      </c>
      <c r="E2095" s="190">
        <f>'2011'!G1095</f>
        <v>16717425.63</v>
      </c>
      <c r="F2095" s="190">
        <f>'2011'!H1095</f>
        <v>30140097</v>
      </c>
      <c r="G2095" s="190">
        <f>'2011'!I1095</f>
        <v>46857522.629999995</v>
      </c>
    </row>
    <row r="2096" spans="1:7" ht="12.75" customHeight="1">
      <c r="A2096" s="190" t="str">
        <f>'2011'!C1096</f>
        <v>Investitionseinnahmen</v>
      </c>
      <c r="B2096" s="190">
        <f>'2011'!D1096</f>
        <v>-3163798.3</v>
      </c>
      <c r="C2096" s="190">
        <f>'2011'!E1096</f>
        <v>-1156132.2</v>
      </c>
      <c r="D2096" s="190">
        <f>'2011'!F1096</f>
        <v>-2503614.9</v>
      </c>
      <c r="E2096" s="190">
        <f>'2011'!G1096</f>
        <v>-6823545.399999999</v>
      </c>
      <c r="F2096" s="190">
        <f>'2011'!H1096</f>
        <v>-12454366</v>
      </c>
      <c r="G2096" s="190">
        <f>'2011'!I1096</f>
        <v>-19277911.400000002</v>
      </c>
    </row>
    <row r="2097" spans="1:7" ht="12.75" customHeight="1">
      <c r="A2097" s="190" t="str">
        <f>'2011'!C1097</f>
        <v>Nettoinvestitionen</v>
      </c>
      <c r="B2097" s="190">
        <f>'2011'!D1097</f>
        <v>4487577.050000001</v>
      </c>
      <c r="C2097" s="190">
        <f>'2011'!E1097</f>
        <v>2251555.7</v>
      </c>
      <c r="D2097" s="190">
        <f>'2011'!F1097</f>
        <v>3154747.48</v>
      </c>
      <c r="E2097" s="190">
        <f>'2011'!G1097</f>
        <v>9893880.23</v>
      </c>
      <c r="F2097" s="190">
        <f>'2011'!H1097</f>
        <v>17685731</v>
      </c>
      <c r="G2097" s="190">
        <f>'2011'!I1097</f>
        <v>27579611.229999993</v>
      </c>
    </row>
    <row r="2098" spans="1:7" ht="12.75" customHeight="1">
      <c r="A2098" s="190">
        <f>'2011'!C1098</f>
        <v>0</v>
      </c>
      <c r="B2098" s="190">
        <f>'2011'!D1098</f>
        <v>0</v>
      </c>
      <c r="C2098" s="190">
        <f>'2011'!E1098</f>
        <v>0</v>
      </c>
      <c r="D2098" s="190">
        <f>'2011'!F1098</f>
        <v>0</v>
      </c>
      <c r="E2098" s="190">
        <f>'2011'!G1098</f>
        <v>0</v>
      </c>
      <c r="F2098" s="190">
        <f>'2011'!H1098</f>
        <v>0</v>
      </c>
      <c r="G2098" s="190">
        <f>'2011'!I1098</f>
        <v>0</v>
      </c>
    </row>
    <row r="2099" spans="1:7" ht="12.75" customHeight="1">
      <c r="A2099" s="190" t="str">
        <f>'2011'!C1099</f>
        <v>FINANZIERUNG</v>
      </c>
      <c r="B2099" s="190">
        <f>'2011'!D1099</f>
        <v>0</v>
      </c>
      <c r="C2099" s="190">
        <f>'2011'!E1099</f>
        <v>0</v>
      </c>
      <c r="D2099" s="190">
        <f>'2011'!F1099</f>
        <v>0</v>
      </c>
      <c r="E2099" s="190">
        <f>'2011'!G1099</f>
        <v>0</v>
      </c>
      <c r="F2099" s="190">
        <f>'2011'!H1099</f>
        <v>0</v>
      </c>
      <c r="G2099" s="190">
        <f>'2011'!I1099</f>
        <v>0</v>
      </c>
    </row>
    <row r="2100" spans="1:7" ht="12.75" customHeight="1">
      <c r="A2100" s="190" t="str">
        <f>'2011'!C1100</f>
        <v>Zunahme Nettoinvestitionen</v>
      </c>
      <c r="B2100" s="190">
        <f>'2011'!D1100</f>
        <v>4487577.050000001</v>
      </c>
      <c r="C2100" s="190">
        <f>'2011'!E1100</f>
        <v>2251555.7</v>
      </c>
      <c r="D2100" s="190">
        <f>'2011'!F1100</f>
        <v>3154747.48</v>
      </c>
      <c r="E2100" s="190">
        <f>'2011'!G1100</f>
        <v>9893880.23</v>
      </c>
      <c r="F2100" s="190">
        <f>'2011'!H1100</f>
        <v>17685731</v>
      </c>
      <c r="G2100" s="190">
        <f>'2011'!I1100</f>
        <v>27579611.229999993</v>
      </c>
    </row>
    <row r="2101" spans="1:7" ht="12.75" customHeight="1">
      <c r="A2101" s="190" t="str">
        <f>'2011'!C1101</f>
        <v>Abschreibungen</v>
      </c>
      <c r="B2101" s="190">
        <f>'2011'!D1101</f>
        <v>-3706623</v>
      </c>
      <c r="C2101" s="190">
        <f>'2011'!E1101</f>
        <v>-3523483.83</v>
      </c>
      <c r="D2101" s="190">
        <f>'2011'!F1101</f>
        <v>-7969303.12</v>
      </c>
      <c r="E2101" s="190">
        <f>'2011'!G1101</f>
        <v>-15199409.950000001</v>
      </c>
      <c r="F2101" s="190">
        <f>'2011'!H1101</f>
        <v>-26394277</v>
      </c>
      <c r="G2101" s="190">
        <f>'2011'!I1101</f>
        <v>-41593686.95</v>
      </c>
    </row>
    <row r="2102" spans="1:7" ht="12.75" customHeight="1">
      <c r="A2102" s="190" t="str">
        <f>'2011'!C1102</f>
        <v>ER Ertrags- (-) / Aufwandüberschuss (+) </v>
      </c>
      <c r="B2102" s="190">
        <f>'2011'!D1102</f>
        <v>-637558.599999994</v>
      </c>
      <c r="C2102" s="190">
        <f>'2011'!E1102</f>
        <v>-3514457.149999991</v>
      </c>
      <c r="D2102" s="190">
        <f>'2011'!F1102</f>
        <v>-472270.2599999979</v>
      </c>
      <c r="E2102" s="190">
        <f>'2011'!G1102</f>
        <v>-4624286.01000002</v>
      </c>
      <c r="F2102" s="190">
        <f>'2011'!H1102</f>
        <v>-8102268</v>
      </c>
      <c r="G2102" s="190">
        <f>'2011'!I1102</f>
        <v>-12726554.00999999</v>
      </c>
    </row>
    <row r="2103" spans="1:7" ht="12.75" customHeight="1">
      <c r="A2103" s="190" t="str">
        <f>'2011'!C1103</f>
        <v>Einlagen in Fonds und SPF im EK</v>
      </c>
      <c r="B2103" s="190">
        <f>'2011'!D1103</f>
        <v>-107741.95</v>
      </c>
      <c r="C2103" s="190">
        <f>'2011'!E1103</f>
        <v>-100805.1</v>
      </c>
      <c r="D2103" s="190">
        <f>'2011'!F1103</f>
        <v>-473976.48</v>
      </c>
      <c r="E2103" s="190">
        <f>'2011'!G1103</f>
        <v>-682523.53</v>
      </c>
      <c r="F2103" s="190">
        <f>'2011'!H1103</f>
        <v>-1385150</v>
      </c>
      <c r="G2103" s="190">
        <f>'2011'!I1103</f>
        <v>-2067673.53</v>
      </c>
    </row>
    <row r="2104" spans="1:7" ht="12.75" customHeight="1">
      <c r="A2104" s="190" t="str">
        <f>'2011'!C1104</f>
        <v>Entnahmen aus Fonds und SPF im EK</v>
      </c>
      <c r="B2104" s="190">
        <f>'2011'!D1104</f>
        <v>0</v>
      </c>
      <c r="C2104" s="190">
        <f>'2011'!E1104</f>
        <v>19275.95</v>
      </c>
      <c r="D2104" s="190">
        <f>'2011'!F1104</f>
        <v>1361400.2</v>
      </c>
      <c r="E2104" s="190">
        <f>'2011'!G1104</f>
        <v>1380676.15</v>
      </c>
      <c r="F2104" s="190">
        <f>'2011'!H1104</f>
        <v>12544059</v>
      </c>
      <c r="G2104" s="190">
        <f>'2011'!I1104</f>
        <v>13924735.15</v>
      </c>
    </row>
    <row r="2105" spans="1:7" ht="12.75" customHeight="1">
      <c r="A2105" s="190" t="str">
        <f>'2011'!C1105</f>
        <v>Finanzierungsfehlbetrag (+) / Finanzierungsüberschuss (-)</v>
      </c>
      <c r="B2105" s="190">
        <f>'2011'!D1105</f>
        <v>35653.50000000671</v>
      </c>
      <c r="C2105" s="190">
        <f>'2011'!E1105</f>
        <v>-4867914.42999999</v>
      </c>
      <c r="D2105" s="190">
        <f>'2011'!F1105</f>
        <v>-4399402.179999999</v>
      </c>
      <c r="E2105" s="190">
        <f>'2011'!G1105</f>
        <v>-9231663.11000002</v>
      </c>
      <c r="F2105" s="190">
        <f>'2011'!H1105</f>
        <v>-5651905</v>
      </c>
      <c r="G2105" s="190">
        <f>'2011'!I1105</f>
        <v>-14883568.110000001</v>
      </c>
    </row>
    <row r="2106" spans="1:7" ht="12.75" customHeight="1">
      <c r="A2106" s="190">
        <f>'2011'!C1106</f>
        <v>0</v>
      </c>
      <c r="B2106" s="190">
        <f>'2011'!D1106</f>
        <v>0</v>
      </c>
      <c r="C2106" s="190">
        <f>'2011'!E1106</f>
        <v>0</v>
      </c>
      <c r="D2106" s="190">
        <f>'2011'!F1106</f>
        <v>0</v>
      </c>
      <c r="E2106" s="190">
        <f>'2011'!G1106</f>
        <v>0</v>
      </c>
      <c r="F2106" s="190">
        <f>'2011'!H1106</f>
        <v>0</v>
      </c>
      <c r="G2106" s="190">
        <f>'2011'!I1106</f>
        <v>0</v>
      </c>
    </row>
    <row r="2107" spans="1:7" ht="12.75" customHeight="1">
      <c r="A2107" s="190" t="str">
        <f>'2011'!C1107</f>
        <v>KAPITALVERÄNDERUNG</v>
      </c>
      <c r="B2107" s="190">
        <f>'2011'!D1107</f>
        <v>0</v>
      </c>
      <c r="C2107" s="190">
        <f>'2011'!E1107</f>
        <v>0</v>
      </c>
      <c r="D2107" s="190">
        <f>'2011'!F1107</f>
        <v>0</v>
      </c>
      <c r="E2107" s="190">
        <f>'2011'!G1107</f>
        <v>0</v>
      </c>
      <c r="F2107" s="190">
        <f>'2011'!H1107</f>
        <v>0</v>
      </c>
      <c r="G2107" s="190">
        <f>'2011'!I1107</f>
        <v>0</v>
      </c>
    </row>
    <row r="2108" spans="1:7" ht="12.75" customHeight="1">
      <c r="A2108" s="190" t="str">
        <f>'2011'!C1108</f>
        <v>Finanzierungsfehlbetrag (+) / Finanzierungsüberschuss (-)</v>
      </c>
      <c r="B2108" s="190">
        <f>'2011'!D1108</f>
        <v>35653.50000000671</v>
      </c>
      <c r="C2108" s="190">
        <f>'2011'!E1108</f>
        <v>-4867914.42999999</v>
      </c>
      <c r="D2108" s="190">
        <f>'2011'!F1108</f>
        <v>-4399402.179999999</v>
      </c>
      <c r="E2108" s="190">
        <f>'2011'!G1108</f>
        <v>-9231663.11000002</v>
      </c>
      <c r="F2108" s="190">
        <f>'2011'!H1108</f>
        <v>-5651905</v>
      </c>
      <c r="G2108" s="190">
        <f>'2011'!I1108</f>
        <v>-14883568.110000001</v>
      </c>
    </row>
    <row r="2109" spans="1:7" ht="12.75" customHeight="1">
      <c r="A2109" s="190" t="str">
        <f>'2011'!C1109</f>
        <v>Aktivierung Verwaltungsvermögen</v>
      </c>
      <c r="B2109" s="190">
        <f>'2011'!D1109</f>
        <v>-7651375.35</v>
      </c>
      <c r="C2109" s="190">
        <f>'2011'!E1109</f>
        <v>-3407687.9</v>
      </c>
      <c r="D2109" s="190">
        <f>'2011'!F1109</f>
        <v>-5658362.38</v>
      </c>
      <c r="E2109" s="190">
        <f>'2011'!G1109</f>
        <v>-16717425.629999999</v>
      </c>
      <c r="F2109" s="190">
        <f>'2011'!H1109</f>
        <v>-26532759</v>
      </c>
      <c r="G2109" s="190">
        <f>'2011'!I1109</f>
        <v>-43250184.629999995</v>
      </c>
    </row>
    <row r="2110" spans="1:7" ht="12.75" customHeight="1">
      <c r="A2110" s="190" t="str">
        <f>'2011'!C1110</f>
        <v>Passivierung Verwaltungsvermögen</v>
      </c>
      <c r="B2110" s="190">
        <f>'2011'!D1110</f>
        <v>3163798.3</v>
      </c>
      <c r="C2110" s="190">
        <f>'2011'!E1110</f>
        <v>1156132.2</v>
      </c>
      <c r="D2110" s="190">
        <f>'2011'!F1110</f>
        <v>2503614.9</v>
      </c>
      <c r="E2110" s="190">
        <f>'2011'!G1110</f>
        <v>6823545.4</v>
      </c>
      <c r="F2110" s="190">
        <f>'2011'!H1110</f>
        <v>8847028</v>
      </c>
      <c r="G2110" s="190">
        <f>'2011'!I1110</f>
        <v>15670573.4</v>
      </c>
    </row>
    <row r="2111" spans="1:7" ht="12.75" customHeight="1">
      <c r="A2111" s="190" t="str">
        <f>'2011'!C1111</f>
        <v>Abschreibungen</v>
      </c>
      <c r="B2111" s="190">
        <f>'2011'!D1111</f>
        <v>3706623</v>
      </c>
      <c r="C2111" s="190">
        <f>'2011'!E1111</f>
        <v>3523483.83</v>
      </c>
      <c r="D2111" s="190">
        <f>'2011'!F1111</f>
        <v>7969303.12</v>
      </c>
      <c r="E2111" s="190">
        <f>'2011'!G1111</f>
        <v>15199409.950000001</v>
      </c>
      <c r="F2111" s="190">
        <f>'2011'!H1111</f>
        <v>26394277</v>
      </c>
      <c r="G2111" s="190">
        <f>'2011'!I1111</f>
        <v>41593686.95</v>
      </c>
    </row>
    <row r="2112" spans="1:7" ht="12.75" customHeight="1">
      <c r="A2112" s="190" t="str">
        <f>'2011'!C1112</f>
        <v>Einlagen in Fonds und SPF im EK</v>
      </c>
      <c r="B2112" s="190">
        <f>'2011'!D1112</f>
        <v>107741.95</v>
      </c>
      <c r="C2112" s="190">
        <f>'2011'!E1112</f>
        <v>100805.1</v>
      </c>
      <c r="D2112" s="190">
        <f>'2011'!F1112</f>
        <v>473976.48</v>
      </c>
      <c r="E2112" s="190">
        <f>'2011'!G1112</f>
        <v>682523.53</v>
      </c>
      <c r="F2112" s="190">
        <f>'2011'!H1112</f>
        <v>1385150</v>
      </c>
      <c r="G2112" s="190">
        <f>'2011'!I1112</f>
        <v>2067673.53</v>
      </c>
    </row>
    <row r="2113" spans="1:7" ht="12.75" customHeight="1">
      <c r="A2113" s="190" t="str">
        <f>'2011'!C1113</f>
        <v>Entnahmen aus Fonds und SPF im EK</v>
      </c>
      <c r="B2113" s="190">
        <f>'2011'!D1113</f>
        <v>0</v>
      </c>
      <c r="C2113" s="190">
        <f>'2011'!E1113</f>
        <v>-19275.95</v>
      </c>
      <c r="D2113" s="190">
        <f>'2011'!F1113</f>
        <v>-1361400.2</v>
      </c>
      <c r="E2113" s="190">
        <f>'2011'!G1113</f>
        <v>-1380676.15</v>
      </c>
      <c r="F2113" s="190">
        <f>'2011'!H1113</f>
        <v>-12544059</v>
      </c>
      <c r="G2113" s="190">
        <f>'2011'!I1113</f>
        <v>-13924735.15</v>
      </c>
    </row>
    <row r="2114" spans="1:7" ht="12.75" customHeight="1">
      <c r="A2114" s="190" t="str">
        <f>'2011'!C1114</f>
        <v>Zunahme (+) / Abnahme (-) Eigenkapital</v>
      </c>
      <c r="B2114" s="190">
        <f>'2011'!D1114</f>
        <v>-637558.5999999933</v>
      </c>
      <c r="C2114" s="190">
        <f>'2011'!E1114</f>
        <v>-3514457.1499999906</v>
      </c>
      <c r="D2114" s="190">
        <f>'2011'!F1114</f>
        <v>-472270.25999999815</v>
      </c>
      <c r="E2114" s="190">
        <f>'2011'!G1114</f>
        <v>-4624286.010000017</v>
      </c>
      <c r="F2114" s="190">
        <f>'2011'!H1114</f>
        <v>-8102268</v>
      </c>
      <c r="G2114" s="190">
        <f>'2011'!I1114</f>
        <v>-12726554.009999994</v>
      </c>
    </row>
    <row r="2115" spans="1:7" ht="12.75" customHeight="1">
      <c r="A2115" s="190">
        <f>'2011'!C1115</f>
        <v>0</v>
      </c>
      <c r="B2115" s="190">
        <f>'2011'!D1115</f>
        <v>0</v>
      </c>
      <c r="C2115" s="190">
        <f>'2011'!E1115</f>
        <v>0</v>
      </c>
      <c r="D2115" s="190">
        <f>'2011'!F1115</f>
        <v>0</v>
      </c>
      <c r="E2115" s="190">
        <f>'2011'!G1115</f>
        <v>0</v>
      </c>
      <c r="F2115" s="190">
        <f>'2011'!H1115</f>
        <v>0</v>
      </c>
      <c r="G2115" s="190">
        <f>'2011'!I1115</f>
        <v>0</v>
      </c>
    </row>
    <row r="2116" spans="1:7" ht="12.75" customHeight="1">
      <c r="A2116" s="190" t="str">
        <f>'2011'!C1116</f>
        <v>SELBSTFINANZIERUNG</v>
      </c>
      <c r="B2116" s="190">
        <f>'2011'!D1116</f>
        <v>0</v>
      </c>
      <c r="C2116" s="190">
        <f>'2011'!E1116</f>
        <v>0</v>
      </c>
      <c r="D2116" s="190">
        <f>'2011'!F1116</f>
        <v>0</v>
      </c>
      <c r="E2116" s="190">
        <f>'2011'!G1116</f>
        <v>0</v>
      </c>
      <c r="F2116" s="190">
        <f>'2011'!H1116</f>
        <v>0</v>
      </c>
      <c r="G2116" s="190">
        <f>'2011'!I1116</f>
        <v>0</v>
      </c>
    </row>
    <row r="2117" spans="1:7" ht="12.75" customHeight="1">
      <c r="A2117" s="190" t="str">
        <f>'2011'!C1117</f>
        <v>Abschreibungen</v>
      </c>
      <c r="B2117" s="190">
        <f>'2011'!D1117</f>
        <v>3706623</v>
      </c>
      <c r="C2117" s="190">
        <f>'2011'!E1117</f>
        <v>3523483.83</v>
      </c>
      <c r="D2117" s="190">
        <f>'2011'!F1117</f>
        <v>7969303.12</v>
      </c>
      <c r="E2117" s="190">
        <f>'2011'!G1117</f>
        <v>15199409.950000001</v>
      </c>
      <c r="F2117" s="190">
        <f>'2011'!H1117</f>
        <v>26394277</v>
      </c>
      <c r="G2117" s="190">
        <f>'2011'!I1117</f>
        <v>41593686.95</v>
      </c>
    </row>
    <row r="2118" spans="1:7" ht="12.75" customHeight="1">
      <c r="A2118" s="190" t="str">
        <f>'2011'!C1118</f>
        <v>Ertragsüberschuss (+) / Aufwandüberschuss (-) ER</v>
      </c>
      <c r="B2118" s="190">
        <f>'2011'!D1118</f>
        <v>637558.599999994</v>
      </c>
      <c r="C2118" s="190">
        <f>'2011'!E1118</f>
        <v>3514457.149999991</v>
      </c>
      <c r="D2118" s="190">
        <f>'2011'!F1118</f>
        <v>472270.2599999979</v>
      </c>
      <c r="E2118" s="190">
        <f>'2011'!G1118</f>
        <v>4624286.01000002</v>
      </c>
      <c r="F2118" s="190">
        <f>'2011'!H1118</f>
        <v>8102268</v>
      </c>
      <c r="G2118" s="190">
        <f>'2011'!I1118</f>
        <v>12726554.00999999</v>
      </c>
    </row>
    <row r="2119" spans="1:7" ht="12.75" customHeight="1">
      <c r="A2119" s="190" t="str">
        <f>'2011'!C1119</f>
        <v>Einlagen in Fonds und SPF im EK</v>
      </c>
      <c r="B2119" s="190">
        <f>'2011'!D1119</f>
        <v>107741.95</v>
      </c>
      <c r="C2119" s="190">
        <f>'2011'!E1119</f>
        <v>100805.1</v>
      </c>
      <c r="D2119" s="190">
        <f>'2011'!F1119</f>
        <v>473976.48</v>
      </c>
      <c r="E2119" s="190">
        <f>'2011'!G1119</f>
        <v>682523.53</v>
      </c>
      <c r="F2119" s="190">
        <f>'2011'!H1119</f>
        <v>1385150</v>
      </c>
      <c r="G2119" s="190">
        <f>'2011'!I1119</f>
        <v>2067673.53</v>
      </c>
    </row>
    <row r="2120" spans="1:7" ht="12.75" customHeight="1">
      <c r="A2120" s="190" t="str">
        <f>'2011'!C1120</f>
        <v>Entnahmen aus Fonds und SPF im EK</v>
      </c>
      <c r="B2120" s="190">
        <f>'2011'!D1120</f>
        <v>0</v>
      </c>
      <c r="C2120" s="190">
        <f>'2011'!E1120</f>
        <v>-19275.95</v>
      </c>
      <c r="D2120" s="190">
        <f>'2011'!F1120</f>
        <v>-1361400.2</v>
      </c>
      <c r="E2120" s="190">
        <f>'2011'!G1120</f>
        <v>-1380676.15</v>
      </c>
      <c r="F2120" s="190">
        <f>'2011'!H1120</f>
        <v>-12544059</v>
      </c>
      <c r="G2120" s="190">
        <f>'2011'!I1120</f>
        <v>-13924735.15</v>
      </c>
    </row>
    <row r="2121" spans="1:7" ht="12.75" customHeight="1">
      <c r="A2121" s="190" t="str">
        <f>'2011'!C1121</f>
        <v>Selbstfinanzierung</v>
      </c>
      <c r="B2121" s="190">
        <f>'2011'!D1121</f>
        <v>4451923.549999994</v>
      </c>
      <c r="C2121" s="190">
        <f>'2011'!E1121</f>
        <v>7119470.129999991</v>
      </c>
      <c r="D2121" s="190">
        <f>'2011'!F1121</f>
        <v>7554149.659999999</v>
      </c>
      <c r="E2121" s="190">
        <f>'2011'!G1121</f>
        <v>19125543.340000026</v>
      </c>
      <c r="F2121" s="190">
        <f>'2011'!H1121</f>
        <v>23337636</v>
      </c>
      <c r="G2121" s="190">
        <f>'2011'!I1121</f>
        <v>42463179.339999996</v>
      </c>
    </row>
    <row r="2122" spans="1:7" ht="12.75" customHeight="1">
      <c r="A2122" s="190">
        <f>'2011'!C1122</f>
        <v>0</v>
      </c>
      <c r="B2122" s="190">
        <f>'2011'!D1122</f>
        <v>0</v>
      </c>
      <c r="C2122" s="190">
        <f>'2011'!E1122</f>
        <v>0</v>
      </c>
      <c r="D2122" s="190">
        <f>'2011'!F1122</f>
        <v>0</v>
      </c>
      <c r="E2122" s="190">
        <f>'2011'!G1122</f>
        <v>0</v>
      </c>
      <c r="F2122" s="190">
        <f>'2011'!H1122</f>
        <v>0</v>
      </c>
      <c r="G2122" s="190">
        <f>'2011'!I1122</f>
        <v>0</v>
      </c>
    </row>
    <row r="2123" spans="1:7" ht="12.75" customHeight="1">
      <c r="A2123" s="190" t="str">
        <f>'2011'!C1123</f>
        <v>Selbsfinanzierungsgrad</v>
      </c>
      <c r="B2123" s="190">
        <f>'2011'!D1123</f>
        <v>0.9920550667759566</v>
      </c>
      <c r="C2123" s="190">
        <f>'2011'!E1123</f>
        <v>3.162022653936564</v>
      </c>
      <c r="D2123" s="190">
        <f>'2011'!F1123</f>
        <v>2.3945338598067445</v>
      </c>
      <c r="E2123" s="190">
        <f>'2011'!G1123</f>
        <v>1.9330680072321849</v>
      </c>
      <c r="F2123" s="190">
        <f>'2011'!H1123</f>
        <v>1.3195742941018385</v>
      </c>
      <c r="G2123" s="190">
        <f>'2011'!I1123</f>
        <v>1.5396583724795316</v>
      </c>
    </row>
    <row r="2124" spans="1:7" ht="12.75" customHeight="1">
      <c r="A2124" s="190"/>
      <c r="B2124" s="190"/>
      <c r="C2124" s="190"/>
      <c r="D2124" s="190"/>
      <c r="E2124" s="190"/>
      <c r="F2124" s="190"/>
      <c r="G2124" s="190"/>
    </row>
    <row r="2125" spans="1:7" ht="12.75" customHeight="1">
      <c r="A2125" s="190"/>
      <c r="B2125" s="190"/>
      <c r="C2125" s="190"/>
      <c r="D2125" s="190"/>
      <c r="E2125" s="190"/>
      <c r="F2125" s="190"/>
      <c r="G2125" s="190"/>
    </row>
    <row r="2126" spans="1:7" ht="12.75" customHeight="1">
      <c r="A2126" s="190"/>
      <c r="B2126" s="190"/>
      <c r="C2126" s="190"/>
      <c r="D2126" s="190"/>
      <c r="E2126" s="190"/>
      <c r="F2126" s="190"/>
      <c r="G2126" s="190"/>
    </row>
    <row r="2127" spans="1:7" ht="12.75" customHeight="1">
      <c r="A2127" s="190"/>
      <c r="B2127" s="190"/>
      <c r="C2127" s="190"/>
      <c r="D2127" s="190"/>
      <c r="E2127" s="190"/>
      <c r="F2127" s="190"/>
      <c r="G2127" s="190"/>
    </row>
    <row r="2128" spans="1:7" ht="12.75" customHeight="1">
      <c r="A2128" s="190"/>
      <c r="B2128" s="190"/>
      <c r="C2128" s="190"/>
      <c r="D2128" s="190"/>
      <c r="E2128" s="190"/>
      <c r="F2128" s="190"/>
      <c r="G2128" s="190"/>
    </row>
    <row r="2129" spans="1:7" ht="12.75" customHeight="1">
      <c r="A2129" s="190"/>
      <c r="B2129" s="190"/>
      <c r="C2129" s="190"/>
      <c r="D2129" s="190"/>
      <c r="E2129" s="190"/>
      <c r="F2129" s="190"/>
      <c r="G2129" s="190"/>
    </row>
    <row r="2130" spans="1:7" ht="12.75" customHeight="1">
      <c r="A2130" s="190"/>
      <c r="B2130" s="190"/>
      <c r="C2130" s="190"/>
      <c r="D2130" s="190"/>
      <c r="E2130" s="190"/>
      <c r="F2130" s="190"/>
      <c r="G2130" s="190"/>
    </row>
    <row r="2131" spans="1:7" ht="12.75" customHeight="1">
      <c r="A2131" s="190"/>
      <c r="B2131" s="190"/>
      <c r="C2131" s="190"/>
      <c r="D2131" s="190"/>
      <c r="E2131" s="190"/>
      <c r="F2131" s="190"/>
      <c r="G2131" s="190"/>
    </row>
    <row r="2132" spans="1:7" ht="12.75" customHeight="1">
      <c r="A2132" s="190"/>
      <c r="B2132" s="190"/>
      <c r="C2132" s="190"/>
      <c r="D2132" s="190"/>
      <c r="E2132" s="190"/>
      <c r="F2132" s="190"/>
      <c r="G2132" s="190"/>
    </row>
    <row r="2133" spans="1:7" ht="12.75" customHeight="1">
      <c r="A2133" s="190"/>
      <c r="B2133" s="190"/>
      <c r="C2133" s="190"/>
      <c r="D2133" s="190"/>
      <c r="E2133" s="190"/>
      <c r="F2133" s="190"/>
      <c r="G2133" s="190"/>
    </row>
    <row r="2134" spans="1:7" ht="12.75" customHeight="1">
      <c r="A2134" s="190">
        <v>0</v>
      </c>
      <c r="B2134" s="190" t="s">
        <v>946</v>
      </c>
      <c r="C2134" s="190" t="s">
        <v>947</v>
      </c>
      <c r="D2134" s="190" t="s">
        <v>948</v>
      </c>
      <c r="E2134" s="190" t="s">
        <v>949</v>
      </c>
      <c r="F2134" s="190" t="s">
        <v>950</v>
      </c>
      <c r="G2134" s="190" t="s">
        <v>951</v>
      </c>
    </row>
    <row r="2135" spans="1:7" ht="12.75" customHeight="1">
      <c r="A2135" s="190">
        <v>0</v>
      </c>
      <c r="B2135" s="190">
        <v>0</v>
      </c>
      <c r="C2135" s="190">
        <v>0</v>
      </c>
      <c r="D2135" s="190">
        <v>0</v>
      </c>
      <c r="E2135" s="190">
        <v>0</v>
      </c>
      <c r="F2135" s="190">
        <v>0</v>
      </c>
      <c r="G2135" s="190">
        <v>0</v>
      </c>
    </row>
    <row r="2136" spans="1:7" ht="12.75" customHeight="1">
      <c r="A2136" s="190" t="s">
        <v>905</v>
      </c>
      <c r="B2136" s="190">
        <v>2012</v>
      </c>
      <c r="C2136" s="190">
        <v>2012</v>
      </c>
      <c r="D2136" s="190">
        <v>2012</v>
      </c>
      <c r="E2136" s="190">
        <v>2012</v>
      </c>
      <c r="F2136" s="190">
        <v>2012</v>
      </c>
      <c r="G2136" s="190">
        <v>2012</v>
      </c>
    </row>
    <row r="2137" spans="1:7" ht="12.75" customHeight="1">
      <c r="A2137" s="190">
        <v>0</v>
      </c>
      <c r="B2137" s="190">
        <v>0</v>
      </c>
      <c r="C2137" s="190">
        <v>0</v>
      </c>
      <c r="D2137" s="190">
        <v>0</v>
      </c>
      <c r="E2137" s="190">
        <v>0</v>
      </c>
      <c r="F2137" s="190">
        <v>0</v>
      </c>
      <c r="G2137" s="190">
        <v>0</v>
      </c>
    </row>
    <row r="2138" spans="1:7" ht="12.75" customHeight="1">
      <c r="A2138" s="190" t="s">
        <v>3</v>
      </c>
      <c r="B2138" s="190">
        <v>0</v>
      </c>
      <c r="C2138" s="190">
        <v>0</v>
      </c>
      <c r="D2138" s="190">
        <v>0</v>
      </c>
      <c r="E2138" s="190">
        <v>0</v>
      </c>
      <c r="F2138" s="190">
        <v>0</v>
      </c>
      <c r="G2138" s="190">
        <v>0</v>
      </c>
    </row>
    <row r="2139" spans="1:7" ht="12.75" customHeight="1">
      <c r="A2139" s="190" t="s">
        <v>26</v>
      </c>
      <c r="B2139" s="190">
        <v>8416975.42</v>
      </c>
      <c r="C2139" s="190">
        <v>4259234.16</v>
      </c>
      <c r="D2139" s="190">
        <v>1542119.82</v>
      </c>
      <c r="E2139" s="190">
        <v>14218329.4</v>
      </c>
      <c r="F2139" s="190">
        <v>18033563.91</v>
      </c>
      <c r="G2139" s="190">
        <v>32251893.31</v>
      </c>
    </row>
    <row r="2140" spans="1:7" ht="12.75" customHeight="1">
      <c r="A2140" s="190"/>
      <c r="B2140" s="190"/>
      <c r="C2140" s="190"/>
      <c r="D2140" s="190"/>
      <c r="E2140" s="190"/>
      <c r="F2140" s="190"/>
      <c r="G2140" s="190"/>
    </row>
    <row r="2141" spans="1:7" ht="12.75" customHeight="1">
      <c r="A2141" s="190"/>
      <c r="B2141" s="190"/>
      <c r="C2141" s="190"/>
      <c r="D2141" s="190"/>
      <c r="E2141" s="190"/>
      <c r="F2141" s="190"/>
      <c r="G2141" s="190"/>
    </row>
    <row r="2142" spans="1:7" ht="12.75" customHeight="1">
      <c r="A2142" s="190"/>
      <c r="B2142" s="190"/>
      <c r="C2142" s="190"/>
      <c r="D2142" s="190"/>
      <c r="E2142" s="190"/>
      <c r="F2142" s="190"/>
      <c r="G2142" s="190"/>
    </row>
    <row r="2143" spans="1:7" ht="12.75" customHeight="1">
      <c r="A2143" s="190"/>
      <c r="B2143" s="190"/>
      <c r="C2143" s="190"/>
      <c r="D2143" s="190"/>
      <c r="E2143" s="190"/>
      <c r="F2143" s="190"/>
      <c r="G2143" s="190"/>
    </row>
    <row r="2144" spans="1:7" ht="12.75" customHeight="1">
      <c r="A2144" s="190"/>
      <c r="B2144" s="190"/>
      <c r="C2144" s="190"/>
      <c r="D2144" s="190"/>
      <c r="E2144" s="190"/>
      <c r="F2144" s="190"/>
      <c r="G2144" s="190"/>
    </row>
    <row r="2145" spans="1:7" ht="12.75" customHeight="1">
      <c r="A2145" s="190"/>
      <c r="B2145" s="190"/>
      <c r="C2145" s="190"/>
      <c r="D2145" s="190"/>
      <c r="E2145" s="190"/>
      <c r="F2145" s="190"/>
      <c r="G2145" s="190"/>
    </row>
    <row r="2146" spans="1:7" ht="12.75" customHeight="1">
      <c r="A2146" s="190"/>
      <c r="B2146" s="190"/>
      <c r="C2146" s="190"/>
      <c r="D2146" s="190"/>
      <c r="E2146" s="190"/>
      <c r="F2146" s="190"/>
      <c r="G2146" s="190"/>
    </row>
    <row r="2147" spans="1:7" ht="12.75" customHeight="1">
      <c r="A2147" s="190"/>
      <c r="B2147" s="190"/>
      <c r="C2147" s="190"/>
      <c r="D2147" s="190"/>
      <c r="E2147" s="190"/>
      <c r="F2147" s="190"/>
      <c r="G2147" s="190"/>
    </row>
    <row r="2148" spans="1:7" ht="12.75" customHeight="1">
      <c r="A2148" s="190"/>
      <c r="B2148" s="190"/>
      <c r="C2148" s="190"/>
      <c r="D2148" s="190"/>
      <c r="E2148" s="190"/>
      <c r="F2148" s="190"/>
      <c r="G2148" s="190"/>
    </row>
    <row r="2149" spans="1:7" ht="12.75" customHeight="1">
      <c r="A2149" s="190"/>
      <c r="B2149" s="190"/>
      <c r="C2149" s="190"/>
      <c r="D2149" s="190"/>
      <c r="E2149" s="190"/>
      <c r="F2149" s="190"/>
      <c r="G2149" s="190"/>
    </row>
    <row r="2150" spans="1:7" ht="12.75" customHeight="1">
      <c r="A2150" s="190"/>
      <c r="B2150" s="190"/>
      <c r="C2150" s="190"/>
      <c r="D2150" s="190"/>
      <c r="E2150" s="190"/>
      <c r="F2150" s="190"/>
      <c r="G2150" s="190"/>
    </row>
    <row r="2151" spans="1:7" ht="12.75" customHeight="1">
      <c r="A2151" s="190"/>
      <c r="B2151" s="190"/>
      <c r="C2151" s="190"/>
      <c r="D2151" s="190"/>
      <c r="E2151" s="190"/>
      <c r="F2151" s="190"/>
      <c r="G2151" s="190"/>
    </row>
    <row r="2152" spans="1:7" ht="12.75" customHeight="1">
      <c r="A2152" s="190"/>
      <c r="B2152" s="190"/>
      <c r="C2152" s="190"/>
      <c r="D2152" s="190"/>
      <c r="E2152" s="190"/>
      <c r="F2152" s="190"/>
      <c r="G2152" s="190"/>
    </row>
    <row r="2153" spans="1:7" ht="12.75" customHeight="1">
      <c r="A2153" s="190"/>
      <c r="B2153" s="190"/>
      <c r="C2153" s="190"/>
      <c r="D2153" s="190"/>
      <c r="E2153" s="190"/>
      <c r="F2153" s="190"/>
      <c r="G2153" s="190"/>
    </row>
    <row r="2154" spans="1:7" ht="12.75" customHeight="1">
      <c r="A2154" s="190"/>
      <c r="B2154" s="190"/>
      <c r="C2154" s="190"/>
      <c r="D2154" s="190"/>
      <c r="E2154" s="190"/>
      <c r="F2154" s="190"/>
      <c r="G2154" s="190"/>
    </row>
    <row r="2155" spans="1:7" ht="12.75" customHeight="1">
      <c r="A2155" s="190"/>
      <c r="B2155" s="190"/>
      <c r="C2155" s="190"/>
      <c r="D2155" s="190"/>
      <c r="E2155" s="190"/>
      <c r="F2155" s="190"/>
      <c r="G2155" s="190"/>
    </row>
    <row r="2156" spans="1:7" ht="12.75" customHeight="1">
      <c r="A2156" s="190"/>
      <c r="B2156" s="190"/>
      <c r="C2156" s="190"/>
      <c r="D2156" s="190"/>
      <c r="E2156" s="190"/>
      <c r="F2156" s="190"/>
      <c r="G2156" s="190"/>
    </row>
    <row r="2157" spans="1:7" ht="12.75" customHeight="1">
      <c r="A2157" s="190"/>
      <c r="B2157" s="190"/>
      <c r="C2157" s="190"/>
      <c r="D2157" s="190"/>
      <c r="E2157" s="190"/>
      <c r="F2157" s="190"/>
      <c r="G2157" s="190"/>
    </row>
    <row r="2158" spans="1:7" ht="12.75" customHeight="1">
      <c r="A2158" s="190"/>
      <c r="B2158" s="190"/>
      <c r="C2158" s="190"/>
      <c r="D2158" s="190"/>
      <c r="E2158" s="190"/>
      <c r="F2158" s="190"/>
      <c r="G2158" s="190"/>
    </row>
    <row r="2159" spans="1:7" ht="12.75" customHeight="1">
      <c r="A2159" s="190"/>
      <c r="B2159" s="190"/>
      <c r="C2159" s="190"/>
      <c r="D2159" s="190"/>
      <c r="E2159" s="190"/>
      <c r="F2159" s="190"/>
      <c r="G2159" s="190"/>
    </row>
    <row r="2160" spans="1:7" ht="12.75" customHeight="1">
      <c r="A2160" s="190"/>
      <c r="B2160" s="190"/>
      <c r="C2160" s="190"/>
      <c r="D2160" s="190"/>
      <c r="E2160" s="190"/>
      <c r="F2160" s="190"/>
      <c r="G2160" s="190"/>
    </row>
    <row r="2161" spans="1:7" ht="12.75" customHeight="1">
      <c r="A2161" s="190"/>
      <c r="B2161" s="190"/>
      <c r="C2161" s="190"/>
      <c r="D2161" s="190"/>
      <c r="E2161" s="190"/>
      <c r="F2161" s="190"/>
      <c r="G2161" s="190"/>
    </row>
    <row r="2162" spans="1:7" ht="12.75" customHeight="1">
      <c r="A2162" s="190"/>
      <c r="B2162" s="190"/>
      <c r="C2162" s="190"/>
      <c r="D2162" s="190"/>
      <c r="E2162" s="190"/>
      <c r="F2162" s="190"/>
      <c r="G2162" s="190"/>
    </row>
    <row r="2163" spans="1:7" ht="12.75" customHeight="1">
      <c r="A2163" s="190"/>
      <c r="B2163" s="190"/>
      <c r="C2163" s="190"/>
      <c r="D2163" s="190"/>
      <c r="E2163" s="190"/>
      <c r="F2163" s="190"/>
      <c r="G2163" s="190"/>
    </row>
    <row r="2164" spans="1:7" ht="12.75" customHeight="1">
      <c r="A2164" s="190"/>
      <c r="B2164" s="190"/>
      <c r="C2164" s="190"/>
      <c r="D2164" s="190"/>
      <c r="E2164" s="190"/>
      <c r="F2164" s="190"/>
      <c r="G2164" s="190"/>
    </row>
    <row r="2165" spans="1:7" ht="12.75" customHeight="1">
      <c r="A2165" s="190"/>
      <c r="B2165" s="190"/>
      <c r="C2165" s="190"/>
      <c r="D2165" s="190"/>
      <c r="E2165" s="190"/>
      <c r="F2165" s="190"/>
      <c r="G2165" s="190"/>
    </row>
    <row r="2166" spans="1:7" ht="12.75" customHeight="1">
      <c r="A2166" s="190"/>
      <c r="B2166" s="190"/>
      <c r="C2166" s="190"/>
      <c r="D2166" s="190"/>
      <c r="E2166" s="190"/>
      <c r="F2166" s="190"/>
      <c r="G2166" s="190"/>
    </row>
    <row r="2167" spans="1:7" ht="12.75" customHeight="1">
      <c r="A2167" s="190"/>
      <c r="B2167" s="190"/>
      <c r="C2167" s="190"/>
      <c r="D2167" s="190"/>
      <c r="E2167" s="190"/>
      <c r="F2167" s="190"/>
      <c r="G2167" s="190"/>
    </row>
    <row r="2168" spans="1:7" ht="12.75" customHeight="1">
      <c r="A2168" s="190"/>
      <c r="B2168" s="190"/>
      <c r="C2168" s="190"/>
      <c r="D2168" s="190"/>
      <c r="E2168" s="190"/>
      <c r="F2168" s="190"/>
      <c r="G2168" s="190"/>
    </row>
    <row r="2169" spans="1:7" ht="12.75" customHeight="1">
      <c r="A2169" s="190"/>
      <c r="B2169" s="190"/>
      <c r="C2169" s="190"/>
      <c r="D2169" s="190"/>
      <c r="E2169" s="190"/>
      <c r="F2169" s="190"/>
      <c r="G2169" s="190"/>
    </row>
    <row r="2170" spans="1:7" ht="12.75" customHeight="1">
      <c r="A2170" s="190"/>
      <c r="B2170" s="190"/>
      <c r="C2170" s="190"/>
      <c r="D2170" s="190"/>
      <c r="E2170" s="190"/>
      <c r="F2170" s="190"/>
      <c r="G2170" s="190"/>
    </row>
    <row r="2171" spans="1:7" ht="12.75" customHeight="1">
      <c r="A2171" s="190"/>
      <c r="B2171" s="190"/>
      <c r="C2171" s="190"/>
      <c r="D2171" s="190"/>
      <c r="E2171" s="190"/>
      <c r="F2171" s="190"/>
      <c r="G2171" s="190"/>
    </row>
    <row r="2172" spans="1:7" ht="12.75" customHeight="1">
      <c r="A2172" s="190"/>
      <c r="B2172" s="190"/>
      <c r="C2172" s="190"/>
      <c r="D2172" s="190"/>
      <c r="E2172" s="190"/>
      <c r="F2172" s="190"/>
      <c r="G2172" s="190"/>
    </row>
    <row r="2173" spans="1:7" ht="12.75" customHeight="1">
      <c r="A2173" s="190"/>
      <c r="B2173" s="190"/>
      <c r="C2173" s="190"/>
      <c r="D2173" s="190"/>
      <c r="E2173" s="190"/>
      <c r="F2173" s="190"/>
      <c r="G2173" s="190"/>
    </row>
    <row r="2174" spans="1:7" ht="12.75" customHeight="1">
      <c r="A2174" s="190"/>
      <c r="B2174" s="190"/>
      <c r="C2174" s="190"/>
      <c r="D2174" s="190"/>
      <c r="E2174" s="190"/>
      <c r="F2174" s="190"/>
      <c r="G2174" s="190"/>
    </row>
    <row r="2175" spans="1:7" ht="12.75" customHeight="1">
      <c r="A2175" s="190"/>
      <c r="B2175" s="190"/>
      <c r="C2175" s="190"/>
      <c r="D2175" s="190"/>
      <c r="E2175" s="190"/>
      <c r="F2175" s="190"/>
      <c r="G2175" s="190"/>
    </row>
    <row r="2176" spans="1:7" ht="12.75" customHeight="1">
      <c r="A2176" s="190"/>
      <c r="B2176" s="190"/>
      <c r="C2176" s="190"/>
      <c r="D2176" s="190"/>
      <c r="E2176" s="190"/>
      <c r="F2176" s="190"/>
      <c r="G2176" s="190"/>
    </row>
    <row r="2177" spans="1:7" ht="12.75" customHeight="1">
      <c r="A2177" s="190"/>
      <c r="B2177" s="190"/>
      <c r="C2177" s="190"/>
      <c r="D2177" s="190"/>
      <c r="E2177" s="190"/>
      <c r="F2177" s="190"/>
      <c r="G2177" s="190"/>
    </row>
    <row r="2178" spans="1:7" ht="12.75" customHeight="1">
      <c r="A2178" s="190"/>
      <c r="B2178" s="190"/>
      <c r="C2178" s="190"/>
      <c r="D2178" s="190"/>
      <c r="E2178" s="190"/>
      <c r="F2178" s="190"/>
      <c r="G2178" s="190"/>
    </row>
    <row r="2179" spans="1:7" ht="12.75" customHeight="1">
      <c r="A2179" s="190"/>
      <c r="B2179" s="190"/>
      <c r="C2179" s="190"/>
      <c r="D2179" s="190"/>
      <c r="E2179" s="190"/>
      <c r="F2179" s="190"/>
      <c r="G2179" s="190"/>
    </row>
    <row r="2180" spans="1:7" ht="12.75" customHeight="1">
      <c r="A2180" s="190"/>
      <c r="B2180" s="190"/>
      <c r="C2180" s="190"/>
      <c r="D2180" s="190"/>
      <c r="E2180" s="190"/>
      <c r="F2180" s="190"/>
      <c r="G2180" s="190"/>
    </row>
    <row r="2181" spans="1:7" ht="12.75" customHeight="1">
      <c r="A2181" s="190"/>
      <c r="B2181" s="190"/>
      <c r="C2181" s="190"/>
      <c r="D2181" s="190"/>
      <c r="E2181" s="190"/>
      <c r="F2181" s="190"/>
      <c r="G2181" s="190"/>
    </row>
    <row r="2182" spans="1:7" ht="12.75" customHeight="1">
      <c r="A2182" s="190"/>
      <c r="B2182" s="190"/>
      <c r="C2182" s="190"/>
      <c r="D2182" s="190"/>
      <c r="E2182" s="190"/>
      <c r="F2182" s="190"/>
      <c r="G2182" s="190"/>
    </row>
    <row r="2183" spans="1:7" ht="12.75" customHeight="1">
      <c r="A2183" s="190"/>
      <c r="B2183" s="190"/>
      <c r="C2183" s="190"/>
      <c r="D2183" s="190"/>
      <c r="E2183" s="190"/>
      <c r="F2183" s="190"/>
      <c r="G2183" s="190"/>
    </row>
    <row r="2184" spans="1:7" ht="12.75" customHeight="1">
      <c r="A2184" s="190"/>
      <c r="B2184" s="190"/>
      <c r="C2184" s="190"/>
      <c r="D2184" s="190"/>
      <c r="E2184" s="190"/>
      <c r="F2184" s="190"/>
      <c r="G2184" s="190"/>
    </row>
    <row r="2185" spans="1:7" ht="12.75" customHeight="1">
      <c r="A2185" s="190"/>
      <c r="B2185" s="190"/>
      <c r="C2185" s="190"/>
      <c r="D2185" s="190"/>
      <c r="E2185" s="190"/>
      <c r="F2185" s="190"/>
      <c r="G2185" s="190"/>
    </row>
    <row r="2186" spans="1:7" ht="12.75" customHeight="1">
      <c r="A2186" s="190"/>
      <c r="B2186" s="190"/>
      <c r="C2186" s="190"/>
      <c r="D2186" s="190"/>
      <c r="E2186" s="190"/>
      <c r="F2186" s="190"/>
      <c r="G2186" s="190"/>
    </row>
    <row r="2187" spans="1:7" ht="12.75" customHeight="1">
      <c r="A2187" s="190"/>
      <c r="B2187" s="190"/>
      <c r="C2187" s="190"/>
      <c r="D2187" s="190"/>
      <c r="E2187" s="190"/>
      <c r="F2187" s="190"/>
      <c r="G2187" s="190"/>
    </row>
    <row r="2188" spans="1:7" ht="12.75" customHeight="1">
      <c r="A2188" s="190"/>
      <c r="B2188" s="190"/>
      <c r="C2188" s="190"/>
      <c r="D2188" s="190"/>
      <c r="E2188" s="190"/>
      <c r="F2188" s="190"/>
      <c r="G2188" s="190"/>
    </row>
    <row r="2189" spans="1:7" ht="12.75" customHeight="1">
      <c r="A2189" s="190"/>
      <c r="B2189" s="190"/>
      <c r="C2189" s="190"/>
      <c r="D2189" s="190"/>
      <c r="E2189" s="190"/>
      <c r="F2189" s="190"/>
      <c r="G2189" s="190"/>
    </row>
    <row r="2190" spans="1:7" ht="12.75" customHeight="1">
      <c r="A2190" s="190"/>
      <c r="B2190" s="190"/>
      <c r="C2190" s="190"/>
      <c r="D2190" s="190"/>
      <c r="E2190" s="190"/>
      <c r="F2190" s="190"/>
      <c r="G2190" s="190"/>
    </row>
    <row r="2191" spans="1:7" ht="12.75" customHeight="1">
      <c r="A2191" s="190"/>
      <c r="B2191" s="190"/>
      <c r="C2191" s="190"/>
      <c r="D2191" s="190"/>
      <c r="E2191" s="190"/>
      <c r="F2191" s="190"/>
      <c r="G2191" s="190"/>
    </row>
    <row r="2192" spans="1:7" ht="12.75" customHeight="1">
      <c r="A2192" s="190"/>
      <c r="B2192" s="190"/>
      <c r="C2192" s="190"/>
      <c r="D2192" s="190"/>
      <c r="E2192" s="190"/>
      <c r="F2192" s="190"/>
      <c r="G2192" s="190"/>
    </row>
    <row r="2193" spans="1:7" ht="12.75" customHeight="1">
      <c r="A2193" s="190"/>
      <c r="B2193" s="190"/>
      <c r="C2193" s="190"/>
      <c r="D2193" s="190"/>
      <c r="E2193" s="190"/>
      <c r="F2193" s="190"/>
      <c r="G2193" s="190"/>
    </row>
    <row r="2194" spans="1:7" ht="12.75" customHeight="1">
      <c r="A2194" s="190"/>
      <c r="B2194" s="190"/>
      <c r="C2194" s="190"/>
      <c r="D2194" s="190"/>
      <c r="E2194" s="190"/>
      <c r="F2194" s="190"/>
      <c r="G2194" s="190"/>
    </row>
    <row r="2195" spans="1:7" ht="12.75" customHeight="1">
      <c r="A2195" s="190"/>
      <c r="B2195" s="190"/>
      <c r="C2195" s="190"/>
      <c r="D2195" s="190"/>
      <c r="E2195" s="190"/>
      <c r="F2195" s="190"/>
      <c r="G2195" s="190"/>
    </row>
    <row r="2196" spans="1:7" ht="12.75" customHeight="1">
      <c r="A2196" s="190"/>
      <c r="B2196" s="190"/>
      <c r="C2196" s="190"/>
      <c r="D2196" s="190"/>
      <c r="E2196" s="190"/>
      <c r="F2196" s="190"/>
      <c r="G2196" s="190"/>
    </row>
    <row r="2197" spans="1:7" ht="12.75" customHeight="1">
      <c r="A2197" s="190"/>
      <c r="B2197" s="190"/>
      <c r="C2197" s="190"/>
      <c r="D2197" s="190"/>
      <c r="E2197" s="190"/>
      <c r="F2197" s="190"/>
      <c r="G2197" s="190"/>
    </row>
    <row r="2198" spans="1:7" ht="12.75" customHeight="1">
      <c r="A2198" s="190"/>
      <c r="B2198" s="190"/>
      <c r="C2198" s="190"/>
      <c r="D2198" s="190"/>
      <c r="E2198" s="190"/>
      <c r="F2198" s="190"/>
      <c r="G2198" s="190"/>
    </row>
    <row r="2199" spans="1:7" ht="12.75" customHeight="1">
      <c r="A2199" s="190"/>
      <c r="B2199" s="190"/>
      <c r="C2199" s="190"/>
      <c r="D2199" s="190"/>
      <c r="E2199" s="190"/>
      <c r="F2199" s="190"/>
      <c r="G2199" s="190"/>
    </row>
    <row r="2200" spans="1:7" ht="12.75" customHeight="1">
      <c r="A2200" s="190"/>
      <c r="B2200" s="190"/>
      <c r="C2200" s="190"/>
      <c r="D2200" s="190"/>
      <c r="E2200" s="190"/>
      <c r="F2200" s="190"/>
      <c r="G2200" s="190"/>
    </row>
    <row r="2201" spans="1:7" ht="12.75" customHeight="1">
      <c r="A2201" s="190"/>
      <c r="B2201" s="190"/>
      <c r="C2201" s="190"/>
      <c r="D2201" s="190"/>
      <c r="E2201" s="190"/>
      <c r="F2201" s="190"/>
      <c r="G2201" s="190"/>
    </row>
    <row r="2202" spans="1:7" ht="12.75" customHeight="1">
      <c r="A2202" s="190"/>
      <c r="B2202" s="190"/>
      <c r="C2202" s="190"/>
      <c r="D2202" s="190"/>
      <c r="E2202" s="190"/>
      <c r="F2202" s="190"/>
      <c r="G2202" s="190"/>
    </row>
    <row r="2203" spans="1:7" ht="12.75" customHeight="1">
      <c r="A2203" s="190"/>
      <c r="B2203" s="190"/>
      <c r="C2203" s="190"/>
      <c r="D2203" s="190"/>
      <c r="E2203" s="190"/>
      <c r="F2203" s="190"/>
      <c r="G2203" s="190"/>
    </row>
    <row r="2204" spans="1:7" ht="12.75" customHeight="1">
      <c r="A2204" s="190"/>
      <c r="B2204" s="190"/>
      <c r="C2204" s="190"/>
      <c r="D2204" s="190"/>
      <c r="E2204" s="190"/>
      <c r="F2204" s="190"/>
      <c r="G2204" s="190"/>
    </row>
    <row r="2205" spans="1:7" ht="12.75" customHeight="1">
      <c r="A2205" s="190"/>
      <c r="B2205" s="190"/>
      <c r="C2205" s="190"/>
      <c r="D2205" s="190"/>
      <c r="E2205" s="190"/>
      <c r="F2205" s="190"/>
      <c r="G2205" s="190"/>
    </row>
    <row r="2206" spans="1:7" ht="12.75" customHeight="1">
      <c r="A2206" s="190"/>
      <c r="B2206" s="190"/>
      <c r="C2206" s="190"/>
      <c r="D2206" s="190"/>
      <c r="E2206" s="190"/>
      <c r="F2206" s="190"/>
      <c r="G2206" s="190"/>
    </row>
    <row r="2207" spans="1:7" ht="12.75" customHeight="1">
      <c r="A2207" s="190"/>
      <c r="B2207" s="190"/>
      <c r="C2207" s="190"/>
      <c r="D2207" s="190"/>
      <c r="E2207" s="190"/>
      <c r="F2207" s="190"/>
      <c r="G2207" s="190"/>
    </row>
    <row r="2208" spans="1:7" ht="12.75" customHeight="1">
      <c r="A2208" s="190"/>
      <c r="B2208" s="190"/>
      <c r="C2208" s="190"/>
      <c r="D2208" s="190"/>
      <c r="E2208" s="190"/>
      <c r="F2208" s="190"/>
      <c r="G2208" s="190"/>
    </row>
    <row r="2209" spans="1:7" ht="12.75" customHeight="1">
      <c r="A2209" s="190"/>
      <c r="B2209" s="190"/>
      <c r="C2209" s="190"/>
      <c r="D2209" s="190"/>
      <c r="E2209" s="190"/>
      <c r="F2209" s="190"/>
      <c r="G2209" s="190"/>
    </row>
    <row r="2210" spans="1:7" ht="12.75" customHeight="1">
      <c r="A2210" s="190"/>
      <c r="B2210" s="190"/>
      <c r="C2210" s="190"/>
      <c r="D2210" s="190"/>
      <c r="E2210" s="190"/>
      <c r="F2210" s="190"/>
      <c r="G2210" s="190"/>
    </row>
    <row r="2211" spans="1:7" ht="12.75" customHeight="1">
      <c r="A2211" s="190"/>
      <c r="B2211" s="190"/>
      <c r="C2211" s="190"/>
      <c r="D2211" s="190"/>
      <c r="E2211" s="190"/>
      <c r="F2211" s="190"/>
      <c r="G2211" s="190"/>
    </row>
    <row r="2212" spans="1:7" ht="12.75" customHeight="1">
      <c r="A2212" s="190"/>
      <c r="B2212" s="190"/>
      <c r="C2212" s="190"/>
      <c r="D2212" s="190"/>
      <c r="E2212" s="190"/>
      <c r="F2212" s="190"/>
      <c r="G2212" s="190"/>
    </row>
    <row r="2213" spans="1:7" ht="12.75" customHeight="1">
      <c r="A2213" s="190"/>
      <c r="B2213" s="190"/>
      <c r="C2213" s="190"/>
      <c r="D2213" s="190"/>
      <c r="E2213" s="190"/>
      <c r="F2213" s="190"/>
      <c r="G2213" s="190"/>
    </row>
    <row r="2214" spans="1:7" ht="12.75" customHeight="1">
      <c r="A2214" s="190"/>
      <c r="B2214" s="190"/>
      <c r="C2214" s="190"/>
      <c r="D2214" s="190"/>
      <c r="E2214" s="190"/>
      <c r="F2214" s="190"/>
      <c r="G2214" s="190"/>
    </row>
    <row r="2215" spans="1:7" ht="12.75" customHeight="1">
      <c r="A2215" s="190"/>
      <c r="B2215" s="190"/>
      <c r="C2215" s="190"/>
      <c r="D2215" s="190"/>
      <c r="E2215" s="190"/>
      <c r="F2215" s="190"/>
      <c r="G2215" s="190"/>
    </row>
    <row r="2216" spans="1:7" ht="12.75" customHeight="1">
      <c r="A2216" s="190"/>
      <c r="B2216" s="190"/>
      <c r="C2216" s="190"/>
      <c r="D2216" s="190"/>
      <c r="E2216" s="190"/>
      <c r="F2216" s="190"/>
      <c r="G2216" s="190"/>
    </row>
    <row r="2217" spans="1:7" ht="12.75" customHeight="1">
      <c r="A2217" s="190"/>
      <c r="B2217" s="190"/>
      <c r="C2217" s="190"/>
      <c r="D2217" s="190"/>
      <c r="E2217" s="190"/>
      <c r="F2217" s="190"/>
      <c r="G2217" s="190"/>
    </row>
    <row r="2218" spans="1:7" ht="12.75" customHeight="1">
      <c r="A2218" s="190"/>
      <c r="B2218" s="190"/>
      <c r="C2218" s="190"/>
      <c r="D2218" s="190"/>
      <c r="E2218" s="190"/>
      <c r="F2218" s="190"/>
      <c r="G2218" s="190"/>
    </row>
    <row r="2219" spans="1:7" ht="12.75" customHeight="1">
      <c r="A2219" s="190"/>
      <c r="B2219" s="190"/>
      <c r="C2219" s="190"/>
      <c r="D2219" s="190"/>
      <c r="E2219" s="190"/>
      <c r="F2219" s="190"/>
      <c r="G2219" s="190"/>
    </row>
    <row r="2220" spans="1:7" ht="12.75" customHeight="1">
      <c r="A2220" s="190"/>
      <c r="B2220" s="190"/>
      <c r="C2220" s="190"/>
      <c r="D2220" s="190"/>
      <c r="E2220" s="190"/>
      <c r="F2220" s="190"/>
      <c r="G2220" s="190"/>
    </row>
    <row r="2221" spans="1:7" ht="12.75" customHeight="1">
      <c r="A2221" s="190"/>
      <c r="B2221" s="190"/>
      <c r="C2221" s="190"/>
      <c r="D2221" s="190"/>
      <c r="E2221" s="190"/>
      <c r="F2221" s="190"/>
      <c r="G2221" s="190"/>
    </row>
    <row r="2222" spans="1:7" ht="12.75" customHeight="1">
      <c r="A2222" s="190"/>
      <c r="B2222" s="190"/>
      <c r="C2222" s="190"/>
      <c r="D2222" s="190"/>
      <c r="E2222" s="190"/>
      <c r="F2222" s="190"/>
      <c r="G2222" s="190"/>
    </row>
    <row r="2223" spans="1:7" ht="12.75" customHeight="1">
      <c r="A2223" s="190"/>
      <c r="B2223" s="190"/>
      <c r="C2223" s="190"/>
      <c r="D2223" s="190"/>
      <c r="E2223" s="190"/>
      <c r="F2223" s="190"/>
      <c r="G2223" s="190"/>
    </row>
    <row r="2224" spans="1:7" ht="12.75" customHeight="1">
      <c r="A2224" s="190"/>
      <c r="B2224" s="190"/>
      <c r="C2224" s="190"/>
      <c r="D2224" s="190"/>
      <c r="E2224" s="190"/>
      <c r="F2224" s="190"/>
      <c r="G2224" s="190"/>
    </row>
    <row r="2225" spans="1:7" ht="12.75" customHeight="1">
      <c r="A2225" s="190"/>
      <c r="B2225" s="190"/>
      <c r="C2225" s="190"/>
      <c r="D2225" s="190"/>
      <c r="E2225" s="190"/>
      <c r="F2225" s="190"/>
      <c r="G2225" s="190"/>
    </row>
    <row r="2226" spans="1:7" ht="12.75" customHeight="1">
      <c r="A2226" s="190"/>
      <c r="B2226" s="190"/>
      <c r="C2226" s="190"/>
      <c r="D2226" s="190"/>
      <c r="E2226" s="190"/>
      <c r="F2226" s="190"/>
      <c r="G2226" s="190"/>
    </row>
    <row r="2227" spans="1:7" ht="12.75" customHeight="1">
      <c r="A2227" s="190"/>
      <c r="B2227" s="190"/>
      <c r="C2227" s="190"/>
      <c r="D2227" s="190"/>
      <c r="E2227" s="190"/>
      <c r="F2227" s="190"/>
      <c r="G2227" s="190"/>
    </row>
    <row r="2228" spans="1:7" ht="12.75" customHeight="1">
      <c r="A2228" s="190"/>
      <c r="B2228" s="190"/>
      <c r="C2228" s="190"/>
      <c r="D2228" s="190"/>
      <c r="E2228" s="190"/>
      <c r="F2228" s="190"/>
      <c r="G2228" s="190"/>
    </row>
    <row r="2229" spans="1:7" ht="12.75" customHeight="1">
      <c r="A2229" s="190"/>
      <c r="B2229" s="190"/>
      <c r="C2229" s="190"/>
      <c r="D2229" s="190"/>
      <c r="E2229" s="190"/>
      <c r="F2229" s="190"/>
      <c r="G2229" s="190"/>
    </row>
    <row r="2230" spans="1:7" ht="12.75" customHeight="1">
      <c r="A2230" s="190"/>
      <c r="B2230" s="190"/>
      <c r="C2230" s="190"/>
      <c r="D2230" s="190"/>
      <c r="E2230" s="190"/>
      <c r="F2230" s="190"/>
      <c r="G2230" s="190"/>
    </row>
    <row r="2231" spans="1:7" ht="12.75" customHeight="1">
      <c r="A2231" s="190"/>
      <c r="B2231" s="190"/>
      <c r="C2231" s="190"/>
      <c r="D2231" s="190"/>
      <c r="E2231" s="190"/>
      <c r="F2231" s="190"/>
      <c r="G2231" s="190"/>
    </row>
    <row r="2232" spans="1:7" ht="12.75" customHeight="1">
      <c r="A2232" s="190"/>
      <c r="B2232" s="190"/>
      <c r="C2232" s="190"/>
      <c r="D2232" s="190"/>
      <c r="E2232" s="190"/>
      <c r="F2232" s="190"/>
      <c r="G2232" s="190"/>
    </row>
    <row r="2233" spans="1:7" ht="12.75" customHeight="1">
      <c r="A2233" s="190"/>
      <c r="B2233" s="190"/>
      <c r="C2233" s="190"/>
      <c r="D2233" s="190"/>
      <c r="E2233" s="190"/>
      <c r="F2233" s="190"/>
      <c r="G2233" s="190"/>
    </row>
    <row r="2234" spans="1:7" ht="12.75" customHeight="1">
      <c r="A2234" s="190"/>
      <c r="B2234" s="190"/>
      <c r="C2234" s="190"/>
      <c r="D2234" s="190"/>
      <c r="E2234" s="190"/>
      <c r="F2234" s="190"/>
      <c r="G2234" s="190"/>
    </row>
    <row r="2235" spans="1:7" ht="12.75" customHeight="1">
      <c r="A2235" s="190"/>
      <c r="B2235" s="190"/>
      <c r="C2235" s="190"/>
      <c r="D2235" s="190"/>
      <c r="E2235" s="190"/>
      <c r="F2235" s="190"/>
      <c r="G2235" s="190"/>
    </row>
    <row r="2236" spans="1:7" ht="12.75" customHeight="1">
      <c r="A2236" s="190"/>
      <c r="B2236" s="190"/>
      <c r="C2236" s="190"/>
      <c r="D2236" s="190"/>
      <c r="E2236" s="190"/>
      <c r="F2236" s="190"/>
      <c r="G2236" s="190"/>
    </row>
    <row r="2237" spans="1:7" ht="12.75" customHeight="1">
      <c r="A2237" s="190"/>
      <c r="B2237" s="190"/>
      <c r="C2237" s="190"/>
      <c r="D2237" s="190"/>
      <c r="E2237" s="190"/>
      <c r="F2237" s="190"/>
      <c r="G2237" s="190"/>
    </row>
    <row r="2238" spans="1:7" ht="12.75" customHeight="1">
      <c r="A2238" s="190"/>
      <c r="B2238" s="190"/>
      <c r="C2238" s="190"/>
      <c r="D2238" s="190"/>
      <c r="E2238" s="190"/>
      <c r="F2238" s="190"/>
      <c r="G2238" s="190"/>
    </row>
    <row r="2239" spans="1:7" ht="12.75" customHeight="1">
      <c r="A2239" s="190"/>
      <c r="B2239" s="190"/>
      <c r="C2239" s="190"/>
      <c r="D2239" s="190"/>
      <c r="E2239" s="190"/>
      <c r="F2239" s="190"/>
      <c r="G2239" s="190"/>
    </row>
    <row r="2240" spans="1:7" ht="12.75" customHeight="1">
      <c r="A2240" s="190"/>
      <c r="B2240" s="190"/>
      <c r="C2240" s="190"/>
      <c r="D2240" s="190"/>
      <c r="E2240" s="190"/>
      <c r="F2240" s="190"/>
      <c r="G2240" s="190"/>
    </row>
    <row r="2241" spans="1:7" ht="12.75" customHeight="1">
      <c r="A2241" s="190"/>
      <c r="B2241" s="190"/>
      <c r="C2241" s="190"/>
      <c r="D2241" s="190"/>
      <c r="E2241" s="190"/>
      <c r="F2241" s="190"/>
      <c r="G2241" s="190"/>
    </row>
    <row r="2242" spans="1:7" ht="12.75" customHeight="1">
      <c r="A2242" s="190"/>
      <c r="B2242" s="190"/>
      <c r="C2242" s="190"/>
      <c r="D2242" s="190"/>
      <c r="E2242" s="190"/>
      <c r="F2242" s="190"/>
      <c r="G2242" s="190"/>
    </row>
    <row r="2243" spans="1:7" ht="12.75" customHeight="1">
      <c r="A2243" s="190"/>
      <c r="B2243" s="190"/>
      <c r="C2243" s="190"/>
      <c r="D2243" s="190"/>
      <c r="E2243" s="190"/>
      <c r="F2243" s="190"/>
      <c r="G2243" s="190"/>
    </row>
    <row r="2244" spans="1:7" ht="12.75" customHeight="1">
      <c r="A2244" s="190"/>
      <c r="B2244" s="190"/>
      <c r="C2244" s="190"/>
      <c r="D2244" s="190"/>
      <c r="E2244" s="190"/>
      <c r="F2244" s="190"/>
      <c r="G2244" s="190"/>
    </row>
    <row r="2245" spans="1:7" ht="12.75" customHeight="1">
      <c r="A2245" s="190"/>
      <c r="B2245" s="190"/>
      <c r="C2245" s="190"/>
      <c r="D2245" s="190"/>
      <c r="E2245" s="190"/>
      <c r="F2245" s="190"/>
      <c r="G2245" s="190"/>
    </row>
    <row r="2246" spans="1:7" ht="12.75" customHeight="1">
      <c r="A2246" s="190"/>
      <c r="B2246" s="190"/>
      <c r="C2246" s="190"/>
      <c r="D2246" s="190"/>
      <c r="E2246" s="190"/>
      <c r="F2246" s="190"/>
      <c r="G2246" s="190"/>
    </row>
    <row r="2247" spans="1:7" ht="12.75" customHeight="1">
      <c r="A2247" s="190"/>
      <c r="B2247" s="190"/>
      <c r="C2247" s="190"/>
      <c r="D2247" s="190"/>
      <c r="E2247" s="190"/>
      <c r="F2247" s="190"/>
      <c r="G2247" s="190"/>
    </row>
    <row r="2248" spans="1:7" ht="12.75" customHeight="1">
      <c r="A2248" s="190"/>
      <c r="B2248" s="190"/>
      <c r="C2248" s="190"/>
      <c r="D2248" s="190"/>
      <c r="E2248" s="190"/>
      <c r="F2248" s="190"/>
      <c r="G2248" s="190"/>
    </row>
    <row r="2249" spans="1:7" ht="12.75" customHeight="1">
      <c r="A2249" s="190"/>
      <c r="B2249" s="190"/>
      <c r="C2249" s="190"/>
      <c r="D2249" s="190"/>
      <c r="E2249" s="190"/>
      <c r="F2249" s="190"/>
      <c r="G2249" s="190"/>
    </row>
    <row r="2250" spans="1:7" ht="12.75" customHeight="1">
      <c r="A2250" s="190"/>
      <c r="B2250" s="190"/>
      <c r="C2250" s="190"/>
      <c r="D2250" s="190"/>
      <c r="E2250" s="190"/>
      <c r="F2250" s="190"/>
      <c r="G2250" s="190"/>
    </row>
    <row r="2251" spans="1:7" ht="12.75" customHeight="1">
      <c r="A2251" s="190"/>
      <c r="B2251" s="190"/>
      <c r="C2251" s="190"/>
      <c r="D2251" s="190"/>
      <c r="E2251" s="190"/>
      <c r="F2251" s="190"/>
      <c r="G2251" s="190"/>
    </row>
    <row r="2252" spans="1:7" ht="12.75" customHeight="1">
      <c r="A2252" s="190"/>
      <c r="B2252" s="190"/>
      <c r="C2252" s="190"/>
      <c r="D2252" s="190"/>
      <c r="E2252" s="190"/>
      <c r="F2252" s="190"/>
      <c r="G2252" s="190"/>
    </row>
    <row r="2253" spans="1:7" ht="12.75" customHeight="1">
      <c r="A2253" s="190"/>
      <c r="B2253" s="190"/>
      <c r="C2253" s="190"/>
      <c r="D2253" s="190"/>
      <c r="E2253" s="190"/>
      <c r="F2253" s="190"/>
      <c r="G2253" s="190"/>
    </row>
    <row r="2254" spans="1:7" ht="12.75" customHeight="1">
      <c r="A2254" s="190"/>
      <c r="B2254" s="190"/>
      <c r="C2254" s="190"/>
      <c r="D2254" s="190"/>
      <c r="E2254" s="190"/>
      <c r="F2254" s="190"/>
      <c r="G2254" s="190"/>
    </row>
    <row r="2255" spans="1:7" ht="12.75" customHeight="1">
      <c r="A2255" s="190"/>
      <c r="B2255" s="190"/>
      <c r="C2255" s="190"/>
      <c r="D2255" s="190"/>
      <c r="E2255" s="190"/>
      <c r="F2255" s="190"/>
      <c r="G2255" s="190"/>
    </row>
    <row r="2256" spans="1:7" ht="12.75" customHeight="1">
      <c r="A2256" s="190"/>
      <c r="B2256" s="190"/>
      <c r="C2256" s="190"/>
      <c r="D2256" s="190"/>
      <c r="E2256" s="190"/>
      <c r="F2256" s="190"/>
      <c r="G2256" s="190"/>
    </row>
    <row r="2257" spans="1:7" ht="12.75" customHeight="1">
      <c r="A2257" s="190"/>
      <c r="B2257" s="190"/>
      <c r="C2257" s="190"/>
      <c r="D2257" s="190"/>
      <c r="E2257" s="190"/>
      <c r="F2257" s="190"/>
      <c r="G2257" s="190"/>
    </row>
    <row r="2258" spans="1:7" ht="12.75" customHeight="1">
      <c r="A2258" s="190"/>
      <c r="B2258" s="190"/>
      <c r="C2258" s="190"/>
      <c r="D2258" s="190"/>
      <c r="E2258" s="190"/>
      <c r="F2258" s="190"/>
      <c r="G2258" s="190"/>
    </row>
    <row r="2259" spans="1:7" ht="12.75" customHeight="1">
      <c r="A2259" s="190"/>
      <c r="B2259" s="190"/>
      <c r="C2259" s="190"/>
      <c r="D2259" s="190"/>
      <c r="E2259" s="190"/>
      <c r="F2259" s="190"/>
      <c r="G2259" s="190"/>
    </row>
    <row r="2260" spans="1:7" ht="12.75" customHeight="1">
      <c r="A2260" s="190"/>
      <c r="B2260" s="190"/>
      <c r="C2260" s="190"/>
      <c r="D2260" s="190"/>
      <c r="E2260" s="190"/>
      <c r="F2260" s="190"/>
      <c r="G2260" s="190"/>
    </row>
    <row r="2261" spans="1:7" ht="12.75" customHeight="1">
      <c r="A2261" s="190"/>
      <c r="B2261" s="190"/>
      <c r="C2261" s="190"/>
      <c r="D2261" s="190"/>
      <c r="E2261" s="190"/>
      <c r="F2261" s="190"/>
      <c r="G2261" s="190"/>
    </row>
    <row r="2262" spans="1:7" ht="12.75" customHeight="1">
      <c r="A2262" s="190"/>
      <c r="B2262" s="190"/>
      <c r="C2262" s="190"/>
      <c r="D2262" s="190"/>
      <c r="E2262" s="190"/>
      <c r="F2262" s="190"/>
      <c r="G2262" s="190"/>
    </row>
    <row r="2263" spans="1:7" ht="12.75" customHeight="1">
      <c r="A2263" s="190"/>
      <c r="B2263" s="190"/>
      <c r="C2263" s="190"/>
      <c r="D2263" s="190"/>
      <c r="E2263" s="190"/>
      <c r="F2263" s="190"/>
      <c r="G2263" s="190"/>
    </row>
    <row r="2264" spans="1:7" ht="12.75" customHeight="1">
      <c r="A2264" s="190"/>
      <c r="B2264" s="190"/>
      <c r="C2264" s="190"/>
      <c r="D2264" s="190"/>
      <c r="E2264" s="190"/>
      <c r="F2264" s="190"/>
      <c r="G2264" s="190"/>
    </row>
    <row r="2265" spans="1:7" ht="12.75" customHeight="1">
      <c r="A2265" s="190"/>
      <c r="B2265" s="190"/>
      <c r="C2265" s="190"/>
      <c r="D2265" s="190"/>
      <c r="E2265" s="190"/>
      <c r="F2265" s="190"/>
      <c r="G2265" s="190"/>
    </row>
    <row r="2266" spans="1:7" ht="12.75" customHeight="1">
      <c r="A2266" s="190"/>
      <c r="B2266" s="190"/>
      <c r="C2266" s="190"/>
      <c r="D2266" s="190"/>
      <c r="E2266" s="190"/>
      <c r="F2266" s="190"/>
      <c r="G2266" s="190"/>
    </row>
    <row r="2267" spans="1:7" ht="12.75" customHeight="1">
      <c r="A2267" s="190"/>
      <c r="B2267" s="190"/>
      <c r="C2267" s="190"/>
      <c r="D2267" s="190"/>
      <c r="E2267" s="190"/>
      <c r="F2267" s="190"/>
      <c r="G2267" s="190"/>
    </row>
    <row r="2268" spans="1:7" ht="12.75" customHeight="1">
      <c r="A2268" s="190"/>
      <c r="B2268" s="190"/>
      <c r="C2268" s="190"/>
      <c r="D2268" s="190"/>
      <c r="E2268" s="190"/>
      <c r="F2268" s="190"/>
      <c r="G2268" s="190"/>
    </row>
    <row r="2269" spans="1:7" ht="12.75" customHeight="1">
      <c r="A2269" s="190"/>
      <c r="B2269" s="190"/>
      <c r="C2269" s="190"/>
      <c r="D2269" s="190"/>
      <c r="E2269" s="190"/>
      <c r="F2269" s="190"/>
      <c r="G2269" s="190"/>
    </row>
    <row r="2270" spans="1:7" ht="12.75" customHeight="1">
      <c r="A2270" s="190"/>
      <c r="B2270" s="190"/>
      <c r="C2270" s="190"/>
      <c r="D2270" s="190"/>
      <c r="E2270" s="190"/>
      <c r="F2270" s="190"/>
      <c r="G2270" s="190"/>
    </row>
    <row r="2271" spans="1:7" ht="12.75" customHeight="1">
      <c r="A2271" s="190"/>
      <c r="B2271" s="190"/>
      <c r="C2271" s="190"/>
      <c r="D2271" s="190"/>
      <c r="E2271" s="190"/>
      <c r="F2271" s="190"/>
      <c r="G2271" s="190"/>
    </row>
    <row r="2272" spans="1:7" ht="12.75" customHeight="1">
      <c r="A2272" s="190"/>
      <c r="B2272" s="190"/>
      <c r="C2272" s="190"/>
      <c r="D2272" s="190"/>
      <c r="E2272" s="190"/>
      <c r="F2272" s="190"/>
      <c r="G2272" s="190"/>
    </row>
    <row r="2273" spans="1:7" ht="12.75" customHeight="1">
      <c r="A2273" s="190"/>
      <c r="B2273" s="190"/>
      <c r="C2273" s="190"/>
      <c r="D2273" s="190"/>
      <c r="E2273" s="190"/>
      <c r="F2273" s="190"/>
      <c r="G2273" s="190"/>
    </row>
    <row r="2274" spans="1:7" ht="12.75" customHeight="1">
      <c r="A2274" s="190"/>
      <c r="B2274" s="190"/>
      <c r="C2274" s="190"/>
      <c r="D2274" s="190"/>
      <c r="E2274" s="190"/>
      <c r="F2274" s="190"/>
      <c r="G2274" s="190"/>
    </row>
    <row r="2275" spans="1:7" ht="12.75" customHeight="1">
      <c r="A2275" s="190"/>
      <c r="B2275" s="190"/>
      <c r="C2275" s="190"/>
      <c r="D2275" s="190"/>
      <c r="E2275" s="190"/>
      <c r="F2275" s="190"/>
      <c r="G2275" s="190"/>
    </row>
    <row r="2276" spans="1:7" ht="12.75" customHeight="1">
      <c r="A2276" s="190"/>
      <c r="B2276" s="190"/>
      <c r="C2276" s="190"/>
      <c r="D2276" s="190"/>
      <c r="E2276" s="190"/>
      <c r="F2276" s="190"/>
      <c r="G2276" s="190"/>
    </row>
    <row r="2277" spans="1:7" ht="12.75" customHeight="1">
      <c r="A2277" s="190"/>
      <c r="B2277" s="190"/>
      <c r="C2277" s="190"/>
      <c r="D2277" s="190"/>
      <c r="E2277" s="190"/>
      <c r="F2277" s="190"/>
      <c r="G2277" s="190"/>
    </row>
    <row r="2278" spans="1:7" ht="12.75" customHeight="1">
      <c r="A2278" s="190"/>
      <c r="B2278" s="190"/>
      <c r="C2278" s="190"/>
      <c r="D2278" s="190"/>
      <c r="E2278" s="190"/>
      <c r="F2278" s="190"/>
      <c r="G2278" s="190"/>
    </row>
    <row r="2279" spans="1:7" ht="12.75" customHeight="1">
      <c r="A2279" s="190"/>
      <c r="B2279" s="190"/>
      <c r="C2279" s="190"/>
      <c r="D2279" s="190"/>
      <c r="E2279" s="190"/>
      <c r="F2279" s="190"/>
      <c r="G2279" s="190"/>
    </row>
    <row r="2280" spans="1:7" ht="12.75" customHeight="1">
      <c r="A2280" s="190"/>
      <c r="B2280" s="190"/>
      <c r="C2280" s="190"/>
      <c r="D2280" s="190"/>
      <c r="E2280" s="190"/>
      <c r="F2280" s="190"/>
      <c r="G2280" s="190"/>
    </row>
    <row r="2281" spans="1:7" ht="12.75" customHeight="1">
      <c r="A2281" s="190"/>
      <c r="B2281" s="190"/>
      <c r="C2281" s="190"/>
      <c r="D2281" s="190"/>
      <c r="E2281" s="190"/>
      <c r="F2281" s="190"/>
      <c r="G2281" s="190"/>
    </row>
    <row r="2282" spans="1:7" ht="12.75" customHeight="1">
      <c r="A2282" s="190"/>
      <c r="B2282" s="190"/>
      <c r="C2282" s="190"/>
      <c r="D2282" s="190"/>
      <c r="E2282" s="190"/>
      <c r="F2282" s="190"/>
      <c r="G2282" s="190"/>
    </row>
    <row r="2283" spans="1:7" ht="12.75" customHeight="1">
      <c r="A2283" s="190"/>
      <c r="B2283" s="190"/>
      <c r="C2283" s="190"/>
      <c r="D2283" s="190"/>
      <c r="E2283" s="190"/>
      <c r="F2283" s="190"/>
      <c r="G2283" s="190"/>
    </row>
    <row r="2284" spans="1:7" ht="12.75" customHeight="1">
      <c r="A2284" s="190"/>
      <c r="B2284" s="190"/>
      <c r="C2284" s="190"/>
      <c r="D2284" s="190"/>
      <c r="E2284" s="190"/>
      <c r="F2284" s="190"/>
      <c r="G2284" s="190"/>
    </row>
    <row r="2285" spans="1:7" ht="12.75" customHeight="1">
      <c r="A2285" s="190"/>
      <c r="B2285" s="190"/>
      <c r="C2285" s="190"/>
      <c r="D2285" s="190"/>
      <c r="E2285" s="190"/>
      <c r="F2285" s="190"/>
      <c r="G2285" s="190"/>
    </row>
    <row r="2286" spans="1:7" ht="12.75" customHeight="1">
      <c r="A2286" s="190"/>
      <c r="B2286" s="190"/>
      <c r="C2286" s="190"/>
      <c r="D2286" s="190"/>
      <c r="E2286" s="190"/>
      <c r="F2286" s="190"/>
      <c r="G2286" s="190"/>
    </row>
    <row r="2287" spans="1:7" ht="12.75" customHeight="1">
      <c r="A2287" s="190"/>
      <c r="B2287" s="190"/>
      <c r="C2287" s="190"/>
      <c r="D2287" s="190"/>
      <c r="E2287" s="190"/>
      <c r="F2287" s="190"/>
      <c r="G2287" s="190"/>
    </row>
    <row r="2288" spans="1:7" ht="12.75" customHeight="1">
      <c r="A2288" s="190"/>
      <c r="B2288" s="190"/>
      <c r="C2288" s="190"/>
      <c r="D2288" s="190"/>
      <c r="E2288" s="190"/>
      <c r="F2288" s="190"/>
      <c r="G2288" s="190"/>
    </row>
    <row r="2289" spans="1:7" ht="12.75" customHeight="1">
      <c r="A2289" s="190"/>
      <c r="B2289" s="190"/>
      <c r="C2289" s="190"/>
      <c r="D2289" s="190"/>
      <c r="E2289" s="190"/>
      <c r="F2289" s="190"/>
      <c r="G2289" s="190"/>
    </row>
    <row r="2290" spans="1:7" ht="12.75" customHeight="1">
      <c r="A2290" s="190"/>
      <c r="B2290" s="190"/>
      <c r="C2290" s="190"/>
      <c r="D2290" s="190"/>
      <c r="E2290" s="190"/>
      <c r="F2290" s="190"/>
      <c r="G2290" s="190"/>
    </row>
    <row r="2291" spans="1:7" ht="12.75" customHeight="1">
      <c r="A2291" s="190"/>
      <c r="B2291" s="190"/>
      <c r="C2291" s="190"/>
      <c r="D2291" s="190"/>
      <c r="E2291" s="190"/>
      <c r="F2291" s="190"/>
      <c r="G2291" s="190"/>
    </row>
    <row r="2292" spans="1:7" ht="12.75" customHeight="1">
      <c r="A2292" s="190"/>
      <c r="B2292" s="190"/>
      <c r="C2292" s="190"/>
      <c r="D2292" s="190"/>
      <c r="E2292" s="190"/>
      <c r="F2292" s="190"/>
      <c r="G2292" s="190"/>
    </row>
    <row r="2293" spans="1:7" ht="12.75" customHeight="1">
      <c r="A2293" s="190"/>
      <c r="B2293" s="190"/>
      <c r="C2293" s="190"/>
      <c r="D2293" s="190"/>
      <c r="E2293" s="190"/>
      <c r="F2293" s="190"/>
      <c r="G2293" s="190"/>
    </row>
    <row r="2294" spans="1:7" ht="12.75" customHeight="1">
      <c r="A2294" s="190"/>
      <c r="B2294" s="190"/>
      <c r="C2294" s="190"/>
      <c r="D2294" s="190"/>
      <c r="E2294" s="190"/>
      <c r="F2294" s="190"/>
      <c r="G2294" s="190"/>
    </row>
    <row r="2295" spans="1:7" ht="12.75" customHeight="1">
      <c r="A2295" s="190"/>
      <c r="B2295" s="190"/>
      <c r="C2295" s="190"/>
      <c r="D2295" s="190"/>
      <c r="E2295" s="190"/>
      <c r="F2295" s="190"/>
      <c r="G2295" s="190"/>
    </row>
    <row r="2296" spans="1:7" ht="12.75" customHeight="1">
      <c r="A2296" s="190"/>
      <c r="B2296" s="190"/>
      <c r="C2296" s="190"/>
      <c r="D2296" s="190"/>
      <c r="E2296" s="190"/>
      <c r="F2296" s="190"/>
      <c r="G2296" s="190"/>
    </row>
    <row r="2297" spans="1:7" ht="12.75" customHeight="1">
      <c r="A2297" s="190"/>
      <c r="B2297" s="190"/>
      <c r="C2297" s="190"/>
      <c r="D2297" s="190"/>
      <c r="E2297" s="190"/>
      <c r="F2297" s="190"/>
      <c r="G2297" s="190"/>
    </row>
    <row r="2298" spans="1:7" ht="12.75" customHeight="1">
      <c r="A2298" s="190"/>
      <c r="B2298" s="190"/>
      <c r="C2298" s="190"/>
      <c r="D2298" s="190"/>
      <c r="E2298" s="190"/>
      <c r="F2298" s="190"/>
      <c r="G2298" s="190"/>
    </row>
    <row r="2299" spans="1:7" ht="12.75" customHeight="1">
      <c r="A2299" s="190"/>
      <c r="B2299" s="190"/>
      <c r="C2299" s="190"/>
      <c r="D2299" s="190"/>
      <c r="E2299" s="190"/>
      <c r="F2299" s="190"/>
      <c r="G2299" s="190"/>
    </row>
    <row r="2300" spans="1:7" ht="12.75" customHeight="1">
      <c r="A2300" s="190"/>
      <c r="B2300" s="190"/>
      <c r="C2300" s="190"/>
      <c r="D2300" s="190"/>
      <c r="E2300" s="190"/>
      <c r="F2300" s="190"/>
      <c r="G2300" s="190"/>
    </row>
    <row r="2301" spans="1:7" ht="12.75" customHeight="1">
      <c r="A2301" s="190"/>
      <c r="B2301" s="190"/>
      <c r="C2301" s="190"/>
      <c r="D2301" s="190"/>
      <c r="E2301" s="190"/>
      <c r="F2301" s="190"/>
      <c r="G2301" s="190"/>
    </row>
    <row r="2302" spans="1:7" ht="12.75" customHeight="1">
      <c r="A2302" s="190"/>
      <c r="B2302" s="190"/>
      <c r="C2302" s="190"/>
      <c r="D2302" s="190"/>
      <c r="E2302" s="190"/>
      <c r="F2302" s="190"/>
      <c r="G2302" s="190"/>
    </row>
    <row r="2303" spans="1:7" ht="12.75" customHeight="1">
      <c r="A2303" s="190"/>
      <c r="B2303" s="190"/>
      <c r="C2303" s="190"/>
      <c r="D2303" s="190"/>
      <c r="E2303" s="190"/>
      <c r="F2303" s="190"/>
      <c r="G2303" s="190"/>
    </row>
    <row r="2304" spans="1:7" ht="12.75" customHeight="1">
      <c r="A2304" s="190"/>
      <c r="B2304" s="190"/>
      <c r="C2304" s="190"/>
      <c r="D2304" s="190"/>
      <c r="E2304" s="190"/>
      <c r="F2304" s="190"/>
      <c r="G2304" s="190"/>
    </row>
    <row r="2305" spans="1:7" ht="12.75" customHeight="1">
      <c r="A2305" s="190"/>
      <c r="B2305" s="190"/>
      <c r="C2305" s="190"/>
      <c r="D2305" s="190"/>
      <c r="E2305" s="190"/>
      <c r="F2305" s="190"/>
      <c r="G2305" s="190"/>
    </row>
    <row r="2306" spans="1:7" ht="12.75" customHeight="1">
      <c r="A2306" s="190"/>
      <c r="B2306" s="190"/>
      <c r="C2306" s="190"/>
      <c r="D2306" s="190"/>
      <c r="E2306" s="190"/>
      <c r="F2306" s="190"/>
      <c r="G2306" s="190"/>
    </row>
    <row r="2307" spans="1:7" ht="12.75" customHeight="1">
      <c r="A2307" s="190"/>
      <c r="B2307" s="190"/>
      <c r="C2307" s="190"/>
      <c r="D2307" s="190"/>
      <c r="E2307" s="190"/>
      <c r="F2307" s="190"/>
      <c r="G2307" s="190"/>
    </row>
    <row r="2308" spans="1:7" ht="12.75" customHeight="1">
      <c r="A2308" s="190"/>
      <c r="B2308" s="190"/>
      <c r="C2308" s="190"/>
      <c r="D2308" s="190"/>
      <c r="E2308" s="190"/>
      <c r="F2308" s="190"/>
      <c r="G2308" s="190"/>
    </row>
    <row r="2309" spans="1:7" ht="12.75" customHeight="1">
      <c r="A2309" s="190"/>
      <c r="B2309" s="190"/>
      <c r="C2309" s="190"/>
      <c r="D2309" s="190"/>
      <c r="E2309" s="190"/>
      <c r="F2309" s="190"/>
      <c r="G2309" s="190"/>
    </row>
    <row r="2310" spans="1:7" ht="12.75" customHeight="1">
      <c r="A2310" s="190"/>
      <c r="B2310" s="190"/>
      <c r="C2310" s="190"/>
      <c r="D2310" s="190"/>
      <c r="E2310" s="190"/>
      <c r="F2310" s="190"/>
      <c r="G2310" s="190"/>
    </row>
    <row r="2311" spans="1:7" ht="12.75" customHeight="1">
      <c r="A2311" s="190"/>
      <c r="B2311" s="190"/>
      <c r="C2311" s="190"/>
      <c r="D2311" s="190"/>
      <c r="E2311" s="190"/>
      <c r="F2311" s="190"/>
      <c r="G2311" s="190"/>
    </row>
    <row r="2312" spans="1:7" ht="12.75" customHeight="1">
      <c r="A2312" s="190"/>
      <c r="B2312" s="190"/>
      <c r="C2312" s="190"/>
      <c r="D2312" s="190"/>
      <c r="E2312" s="190"/>
      <c r="F2312" s="190"/>
      <c r="G2312" s="190"/>
    </row>
    <row r="2313" spans="1:7" ht="12.75" customHeight="1">
      <c r="A2313" s="190"/>
      <c r="B2313" s="190"/>
      <c r="C2313" s="190"/>
      <c r="D2313" s="190"/>
      <c r="E2313" s="190"/>
      <c r="F2313" s="190"/>
      <c r="G2313" s="190"/>
    </row>
    <row r="2314" spans="1:7" ht="12.75" customHeight="1">
      <c r="A2314" s="190"/>
      <c r="B2314" s="190"/>
      <c r="C2314" s="190"/>
      <c r="D2314" s="190"/>
      <c r="E2314" s="190"/>
      <c r="F2314" s="190"/>
      <c r="G2314" s="190"/>
    </row>
    <row r="2315" spans="1:7" ht="12.75" customHeight="1">
      <c r="A2315" s="190"/>
      <c r="B2315" s="190"/>
      <c r="C2315" s="190"/>
      <c r="D2315" s="190"/>
      <c r="E2315" s="190"/>
      <c r="F2315" s="190"/>
      <c r="G2315" s="190"/>
    </row>
    <row r="2316" spans="1:7" ht="12.75" customHeight="1">
      <c r="A2316" s="190"/>
      <c r="B2316" s="190"/>
      <c r="C2316" s="190"/>
      <c r="D2316" s="190"/>
      <c r="E2316" s="190"/>
      <c r="F2316" s="190"/>
      <c r="G2316" s="190"/>
    </row>
    <row r="2317" spans="1:7" ht="12.75" customHeight="1">
      <c r="A2317" s="190"/>
      <c r="B2317" s="190"/>
      <c r="C2317" s="190"/>
      <c r="D2317" s="190"/>
      <c r="E2317" s="190"/>
      <c r="F2317" s="190"/>
      <c r="G2317" s="190"/>
    </row>
    <row r="2318" spans="1:7" ht="12.75" customHeight="1">
      <c r="A2318" s="190"/>
      <c r="B2318" s="190"/>
      <c r="C2318" s="190"/>
      <c r="D2318" s="190"/>
      <c r="E2318" s="190"/>
      <c r="F2318" s="190"/>
      <c r="G2318" s="190"/>
    </row>
    <row r="2319" spans="1:7" ht="12.75" customHeight="1">
      <c r="A2319" s="190"/>
      <c r="B2319" s="190"/>
      <c r="C2319" s="190"/>
      <c r="D2319" s="190"/>
      <c r="E2319" s="190"/>
      <c r="F2319" s="190"/>
      <c r="G2319" s="190"/>
    </row>
    <row r="2320" spans="1:7" ht="12.75" customHeight="1">
      <c r="A2320" s="190"/>
      <c r="B2320" s="190"/>
      <c r="C2320" s="190"/>
      <c r="D2320" s="190"/>
      <c r="E2320" s="190"/>
      <c r="F2320" s="190"/>
      <c r="G2320" s="190"/>
    </row>
    <row r="2321" spans="1:7" ht="12.75" customHeight="1">
      <c r="A2321" s="190"/>
      <c r="B2321" s="190"/>
      <c r="C2321" s="190"/>
      <c r="D2321" s="190"/>
      <c r="E2321" s="190"/>
      <c r="F2321" s="190"/>
      <c r="G2321" s="190"/>
    </row>
    <row r="2322" spans="1:7" ht="12.75" customHeight="1">
      <c r="A2322" s="190"/>
      <c r="B2322" s="190"/>
      <c r="C2322" s="190"/>
      <c r="D2322" s="190"/>
      <c r="E2322" s="190"/>
      <c r="F2322" s="190"/>
      <c r="G2322" s="190"/>
    </row>
    <row r="2323" spans="1:7" ht="12.75" customHeight="1">
      <c r="A2323" s="190"/>
      <c r="B2323" s="190"/>
      <c r="C2323" s="190"/>
      <c r="D2323" s="190"/>
      <c r="E2323" s="190"/>
      <c r="F2323" s="190"/>
      <c r="G2323" s="190"/>
    </row>
    <row r="2324" spans="1:7" ht="12.75" customHeight="1">
      <c r="A2324" s="190"/>
      <c r="B2324" s="190"/>
      <c r="C2324" s="190"/>
      <c r="D2324" s="190"/>
      <c r="E2324" s="190"/>
      <c r="F2324" s="190"/>
      <c r="G2324" s="190"/>
    </row>
    <row r="2325" spans="1:7" ht="12.75" customHeight="1">
      <c r="A2325" s="190"/>
      <c r="B2325" s="190"/>
      <c r="C2325" s="190"/>
      <c r="D2325" s="190"/>
      <c r="E2325" s="190"/>
      <c r="F2325" s="190"/>
      <c r="G2325" s="190"/>
    </row>
    <row r="2326" spans="1:7" ht="12.75" customHeight="1">
      <c r="A2326" s="190"/>
      <c r="B2326" s="190"/>
      <c r="C2326" s="190"/>
      <c r="D2326" s="190"/>
      <c r="E2326" s="190"/>
      <c r="F2326" s="190"/>
      <c r="G2326" s="190"/>
    </row>
    <row r="2327" spans="1:7" ht="12.75" customHeight="1">
      <c r="A2327" s="190"/>
      <c r="B2327" s="190"/>
      <c r="C2327" s="190"/>
      <c r="D2327" s="190"/>
      <c r="E2327" s="190"/>
      <c r="F2327" s="190"/>
      <c r="G2327" s="190"/>
    </row>
    <row r="2328" spans="1:7" ht="12.75" customHeight="1">
      <c r="A2328" s="190"/>
      <c r="B2328" s="190"/>
      <c r="C2328" s="190"/>
      <c r="D2328" s="190"/>
      <c r="E2328" s="190"/>
      <c r="F2328" s="190"/>
      <c r="G2328" s="190"/>
    </row>
    <row r="2329" spans="1:7" ht="12.75" customHeight="1">
      <c r="A2329" s="190"/>
      <c r="B2329" s="190"/>
      <c r="C2329" s="190"/>
      <c r="D2329" s="190"/>
      <c r="E2329" s="190"/>
      <c r="F2329" s="190"/>
      <c r="G2329" s="190"/>
    </row>
    <row r="2330" spans="1:7" ht="12.75" customHeight="1">
      <c r="A2330" s="190"/>
      <c r="B2330" s="190"/>
      <c r="C2330" s="190"/>
      <c r="D2330" s="190"/>
      <c r="E2330" s="190"/>
      <c r="F2330" s="190"/>
      <c r="G2330" s="190"/>
    </row>
    <row r="2331" spans="1:7" ht="12.75" customHeight="1">
      <c r="A2331" s="190"/>
      <c r="B2331" s="190"/>
      <c r="C2331" s="190"/>
      <c r="D2331" s="190"/>
      <c r="E2331" s="190"/>
      <c r="F2331" s="190"/>
      <c r="G2331" s="190"/>
    </row>
    <row r="2332" spans="1:7" ht="12.75" customHeight="1">
      <c r="A2332" s="190"/>
      <c r="B2332" s="190"/>
      <c r="C2332" s="190"/>
      <c r="D2332" s="190"/>
      <c r="E2332" s="190"/>
      <c r="F2332" s="190"/>
      <c r="G2332" s="190"/>
    </row>
    <row r="2333" spans="1:7" ht="12.75" customHeight="1">
      <c r="A2333" s="190"/>
      <c r="B2333" s="190"/>
      <c r="C2333" s="190"/>
      <c r="D2333" s="190"/>
      <c r="E2333" s="190"/>
      <c r="F2333" s="190"/>
      <c r="G2333" s="190"/>
    </row>
    <row r="2334" spans="1:7" ht="12.75" customHeight="1">
      <c r="A2334" s="190"/>
      <c r="B2334" s="190"/>
      <c r="C2334" s="190"/>
      <c r="D2334" s="190"/>
      <c r="E2334" s="190"/>
      <c r="F2334" s="190"/>
      <c r="G2334" s="190"/>
    </row>
    <row r="2335" spans="1:7" ht="12.75" customHeight="1">
      <c r="A2335" s="190"/>
      <c r="B2335" s="190"/>
      <c r="C2335" s="190"/>
      <c r="D2335" s="190"/>
      <c r="E2335" s="190"/>
      <c r="F2335" s="190"/>
      <c r="G2335" s="190"/>
    </row>
    <row r="2336" spans="1:7" ht="12.75" customHeight="1">
      <c r="A2336" s="190"/>
      <c r="B2336" s="190"/>
      <c r="C2336" s="190"/>
      <c r="D2336" s="190"/>
      <c r="E2336" s="190"/>
      <c r="F2336" s="190"/>
      <c r="G2336" s="190"/>
    </row>
    <row r="2337" spans="1:7" ht="12.75" customHeight="1">
      <c r="A2337" s="190"/>
      <c r="B2337" s="190"/>
      <c r="C2337" s="190"/>
      <c r="D2337" s="190"/>
      <c r="E2337" s="190"/>
      <c r="F2337" s="190"/>
      <c r="G2337" s="190"/>
    </row>
    <row r="2338" spans="1:7" ht="12.75" customHeight="1">
      <c r="A2338" s="190"/>
      <c r="B2338" s="190"/>
      <c r="C2338" s="190"/>
      <c r="D2338" s="190"/>
      <c r="E2338" s="190"/>
      <c r="F2338" s="190"/>
      <c r="G2338" s="190"/>
    </row>
    <row r="2339" spans="1:7" ht="12.75" customHeight="1">
      <c r="A2339" s="190"/>
      <c r="B2339" s="190"/>
      <c r="C2339" s="190"/>
      <c r="D2339" s="190"/>
      <c r="E2339" s="190"/>
      <c r="F2339" s="190"/>
      <c r="G2339" s="190"/>
    </row>
    <row r="2340" spans="1:7" ht="12.75" customHeight="1">
      <c r="A2340" s="190"/>
      <c r="B2340" s="190"/>
      <c r="C2340" s="190"/>
      <c r="D2340" s="190"/>
      <c r="E2340" s="190"/>
      <c r="F2340" s="190"/>
      <c r="G2340" s="190"/>
    </row>
    <row r="2341" spans="1:7" ht="12.75" customHeight="1">
      <c r="A2341" s="190"/>
      <c r="B2341" s="190"/>
      <c r="C2341" s="190"/>
      <c r="D2341" s="190"/>
      <c r="E2341" s="190"/>
      <c r="F2341" s="190"/>
      <c r="G2341" s="190"/>
    </row>
    <row r="2342" spans="1:7" ht="12.75" customHeight="1">
      <c r="A2342" s="190"/>
      <c r="B2342" s="190"/>
      <c r="C2342" s="190"/>
      <c r="D2342" s="190"/>
      <c r="E2342" s="190"/>
      <c r="F2342" s="190"/>
      <c r="G2342" s="190"/>
    </row>
    <row r="2343" spans="1:7" ht="12.75" customHeight="1">
      <c r="A2343" s="190"/>
      <c r="B2343" s="190"/>
      <c r="C2343" s="190"/>
      <c r="D2343" s="190"/>
      <c r="E2343" s="190"/>
      <c r="F2343" s="190"/>
      <c r="G2343" s="190"/>
    </row>
    <row r="2344" spans="1:7" ht="12.75" customHeight="1">
      <c r="A2344" s="190"/>
      <c r="B2344" s="190"/>
      <c r="C2344" s="190"/>
      <c r="D2344" s="190"/>
      <c r="E2344" s="190"/>
      <c r="F2344" s="190"/>
      <c r="G2344" s="190"/>
    </row>
    <row r="2345" spans="1:7" ht="12.75" customHeight="1">
      <c r="A2345" s="190"/>
      <c r="B2345" s="190"/>
      <c r="C2345" s="190"/>
      <c r="D2345" s="190"/>
      <c r="E2345" s="190"/>
      <c r="F2345" s="190"/>
      <c r="G2345" s="190"/>
    </row>
    <row r="2346" spans="1:7" ht="12.75" customHeight="1">
      <c r="A2346" s="190"/>
      <c r="B2346" s="190"/>
      <c r="C2346" s="190"/>
      <c r="D2346" s="190"/>
      <c r="E2346" s="190"/>
      <c r="F2346" s="190"/>
      <c r="G2346" s="190"/>
    </row>
    <row r="2347" spans="1:7" ht="12.75" customHeight="1">
      <c r="A2347" s="190"/>
      <c r="B2347" s="190"/>
      <c r="C2347" s="190"/>
      <c r="D2347" s="190"/>
      <c r="E2347" s="190"/>
      <c r="F2347" s="190"/>
      <c r="G2347" s="190"/>
    </row>
    <row r="2348" spans="1:7" ht="12.75" customHeight="1">
      <c r="A2348" s="190"/>
      <c r="B2348" s="190"/>
      <c r="C2348" s="190"/>
      <c r="D2348" s="190"/>
      <c r="E2348" s="190"/>
      <c r="F2348" s="190"/>
      <c r="G2348" s="190"/>
    </row>
    <row r="2349" spans="1:7" ht="12.75" customHeight="1">
      <c r="A2349" s="190"/>
      <c r="B2349" s="190"/>
      <c r="C2349" s="190"/>
      <c r="D2349" s="190"/>
      <c r="E2349" s="190"/>
      <c r="F2349" s="190"/>
      <c r="G2349" s="190"/>
    </row>
    <row r="2350" spans="1:7" ht="12.75" customHeight="1">
      <c r="A2350" s="190"/>
      <c r="B2350" s="190"/>
      <c r="C2350" s="190"/>
      <c r="D2350" s="190"/>
      <c r="E2350" s="190"/>
      <c r="F2350" s="190"/>
      <c r="G2350" s="190"/>
    </row>
    <row r="2351" spans="1:7" ht="12.75" customHeight="1">
      <c r="A2351" s="190"/>
      <c r="B2351" s="190"/>
      <c r="C2351" s="190"/>
      <c r="D2351" s="190"/>
      <c r="E2351" s="190"/>
      <c r="F2351" s="190"/>
      <c r="G2351" s="190"/>
    </row>
    <row r="2352" spans="1:7" ht="12.75" customHeight="1">
      <c r="A2352" s="190"/>
      <c r="B2352" s="190"/>
      <c r="C2352" s="190"/>
      <c r="D2352" s="190"/>
      <c r="E2352" s="190"/>
      <c r="F2352" s="190"/>
      <c r="G2352" s="190"/>
    </row>
    <row r="2353" spans="1:7" ht="12.75" customHeight="1">
      <c r="A2353" s="190"/>
      <c r="B2353" s="190"/>
      <c r="C2353" s="190"/>
      <c r="D2353" s="190"/>
      <c r="E2353" s="190"/>
      <c r="F2353" s="190"/>
      <c r="G2353" s="190"/>
    </row>
    <row r="2354" spans="1:7" ht="12.75" customHeight="1">
      <c r="A2354" s="190"/>
      <c r="B2354" s="190"/>
      <c r="C2354" s="190"/>
      <c r="D2354" s="190"/>
      <c r="E2354" s="190"/>
      <c r="F2354" s="190"/>
      <c r="G2354" s="190"/>
    </row>
    <row r="2355" spans="1:7" ht="12.75" customHeight="1">
      <c r="A2355" s="190"/>
      <c r="B2355" s="190"/>
      <c r="C2355" s="190"/>
      <c r="D2355" s="190"/>
      <c r="E2355" s="190"/>
      <c r="F2355" s="190"/>
      <c r="G2355" s="190"/>
    </row>
    <row r="2356" spans="1:7" ht="12.75" customHeight="1">
      <c r="A2356" s="190"/>
      <c r="B2356" s="190"/>
      <c r="C2356" s="190"/>
      <c r="D2356" s="190"/>
      <c r="E2356" s="190"/>
      <c r="F2356" s="190"/>
      <c r="G2356" s="190"/>
    </row>
    <row r="2357" spans="1:7" ht="12.75" customHeight="1">
      <c r="A2357" s="190"/>
      <c r="B2357" s="190"/>
      <c r="C2357" s="190"/>
      <c r="D2357" s="190"/>
      <c r="E2357" s="190"/>
      <c r="F2357" s="190"/>
      <c r="G2357" s="190"/>
    </row>
    <row r="2358" spans="1:7" ht="12.75" customHeight="1">
      <c r="A2358" s="190"/>
      <c r="B2358" s="190"/>
      <c r="C2358" s="190"/>
      <c r="D2358" s="190"/>
      <c r="E2358" s="190"/>
      <c r="F2358" s="190"/>
      <c r="G2358" s="190"/>
    </row>
    <row r="2359" spans="1:7" ht="12.75" customHeight="1">
      <c r="A2359" s="190"/>
      <c r="B2359" s="190"/>
      <c r="C2359" s="190"/>
      <c r="D2359" s="190"/>
      <c r="E2359" s="190"/>
      <c r="F2359" s="190"/>
      <c r="G2359" s="190"/>
    </row>
    <row r="2360" spans="1:7" ht="12.75" customHeight="1">
      <c r="A2360" s="190"/>
      <c r="B2360" s="190"/>
      <c r="C2360" s="190"/>
      <c r="D2360" s="190"/>
      <c r="E2360" s="190"/>
      <c r="F2360" s="190"/>
      <c r="G2360" s="190"/>
    </row>
    <row r="2361" spans="1:7" ht="12.75" customHeight="1">
      <c r="A2361" s="190"/>
      <c r="B2361" s="190"/>
      <c r="C2361" s="190"/>
      <c r="D2361" s="190"/>
      <c r="E2361" s="190"/>
      <c r="F2361" s="190"/>
      <c r="G2361" s="190"/>
    </row>
    <row r="2362" spans="1:7" ht="12.75" customHeight="1">
      <c r="A2362" s="190"/>
      <c r="B2362" s="190"/>
      <c r="C2362" s="190"/>
      <c r="D2362" s="190"/>
      <c r="E2362" s="190"/>
      <c r="F2362" s="190"/>
      <c r="G2362" s="190"/>
    </row>
    <row r="2363" spans="1:7" ht="12.75" customHeight="1">
      <c r="A2363" s="190"/>
      <c r="B2363" s="190"/>
      <c r="C2363" s="190"/>
      <c r="D2363" s="190"/>
      <c r="E2363" s="190"/>
      <c r="F2363" s="190"/>
      <c r="G2363" s="190"/>
    </row>
    <row r="2364" spans="1:7" ht="12.75" customHeight="1">
      <c r="A2364" s="190"/>
      <c r="B2364" s="190"/>
      <c r="C2364" s="190"/>
      <c r="D2364" s="190"/>
      <c r="E2364" s="190"/>
      <c r="F2364" s="190"/>
      <c r="G2364" s="190"/>
    </row>
    <row r="2365" spans="1:7" ht="12.75" customHeight="1">
      <c r="A2365" s="190"/>
      <c r="B2365" s="190"/>
      <c r="C2365" s="190"/>
      <c r="D2365" s="190"/>
      <c r="E2365" s="190"/>
      <c r="F2365" s="190"/>
      <c r="G2365" s="190"/>
    </row>
    <row r="2366" spans="1:7" ht="12.75" customHeight="1">
      <c r="A2366" s="190"/>
      <c r="B2366" s="190"/>
      <c r="C2366" s="190"/>
      <c r="D2366" s="190"/>
      <c r="E2366" s="190"/>
      <c r="F2366" s="190"/>
      <c r="G2366" s="190"/>
    </row>
    <row r="2367" spans="1:7" ht="12.75" customHeight="1">
      <c r="A2367" s="190"/>
      <c r="B2367" s="190"/>
      <c r="C2367" s="190"/>
      <c r="D2367" s="190"/>
      <c r="E2367" s="190"/>
      <c r="F2367" s="190"/>
      <c r="G2367" s="190"/>
    </row>
    <row r="2368" spans="1:7" ht="12.75" customHeight="1">
      <c r="A2368" s="190"/>
      <c r="B2368" s="190"/>
      <c r="C2368" s="190"/>
      <c r="D2368" s="190"/>
      <c r="E2368" s="190"/>
      <c r="F2368" s="190"/>
      <c r="G2368" s="190"/>
    </row>
    <row r="2369" spans="1:7" ht="12.75" customHeight="1">
      <c r="A2369" s="190"/>
      <c r="B2369" s="190"/>
      <c r="C2369" s="190"/>
      <c r="D2369" s="190"/>
      <c r="E2369" s="190"/>
      <c r="F2369" s="190"/>
      <c r="G2369" s="190"/>
    </row>
    <row r="2370" spans="1:7" ht="12.75" customHeight="1">
      <c r="A2370" s="190"/>
      <c r="B2370" s="190"/>
      <c r="C2370" s="190"/>
      <c r="D2370" s="190"/>
      <c r="E2370" s="190"/>
      <c r="F2370" s="190"/>
      <c r="G2370" s="190"/>
    </row>
    <row r="2371" spans="1:7" ht="12.75" customHeight="1">
      <c r="A2371" s="190"/>
      <c r="B2371" s="190"/>
      <c r="C2371" s="190"/>
      <c r="D2371" s="190"/>
      <c r="E2371" s="190"/>
      <c r="F2371" s="190"/>
      <c r="G2371" s="190"/>
    </row>
    <row r="2372" spans="1:7" ht="12.75" customHeight="1">
      <c r="A2372" s="190"/>
      <c r="B2372" s="190"/>
      <c r="C2372" s="190"/>
      <c r="D2372" s="190"/>
      <c r="E2372" s="190"/>
      <c r="F2372" s="190"/>
      <c r="G2372" s="190"/>
    </row>
    <row r="2373" spans="1:7" ht="12.75" customHeight="1">
      <c r="A2373" s="190"/>
      <c r="B2373" s="190"/>
      <c r="C2373" s="190"/>
      <c r="D2373" s="190"/>
      <c r="E2373" s="190"/>
      <c r="F2373" s="190"/>
      <c r="G2373" s="190"/>
    </row>
    <row r="2374" spans="1:7" ht="12.75" customHeight="1">
      <c r="A2374" s="190"/>
      <c r="B2374" s="190"/>
      <c r="C2374" s="190"/>
      <c r="D2374" s="190"/>
      <c r="E2374" s="190"/>
      <c r="F2374" s="190"/>
      <c r="G2374" s="190"/>
    </row>
    <row r="2375" spans="1:7" ht="12.75" customHeight="1">
      <c r="A2375" s="190"/>
      <c r="B2375" s="190"/>
      <c r="C2375" s="190"/>
      <c r="D2375" s="190"/>
      <c r="E2375" s="190"/>
      <c r="F2375" s="190"/>
      <c r="G2375" s="190"/>
    </row>
    <row r="2376" spans="1:7" ht="12.75" customHeight="1">
      <c r="A2376" s="190"/>
      <c r="B2376" s="190"/>
      <c r="C2376" s="190"/>
      <c r="D2376" s="190"/>
      <c r="E2376" s="190"/>
      <c r="F2376" s="190"/>
      <c r="G2376" s="190"/>
    </row>
    <row r="2377" spans="1:7" ht="12.75" customHeight="1">
      <c r="A2377" s="190"/>
      <c r="B2377" s="190"/>
      <c r="C2377" s="190"/>
      <c r="D2377" s="190"/>
      <c r="E2377" s="190"/>
      <c r="F2377" s="190"/>
      <c r="G2377" s="190"/>
    </row>
    <row r="2378" spans="1:7" ht="12.75" customHeight="1">
      <c r="A2378" s="190"/>
      <c r="B2378" s="190"/>
      <c r="C2378" s="190"/>
      <c r="D2378" s="190"/>
      <c r="E2378" s="190"/>
      <c r="F2378" s="190"/>
      <c r="G2378" s="190"/>
    </row>
    <row r="2379" spans="1:7" ht="12.75" customHeight="1">
      <c r="A2379" s="190"/>
      <c r="B2379" s="190"/>
      <c r="C2379" s="190"/>
      <c r="D2379" s="190"/>
      <c r="E2379" s="190"/>
      <c r="F2379" s="190"/>
      <c r="G2379" s="190"/>
    </row>
    <row r="2380" spans="1:7" ht="12.75" customHeight="1">
      <c r="A2380" s="190"/>
      <c r="B2380" s="190"/>
      <c r="C2380" s="190"/>
      <c r="D2380" s="190"/>
      <c r="E2380" s="190"/>
      <c r="F2380" s="190"/>
      <c r="G2380" s="190"/>
    </row>
    <row r="2381" spans="1:7" ht="12.75" customHeight="1">
      <c r="A2381" s="190"/>
      <c r="B2381" s="190"/>
      <c r="C2381" s="190"/>
      <c r="D2381" s="190"/>
      <c r="E2381" s="190"/>
      <c r="F2381" s="190"/>
      <c r="G2381" s="190"/>
    </row>
    <row r="2382" spans="1:7" ht="12.75" customHeight="1">
      <c r="A2382" s="190"/>
      <c r="B2382" s="190"/>
      <c r="C2382" s="190"/>
      <c r="D2382" s="190"/>
      <c r="E2382" s="190"/>
      <c r="F2382" s="190"/>
      <c r="G2382" s="190"/>
    </row>
    <row r="2383" spans="1:7" ht="12.75" customHeight="1">
      <c r="A2383" s="190"/>
      <c r="B2383" s="190"/>
      <c r="C2383" s="190"/>
      <c r="D2383" s="190"/>
      <c r="E2383" s="190"/>
      <c r="F2383" s="190"/>
      <c r="G2383" s="190"/>
    </row>
    <row r="2384" spans="1:7" ht="12.75" customHeight="1">
      <c r="A2384" s="190"/>
      <c r="B2384" s="190"/>
      <c r="C2384" s="190"/>
      <c r="D2384" s="190"/>
      <c r="E2384" s="190"/>
      <c r="F2384" s="190"/>
      <c r="G2384" s="190"/>
    </row>
    <row r="2385" spans="1:7" ht="12.75" customHeight="1">
      <c r="A2385" s="190"/>
      <c r="B2385" s="190"/>
      <c r="C2385" s="190"/>
      <c r="D2385" s="190"/>
      <c r="E2385" s="190"/>
      <c r="F2385" s="190"/>
      <c r="G2385" s="190"/>
    </row>
    <row r="2386" spans="1:7" ht="12.75" customHeight="1">
      <c r="A2386" s="190"/>
      <c r="B2386" s="190"/>
      <c r="C2386" s="190"/>
      <c r="D2386" s="190"/>
      <c r="E2386" s="190"/>
      <c r="F2386" s="190"/>
      <c r="G2386" s="190"/>
    </row>
    <row r="2387" spans="1:7" ht="12.75" customHeight="1">
      <c r="A2387" s="190"/>
      <c r="B2387" s="190"/>
      <c r="C2387" s="190"/>
      <c r="D2387" s="190"/>
      <c r="E2387" s="190"/>
      <c r="F2387" s="190"/>
      <c r="G2387" s="190"/>
    </row>
    <row r="2388" spans="1:7" ht="12.75" customHeight="1">
      <c r="A2388" s="190"/>
      <c r="B2388" s="190"/>
      <c r="C2388" s="190"/>
      <c r="D2388" s="190"/>
      <c r="E2388" s="190"/>
      <c r="F2388" s="190"/>
      <c r="G2388" s="190"/>
    </row>
    <row r="2389" spans="1:7" ht="12.75" customHeight="1">
      <c r="A2389" s="190"/>
      <c r="B2389" s="190"/>
      <c r="C2389" s="190"/>
      <c r="D2389" s="190"/>
      <c r="E2389" s="190"/>
      <c r="F2389" s="190"/>
      <c r="G2389" s="190"/>
    </row>
    <row r="2390" spans="1:7" ht="12.75" customHeight="1">
      <c r="A2390" s="190"/>
      <c r="B2390" s="190"/>
      <c r="C2390" s="190"/>
      <c r="D2390" s="190"/>
      <c r="E2390" s="190"/>
      <c r="F2390" s="190"/>
      <c r="G2390" s="190"/>
    </row>
    <row r="2391" spans="1:7" ht="12.75" customHeight="1">
      <c r="A2391" s="190"/>
      <c r="B2391" s="190"/>
      <c r="C2391" s="190"/>
      <c r="D2391" s="190"/>
      <c r="E2391" s="190"/>
      <c r="F2391" s="190"/>
      <c r="G2391" s="190"/>
    </row>
    <row r="2392" spans="1:7" ht="12.75" customHeight="1">
      <c r="A2392" s="190"/>
      <c r="B2392" s="190"/>
      <c r="C2392" s="190"/>
      <c r="D2392" s="190"/>
      <c r="E2392" s="190"/>
      <c r="F2392" s="190"/>
      <c r="G2392" s="190"/>
    </row>
    <row r="2393" spans="1:7" ht="12.75" customHeight="1">
      <c r="A2393" s="190"/>
      <c r="B2393" s="190"/>
      <c r="C2393" s="190"/>
      <c r="D2393" s="190"/>
      <c r="E2393" s="190"/>
      <c r="F2393" s="190"/>
      <c r="G2393" s="190"/>
    </row>
    <row r="2394" spans="1:7" ht="12.75" customHeight="1">
      <c r="A2394" s="190"/>
      <c r="B2394" s="190"/>
      <c r="C2394" s="190"/>
      <c r="D2394" s="190"/>
      <c r="E2394" s="190"/>
      <c r="F2394" s="190"/>
      <c r="G2394" s="190"/>
    </row>
    <row r="2395" spans="1:7" ht="12.75" customHeight="1">
      <c r="A2395" s="190"/>
      <c r="B2395" s="190"/>
      <c r="C2395" s="190"/>
      <c r="D2395" s="190"/>
      <c r="E2395" s="190"/>
      <c r="F2395" s="190"/>
      <c r="G2395" s="190"/>
    </row>
    <row r="2396" spans="1:7" ht="12.75" customHeight="1">
      <c r="A2396" s="190"/>
      <c r="B2396" s="190"/>
      <c r="C2396" s="190"/>
      <c r="D2396" s="190"/>
      <c r="E2396" s="190"/>
      <c r="F2396" s="190"/>
      <c r="G2396" s="190"/>
    </row>
    <row r="2397" spans="1:7" ht="12.75" customHeight="1">
      <c r="A2397" s="190"/>
      <c r="B2397" s="190"/>
      <c r="C2397" s="190"/>
      <c r="D2397" s="190"/>
      <c r="E2397" s="190"/>
      <c r="F2397" s="190"/>
      <c r="G2397" s="190"/>
    </row>
    <row r="2398" spans="1:7" ht="12.75" customHeight="1">
      <c r="A2398" s="190"/>
      <c r="B2398" s="190"/>
      <c r="C2398" s="190"/>
      <c r="D2398" s="190"/>
      <c r="E2398" s="190"/>
      <c r="F2398" s="190"/>
      <c r="G2398" s="190"/>
    </row>
    <row r="2399" spans="1:7" ht="12.75" customHeight="1">
      <c r="A2399" s="190"/>
      <c r="B2399" s="190"/>
      <c r="C2399" s="190"/>
      <c r="D2399" s="190"/>
      <c r="E2399" s="190"/>
      <c r="F2399" s="190"/>
      <c r="G2399" s="190"/>
    </row>
    <row r="2400" spans="1:7" ht="12.75" customHeight="1">
      <c r="A2400" s="190"/>
      <c r="B2400" s="190"/>
      <c r="C2400" s="190"/>
      <c r="D2400" s="190"/>
      <c r="E2400" s="190"/>
      <c r="F2400" s="190"/>
      <c r="G2400" s="190"/>
    </row>
    <row r="2401" spans="1:7" ht="12.75" customHeight="1">
      <c r="A2401" s="190"/>
      <c r="B2401" s="190"/>
      <c r="C2401" s="190"/>
      <c r="D2401" s="190"/>
      <c r="E2401" s="190"/>
      <c r="F2401" s="190"/>
      <c r="G2401" s="190"/>
    </row>
    <row r="2402" spans="1:7" ht="12.75" customHeight="1">
      <c r="A2402" s="190"/>
      <c r="B2402" s="190"/>
      <c r="C2402" s="190"/>
      <c r="D2402" s="190"/>
      <c r="E2402" s="190"/>
      <c r="F2402" s="190"/>
      <c r="G2402" s="190"/>
    </row>
    <row r="2403" spans="1:7" ht="12.75" customHeight="1">
      <c r="A2403" s="190"/>
      <c r="B2403" s="190"/>
      <c r="C2403" s="190"/>
      <c r="D2403" s="190"/>
      <c r="E2403" s="190"/>
      <c r="F2403" s="190"/>
      <c r="G2403" s="190"/>
    </row>
    <row r="2404" spans="1:7" ht="12.75" customHeight="1">
      <c r="A2404" s="190"/>
      <c r="B2404" s="190"/>
      <c r="C2404" s="190"/>
      <c r="D2404" s="190"/>
      <c r="E2404" s="190"/>
      <c r="F2404" s="190"/>
      <c r="G2404" s="190"/>
    </row>
    <row r="2405" spans="1:7" ht="12.75" customHeight="1">
      <c r="A2405" s="190"/>
      <c r="B2405" s="190"/>
      <c r="C2405" s="190"/>
      <c r="D2405" s="190"/>
      <c r="E2405" s="190"/>
      <c r="F2405" s="190"/>
      <c r="G2405" s="190"/>
    </row>
    <row r="2406" spans="1:7" ht="12.75" customHeight="1">
      <c r="A2406" s="190"/>
      <c r="B2406" s="190"/>
      <c r="C2406" s="190"/>
      <c r="D2406" s="190"/>
      <c r="E2406" s="190"/>
      <c r="F2406" s="190"/>
      <c r="G2406" s="190"/>
    </row>
    <row r="2407" spans="1:7" ht="12.75" customHeight="1">
      <c r="A2407" s="190"/>
      <c r="B2407" s="190"/>
      <c r="C2407" s="190"/>
      <c r="D2407" s="190"/>
      <c r="E2407" s="190"/>
      <c r="F2407" s="190"/>
      <c r="G2407" s="190"/>
    </row>
    <row r="2408" spans="1:7" ht="12.75" customHeight="1">
      <c r="A2408" s="190"/>
      <c r="B2408" s="190"/>
      <c r="C2408" s="190"/>
      <c r="D2408" s="190"/>
      <c r="E2408" s="190"/>
      <c r="F2408" s="190"/>
      <c r="G2408" s="190"/>
    </row>
    <row r="2409" spans="1:7" ht="12.75" customHeight="1">
      <c r="A2409" s="190"/>
      <c r="B2409" s="190"/>
      <c r="C2409" s="190"/>
      <c r="D2409" s="190"/>
      <c r="E2409" s="190"/>
      <c r="F2409" s="190"/>
      <c r="G2409" s="190"/>
    </row>
    <row r="2410" spans="1:7" ht="12.75" customHeight="1">
      <c r="A2410" s="190"/>
      <c r="B2410" s="190"/>
      <c r="C2410" s="190"/>
      <c r="D2410" s="190"/>
      <c r="E2410" s="190"/>
      <c r="F2410" s="190"/>
      <c r="G2410" s="190"/>
    </row>
    <row r="2411" spans="1:7" ht="12.75" customHeight="1">
      <c r="A2411" s="190"/>
      <c r="B2411" s="190"/>
      <c r="C2411" s="190"/>
      <c r="D2411" s="190"/>
      <c r="E2411" s="190"/>
      <c r="F2411" s="190"/>
      <c r="G2411" s="190"/>
    </row>
    <row r="2412" spans="1:7" ht="12.75" customHeight="1">
      <c r="A2412" s="190"/>
      <c r="B2412" s="190"/>
      <c r="C2412" s="190"/>
      <c r="D2412" s="190"/>
      <c r="E2412" s="190"/>
      <c r="F2412" s="190"/>
      <c r="G2412" s="190"/>
    </row>
    <row r="2413" spans="1:7" ht="12.75" customHeight="1">
      <c r="A2413" s="190"/>
      <c r="B2413" s="190"/>
      <c r="C2413" s="190"/>
      <c r="D2413" s="190"/>
      <c r="E2413" s="190"/>
      <c r="F2413" s="190"/>
      <c r="G2413" s="190"/>
    </row>
    <row r="2414" spans="1:7" ht="12.75" customHeight="1">
      <c r="A2414" s="190"/>
      <c r="B2414" s="190"/>
      <c r="C2414" s="190"/>
      <c r="D2414" s="190"/>
      <c r="E2414" s="190"/>
      <c r="F2414" s="190"/>
      <c r="G2414" s="190"/>
    </row>
    <row r="2415" spans="1:7" ht="12.75" customHeight="1">
      <c r="A2415" s="190"/>
      <c r="B2415" s="190"/>
      <c r="C2415" s="190"/>
      <c r="D2415" s="190"/>
      <c r="E2415" s="190"/>
      <c r="F2415" s="190"/>
      <c r="G2415" s="190"/>
    </row>
    <row r="2416" spans="1:7" ht="12.75" customHeight="1">
      <c r="A2416" s="190"/>
      <c r="B2416" s="190"/>
      <c r="C2416" s="190"/>
      <c r="D2416" s="190"/>
      <c r="E2416" s="190"/>
      <c r="F2416" s="190"/>
      <c r="G2416" s="190"/>
    </row>
    <row r="2417" spans="1:7" ht="12.75" customHeight="1">
      <c r="A2417" s="190"/>
      <c r="B2417" s="190"/>
      <c r="C2417" s="190"/>
      <c r="D2417" s="190"/>
      <c r="E2417" s="190"/>
      <c r="F2417" s="190"/>
      <c r="G2417" s="190"/>
    </row>
    <row r="2418" spans="1:7" ht="12.75" customHeight="1">
      <c r="A2418" s="190"/>
      <c r="B2418" s="190"/>
      <c r="C2418" s="190"/>
      <c r="D2418" s="190"/>
      <c r="E2418" s="190"/>
      <c r="F2418" s="190"/>
      <c r="G2418" s="190"/>
    </row>
    <row r="2419" spans="1:7" ht="12.75" customHeight="1">
      <c r="A2419" s="190"/>
      <c r="B2419" s="190"/>
      <c r="C2419" s="190"/>
      <c r="D2419" s="190"/>
      <c r="E2419" s="190"/>
      <c r="F2419" s="190"/>
      <c r="G2419" s="190"/>
    </row>
    <row r="2420" spans="1:7" ht="12.75" customHeight="1">
      <c r="A2420" s="190"/>
      <c r="B2420" s="190"/>
      <c r="C2420" s="190"/>
      <c r="D2420" s="190"/>
      <c r="E2420" s="190"/>
      <c r="F2420" s="190"/>
      <c r="G2420" s="190"/>
    </row>
    <row r="2421" spans="1:7" ht="12.75" customHeight="1">
      <c r="A2421" s="190"/>
      <c r="B2421" s="190"/>
      <c r="C2421" s="190"/>
      <c r="D2421" s="190"/>
      <c r="E2421" s="190"/>
      <c r="F2421" s="190"/>
      <c r="G2421" s="190"/>
    </row>
    <row r="2422" spans="1:7" ht="12.75" customHeight="1">
      <c r="A2422" s="190"/>
      <c r="B2422" s="190"/>
      <c r="C2422" s="190"/>
      <c r="D2422" s="190"/>
      <c r="E2422" s="190"/>
      <c r="F2422" s="190"/>
      <c r="G2422" s="190"/>
    </row>
    <row r="2423" spans="1:7" ht="12.75" customHeight="1">
      <c r="A2423" s="190"/>
      <c r="B2423" s="190"/>
      <c r="C2423" s="190"/>
      <c r="D2423" s="190"/>
      <c r="E2423" s="190"/>
      <c r="F2423" s="190"/>
      <c r="G2423" s="190"/>
    </row>
    <row r="2424" spans="1:7" ht="12.75" customHeight="1">
      <c r="A2424" s="190"/>
      <c r="B2424" s="190"/>
      <c r="C2424" s="190"/>
      <c r="D2424" s="190"/>
      <c r="E2424" s="190"/>
      <c r="F2424" s="190"/>
      <c r="G2424" s="190"/>
    </row>
    <row r="2425" spans="1:7" ht="12.75" customHeight="1">
      <c r="A2425" s="190"/>
      <c r="B2425" s="190"/>
      <c r="C2425" s="190"/>
      <c r="D2425" s="190"/>
      <c r="E2425" s="190"/>
      <c r="F2425" s="190"/>
      <c r="G2425" s="190"/>
    </row>
    <row r="2426" spans="1:7" ht="12.75" customHeight="1">
      <c r="A2426" s="190"/>
      <c r="B2426" s="190"/>
      <c r="C2426" s="190"/>
      <c r="D2426" s="190"/>
      <c r="E2426" s="190"/>
      <c r="F2426" s="190"/>
      <c r="G2426" s="190"/>
    </row>
    <row r="2427" spans="1:7" ht="12.75" customHeight="1">
      <c r="A2427" s="190"/>
      <c r="B2427" s="190"/>
      <c r="C2427" s="190"/>
      <c r="D2427" s="190"/>
      <c r="E2427" s="190"/>
      <c r="F2427" s="190"/>
      <c r="G2427" s="190"/>
    </row>
    <row r="2428" spans="1:7" ht="12.75" customHeight="1">
      <c r="A2428" s="190"/>
      <c r="B2428" s="190"/>
      <c r="C2428" s="190"/>
      <c r="D2428" s="190"/>
      <c r="E2428" s="190"/>
      <c r="F2428" s="190"/>
      <c r="G2428" s="190"/>
    </row>
    <row r="2429" spans="1:7" ht="12.75" customHeight="1">
      <c r="A2429" s="190"/>
      <c r="B2429" s="190"/>
      <c r="C2429" s="190"/>
      <c r="D2429" s="190"/>
      <c r="E2429" s="190"/>
      <c r="F2429" s="190"/>
      <c r="G2429" s="190"/>
    </row>
    <row r="2430" spans="1:7" ht="12.75" customHeight="1">
      <c r="A2430" s="190"/>
      <c r="B2430" s="190"/>
      <c r="C2430" s="190"/>
      <c r="D2430" s="190"/>
      <c r="E2430" s="190"/>
      <c r="F2430" s="190"/>
      <c r="G2430" s="190"/>
    </row>
    <row r="2431" spans="1:7" ht="12.75" customHeight="1">
      <c r="A2431" s="190"/>
      <c r="B2431" s="190"/>
      <c r="C2431" s="190"/>
      <c r="D2431" s="190"/>
      <c r="E2431" s="190"/>
      <c r="F2431" s="190"/>
      <c r="G2431" s="190"/>
    </row>
    <row r="2432" spans="1:7" ht="12.75" customHeight="1">
      <c r="A2432" s="190"/>
      <c r="B2432" s="190"/>
      <c r="C2432" s="190"/>
      <c r="D2432" s="190"/>
      <c r="E2432" s="190"/>
      <c r="F2432" s="190"/>
      <c r="G2432" s="190"/>
    </row>
    <row r="2433" spans="1:7" ht="12.75" customHeight="1">
      <c r="A2433" s="190"/>
      <c r="B2433" s="190"/>
      <c r="C2433" s="190"/>
      <c r="D2433" s="190"/>
      <c r="E2433" s="190"/>
      <c r="F2433" s="190"/>
      <c r="G2433" s="190"/>
    </row>
    <row r="2434" spans="1:7" ht="12.75" customHeight="1">
      <c r="A2434" s="190"/>
      <c r="B2434" s="190"/>
      <c r="C2434" s="190"/>
      <c r="D2434" s="190"/>
      <c r="E2434" s="190"/>
      <c r="F2434" s="190"/>
      <c r="G2434" s="190"/>
    </row>
    <row r="2435" spans="1:7" ht="12.75" customHeight="1">
      <c r="A2435" s="190"/>
      <c r="B2435" s="190"/>
      <c r="C2435" s="190"/>
      <c r="D2435" s="190"/>
      <c r="E2435" s="190"/>
      <c r="F2435" s="190"/>
      <c r="G2435" s="190"/>
    </row>
    <row r="2436" spans="1:7" ht="12.75" customHeight="1">
      <c r="A2436" s="190"/>
      <c r="B2436" s="190"/>
      <c r="C2436" s="190"/>
      <c r="D2436" s="190"/>
      <c r="E2436" s="190"/>
      <c r="F2436" s="190"/>
      <c r="G2436" s="190"/>
    </row>
    <row r="2437" spans="1:7" ht="12.75" customHeight="1">
      <c r="A2437" s="190"/>
      <c r="B2437" s="190"/>
      <c r="C2437" s="190"/>
      <c r="D2437" s="190"/>
      <c r="E2437" s="190"/>
      <c r="F2437" s="190"/>
      <c r="G2437" s="190"/>
    </row>
    <row r="2438" spans="1:7" ht="12.75" customHeight="1">
      <c r="A2438" s="190"/>
      <c r="B2438" s="190"/>
      <c r="C2438" s="190"/>
      <c r="D2438" s="190"/>
      <c r="E2438" s="190"/>
      <c r="F2438" s="190"/>
      <c r="G2438" s="190"/>
    </row>
    <row r="2439" spans="1:7" ht="12.75" customHeight="1">
      <c r="A2439" s="190"/>
      <c r="B2439" s="190"/>
      <c r="C2439" s="190"/>
      <c r="D2439" s="190"/>
      <c r="E2439" s="190"/>
      <c r="F2439" s="190"/>
      <c r="G2439" s="190"/>
    </row>
    <row r="2440" spans="1:7" ht="12.75" customHeight="1">
      <c r="A2440" s="190"/>
      <c r="B2440" s="190"/>
      <c r="C2440" s="190"/>
      <c r="D2440" s="190"/>
      <c r="E2440" s="190"/>
      <c r="F2440" s="190"/>
      <c r="G2440" s="190"/>
    </row>
    <row r="2441" spans="1:7" ht="12.75" customHeight="1">
      <c r="A2441" s="190"/>
      <c r="B2441" s="190"/>
      <c r="C2441" s="190"/>
      <c r="D2441" s="190"/>
      <c r="E2441" s="190"/>
      <c r="F2441" s="190"/>
      <c r="G2441" s="190"/>
    </row>
    <row r="2442" spans="1:7" ht="12.75" customHeight="1">
      <c r="A2442" s="190"/>
      <c r="B2442" s="190"/>
      <c r="C2442" s="190"/>
      <c r="D2442" s="190"/>
      <c r="E2442" s="190"/>
      <c r="F2442" s="190"/>
      <c r="G2442" s="190"/>
    </row>
    <row r="2443" spans="1:7" ht="12.75" customHeight="1">
      <c r="A2443" s="190"/>
      <c r="B2443" s="190"/>
      <c r="C2443" s="190"/>
      <c r="D2443" s="190"/>
      <c r="E2443" s="190"/>
      <c r="F2443" s="190"/>
      <c r="G2443" s="190"/>
    </row>
    <row r="2444" spans="1:7" ht="12.75" customHeight="1">
      <c r="A2444" s="190"/>
      <c r="B2444" s="190"/>
      <c r="C2444" s="190"/>
      <c r="D2444" s="190"/>
      <c r="E2444" s="190"/>
      <c r="F2444" s="190"/>
      <c r="G2444" s="190"/>
    </row>
    <row r="2445" spans="1:7" ht="12.75" customHeight="1">
      <c r="A2445" s="190"/>
      <c r="B2445" s="190"/>
      <c r="C2445" s="190"/>
      <c r="D2445" s="190"/>
      <c r="E2445" s="190"/>
      <c r="F2445" s="190"/>
      <c r="G2445" s="190"/>
    </row>
    <row r="2446" spans="1:7" ht="12.75" customHeight="1">
      <c r="A2446" s="190"/>
      <c r="B2446" s="190"/>
      <c r="C2446" s="190"/>
      <c r="D2446" s="190"/>
      <c r="E2446" s="190"/>
      <c r="F2446" s="190"/>
      <c r="G2446" s="190"/>
    </row>
    <row r="2447" spans="1:7" ht="12.75" customHeight="1">
      <c r="A2447" s="190"/>
      <c r="B2447" s="190"/>
      <c r="C2447" s="190"/>
      <c r="D2447" s="190"/>
      <c r="E2447" s="190"/>
      <c r="F2447" s="190"/>
      <c r="G2447" s="190"/>
    </row>
    <row r="2448" spans="1:7" ht="12.75" customHeight="1">
      <c r="A2448" s="190"/>
      <c r="B2448" s="190"/>
      <c r="C2448" s="190"/>
      <c r="D2448" s="190"/>
      <c r="E2448" s="190"/>
      <c r="F2448" s="190"/>
      <c r="G2448" s="190"/>
    </row>
    <row r="2449" spans="1:7" ht="12.75" customHeight="1">
      <c r="A2449" s="190"/>
      <c r="B2449" s="190"/>
      <c r="C2449" s="190"/>
      <c r="D2449" s="190"/>
      <c r="E2449" s="190"/>
      <c r="F2449" s="190"/>
      <c r="G2449" s="190"/>
    </row>
    <row r="2450" spans="1:7" ht="12.75" customHeight="1">
      <c r="A2450" s="190"/>
      <c r="B2450" s="190"/>
      <c r="C2450" s="190"/>
      <c r="D2450" s="190"/>
      <c r="E2450" s="190"/>
      <c r="F2450" s="190"/>
      <c r="G2450" s="190"/>
    </row>
    <row r="2451" spans="1:7" ht="12.75" customHeight="1">
      <c r="A2451" s="190"/>
      <c r="B2451" s="190"/>
      <c r="C2451" s="190"/>
      <c r="D2451" s="190"/>
      <c r="E2451" s="190"/>
      <c r="F2451" s="190"/>
      <c r="G2451" s="190"/>
    </row>
    <row r="2452" spans="1:7" ht="12.75" customHeight="1">
      <c r="A2452" s="190"/>
      <c r="B2452" s="190"/>
      <c r="C2452" s="190"/>
      <c r="D2452" s="190"/>
      <c r="E2452" s="190"/>
      <c r="F2452" s="190"/>
      <c r="G2452" s="190"/>
    </row>
    <row r="2453" spans="1:7" ht="12.75" customHeight="1">
      <c r="A2453" s="190"/>
      <c r="B2453" s="190"/>
      <c r="C2453" s="190"/>
      <c r="D2453" s="190"/>
      <c r="E2453" s="190"/>
      <c r="F2453" s="190"/>
      <c r="G2453" s="190"/>
    </row>
    <row r="2454" spans="1:7" ht="12.75" customHeight="1">
      <c r="A2454" s="190"/>
      <c r="B2454" s="190"/>
      <c r="C2454" s="190"/>
      <c r="D2454" s="190"/>
      <c r="E2454" s="190"/>
      <c r="F2454" s="190"/>
      <c r="G2454" s="190"/>
    </row>
    <row r="2455" spans="1:7" ht="12.75" customHeight="1">
      <c r="A2455" s="190"/>
      <c r="B2455" s="190"/>
      <c r="C2455" s="190"/>
      <c r="D2455" s="190"/>
      <c r="E2455" s="190"/>
      <c r="F2455" s="190"/>
      <c r="G2455" s="190"/>
    </row>
    <row r="2456" spans="1:7" ht="12.75" customHeight="1">
      <c r="A2456" s="190"/>
      <c r="B2456" s="190"/>
      <c r="C2456" s="190"/>
      <c r="D2456" s="190"/>
      <c r="E2456" s="190"/>
      <c r="F2456" s="190"/>
      <c r="G2456" s="190"/>
    </row>
    <row r="2457" spans="1:7" ht="12.75" customHeight="1">
      <c r="A2457" s="190"/>
      <c r="B2457" s="190"/>
      <c r="C2457" s="190"/>
      <c r="D2457" s="190"/>
      <c r="E2457" s="190"/>
      <c r="F2457" s="190"/>
      <c r="G2457" s="190"/>
    </row>
    <row r="2458" spans="1:7" ht="12.75" customHeight="1">
      <c r="A2458" s="190"/>
      <c r="B2458" s="190"/>
      <c r="C2458" s="190"/>
      <c r="D2458" s="190"/>
      <c r="E2458" s="190"/>
      <c r="F2458" s="190"/>
      <c r="G2458" s="190"/>
    </row>
    <row r="2459" spans="1:7" ht="12.75" customHeight="1">
      <c r="A2459" s="190"/>
      <c r="B2459" s="190"/>
      <c r="C2459" s="190"/>
      <c r="D2459" s="190"/>
      <c r="E2459" s="190"/>
      <c r="F2459" s="190"/>
      <c r="G2459" s="190"/>
    </row>
    <row r="2460" spans="1:7" ht="12.75" customHeight="1">
      <c r="A2460" s="190"/>
      <c r="B2460" s="190"/>
      <c r="C2460" s="190"/>
      <c r="D2460" s="190"/>
      <c r="E2460" s="190"/>
      <c r="F2460" s="190"/>
      <c r="G2460" s="190"/>
    </row>
    <row r="2461" spans="1:7" ht="12.75" customHeight="1">
      <c r="A2461" s="190"/>
      <c r="B2461" s="190"/>
      <c r="C2461" s="190"/>
      <c r="D2461" s="190"/>
      <c r="E2461" s="190"/>
      <c r="F2461" s="190"/>
      <c r="G2461" s="190"/>
    </row>
    <row r="2462" spans="1:7" ht="12.75" customHeight="1">
      <c r="A2462" s="190"/>
      <c r="B2462" s="190"/>
      <c r="C2462" s="190"/>
      <c r="D2462" s="190"/>
      <c r="E2462" s="190"/>
      <c r="F2462" s="190"/>
      <c r="G2462" s="190"/>
    </row>
    <row r="2463" spans="1:7" ht="12.75" customHeight="1">
      <c r="A2463" s="190"/>
      <c r="B2463" s="190"/>
      <c r="C2463" s="190"/>
      <c r="D2463" s="190"/>
      <c r="E2463" s="190"/>
      <c r="F2463" s="190"/>
      <c r="G2463" s="190"/>
    </row>
    <row r="2464" spans="1:7" ht="12.75" customHeight="1">
      <c r="A2464" s="190"/>
      <c r="B2464" s="190"/>
      <c r="C2464" s="190"/>
      <c r="D2464" s="190"/>
      <c r="E2464" s="190"/>
      <c r="F2464" s="190"/>
      <c r="G2464" s="190"/>
    </row>
    <row r="2465" spans="1:7" ht="12.75" customHeight="1">
      <c r="A2465" s="190"/>
      <c r="B2465" s="190"/>
      <c r="C2465" s="190"/>
      <c r="D2465" s="190"/>
      <c r="E2465" s="190"/>
      <c r="F2465" s="190"/>
      <c r="G2465" s="190"/>
    </row>
    <row r="2466" spans="1:7" ht="12.75" customHeight="1">
      <c r="A2466" s="190"/>
      <c r="B2466" s="190"/>
      <c r="C2466" s="190"/>
      <c r="D2466" s="190"/>
      <c r="E2466" s="190"/>
      <c r="F2466" s="190"/>
      <c r="G2466" s="190"/>
    </row>
    <row r="2467" spans="1:7" ht="12.75" customHeight="1">
      <c r="A2467" s="190"/>
      <c r="B2467" s="190"/>
      <c r="C2467" s="190"/>
      <c r="D2467" s="190"/>
      <c r="E2467" s="190"/>
      <c r="F2467" s="190"/>
      <c r="G2467" s="190"/>
    </row>
    <row r="2468" spans="1:7" ht="12.75" customHeight="1">
      <c r="A2468" s="190"/>
      <c r="B2468" s="190"/>
      <c r="C2468" s="190"/>
      <c r="D2468" s="190"/>
      <c r="E2468" s="190"/>
      <c r="F2468" s="190"/>
      <c r="G2468" s="190"/>
    </row>
    <row r="2469" spans="1:7" ht="12.75" customHeight="1">
      <c r="A2469" s="190"/>
      <c r="B2469" s="190"/>
      <c r="C2469" s="190"/>
      <c r="D2469" s="190"/>
      <c r="E2469" s="190"/>
      <c r="F2469" s="190"/>
      <c r="G2469" s="190"/>
    </row>
    <row r="2470" spans="1:7" ht="12.75" customHeight="1">
      <c r="A2470" s="190"/>
      <c r="B2470" s="190"/>
      <c r="C2470" s="190"/>
      <c r="D2470" s="190"/>
      <c r="E2470" s="190"/>
      <c r="F2470" s="190"/>
      <c r="G2470" s="190"/>
    </row>
    <row r="2471" spans="1:7" ht="12.75" customHeight="1">
      <c r="A2471" s="190"/>
      <c r="B2471" s="190"/>
      <c r="C2471" s="190"/>
      <c r="D2471" s="190"/>
      <c r="E2471" s="190"/>
      <c r="F2471" s="190"/>
      <c r="G2471" s="190"/>
    </row>
    <row r="2472" spans="1:7" ht="12.75" customHeight="1">
      <c r="A2472" s="190"/>
      <c r="B2472" s="190"/>
      <c r="C2472" s="190"/>
      <c r="D2472" s="190"/>
      <c r="E2472" s="190"/>
      <c r="F2472" s="190"/>
      <c r="G2472" s="190"/>
    </row>
    <row r="2473" spans="1:7" ht="12.75" customHeight="1">
      <c r="A2473" s="190"/>
      <c r="B2473" s="190"/>
      <c r="C2473" s="190"/>
      <c r="D2473" s="190"/>
      <c r="E2473" s="190"/>
      <c r="F2473" s="190"/>
      <c r="G2473" s="190"/>
    </row>
    <row r="2474" spans="1:7" ht="12.75" customHeight="1">
      <c r="A2474" s="190"/>
      <c r="B2474" s="190"/>
      <c r="C2474" s="190"/>
      <c r="D2474" s="190"/>
      <c r="E2474" s="190"/>
      <c r="F2474" s="190"/>
      <c r="G2474" s="190"/>
    </row>
    <row r="2475" spans="1:7" ht="12.75" customHeight="1">
      <c r="A2475" s="190"/>
      <c r="B2475" s="190"/>
      <c r="C2475" s="190"/>
      <c r="D2475" s="190"/>
      <c r="E2475" s="190"/>
      <c r="F2475" s="190"/>
      <c r="G2475" s="190"/>
    </row>
    <row r="2476" spans="1:7" ht="12.75" customHeight="1">
      <c r="A2476" s="190"/>
      <c r="B2476" s="190"/>
      <c r="C2476" s="190"/>
      <c r="D2476" s="190"/>
      <c r="E2476" s="190"/>
      <c r="F2476" s="190"/>
      <c r="G2476" s="190"/>
    </row>
    <row r="2477" spans="1:7" ht="12.75" customHeight="1">
      <c r="A2477" s="190"/>
      <c r="B2477" s="190"/>
      <c r="C2477" s="190"/>
      <c r="D2477" s="190"/>
      <c r="E2477" s="190"/>
      <c r="F2477" s="190"/>
      <c r="G2477" s="190"/>
    </row>
    <row r="2478" spans="1:7" ht="12.75" customHeight="1">
      <c r="A2478" s="190"/>
      <c r="B2478" s="190"/>
      <c r="C2478" s="190"/>
      <c r="D2478" s="190"/>
      <c r="E2478" s="190"/>
      <c r="F2478" s="190"/>
      <c r="G2478" s="190"/>
    </row>
    <row r="2479" spans="1:7" ht="12.75" customHeight="1">
      <c r="A2479" s="190"/>
      <c r="B2479" s="190"/>
      <c r="C2479" s="190"/>
      <c r="D2479" s="190"/>
      <c r="E2479" s="190"/>
      <c r="F2479" s="190"/>
      <c r="G2479" s="190"/>
    </row>
    <row r="2480" spans="1:7" ht="12.75" customHeight="1">
      <c r="A2480" s="190"/>
      <c r="B2480" s="190"/>
      <c r="C2480" s="190"/>
      <c r="D2480" s="190"/>
      <c r="E2480" s="190"/>
      <c r="F2480" s="190"/>
      <c r="G2480" s="190"/>
    </row>
    <row r="2481" spans="1:7" ht="12.75" customHeight="1">
      <c r="A2481" s="190"/>
      <c r="B2481" s="190"/>
      <c r="C2481" s="190"/>
      <c r="D2481" s="190"/>
      <c r="E2481" s="190"/>
      <c r="F2481" s="190"/>
      <c r="G2481" s="190"/>
    </row>
    <row r="2482" spans="1:7" ht="12.75" customHeight="1">
      <c r="A2482" s="190"/>
      <c r="B2482" s="190"/>
      <c r="C2482" s="190"/>
      <c r="D2482" s="190"/>
      <c r="E2482" s="190"/>
      <c r="F2482" s="190"/>
      <c r="G2482" s="190"/>
    </row>
    <row r="2483" spans="1:7" ht="12.75" customHeight="1">
      <c r="A2483" s="190"/>
      <c r="B2483" s="190"/>
      <c r="C2483" s="190"/>
      <c r="D2483" s="190"/>
      <c r="E2483" s="190"/>
      <c r="F2483" s="190"/>
      <c r="G2483" s="190"/>
    </row>
    <row r="2484" spans="1:7" ht="12.75" customHeight="1">
      <c r="A2484" s="190"/>
      <c r="B2484" s="190"/>
      <c r="C2484" s="190"/>
      <c r="D2484" s="190"/>
      <c r="E2484" s="190"/>
      <c r="F2484" s="190"/>
      <c r="G2484" s="190"/>
    </row>
    <row r="2485" spans="1:7" ht="12.75" customHeight="1">
      <c r="A2485" s="190"/>
      <c r="B2485" s="190"/>
      <c r="C2485" s="190"/>
      <c r="D2485" s="190"/>
      <c r="E2485" s="190"/>
      <c r="F2485" s="190"/>
      <c r="G2485" s="190"/>
    </row>
    <row r="2486" spans="1:7" ht="12.75" customHeight="1">
      <c r="A2486" s="190"/>
      <c r="B2486" s="190"/>
      <c r="C2486" s="190"/>
      <c r="D2486" s="190"/>
      <c r="E2486" s="190"/>
      <c r="F2486" s="190"/>
      <c r="G2486" s="190"/>
    </row>
    <row r="2487" spans="1:7" ht="12.75" customHeight="1">
      <c r="A2487" s="190"/>
      <c r="B2487" s="190"/>
      <c r="C2487" s="190"/>
      <c r="D2487" s="190"/>
      <c r="E2487" s="190"/>
      <c r="F2487" s="190"/>
      <c r="G2487" s="190"/>
    </row>
    <row r="2488" spans="1:7" ht="12.75" customHeight="1">
      <c r="A2488" s="190"/>
      <c r="B2488" s="190"/>
      <c r="C2488" s="190"/>
      <c r="D2488" s="190"/>
      <c r="E2488" s="190"/>
      <c r="F2488" s="190"/>
      <c r="G2488" s="190"/>
    </row>
    <row r="2489" spans="1:7" ht="12.75" customHeight="1">
      <c r="A2489" s="190"/>
      <c r="B2489" s="190"/>
      <c r="C2489" s="190"/>
      <c r="D2489" s="190"/>
      <c r="E2489" s="190"/>
      <c r="F2489" s="190"/>
      <c r="G2489" s="190"/>
    </row>
    <row r="2490" spans="1:7" ht="12.75" customHeight="1">
      <c r="A2490" s="190"/>
      <c r="B2490" s="190"/>
      <c r="C2490" s="190"/>
      <c r="D2490" s="190"/>
      <c r="E2490" s="190"/>
      <c r="F2490" s="190"/>
      <c r="G2490" s="190"/>
    </row>
    <row r="2491" spans="1:7" ht="12.75" customHeight="1">
      <c r="A2491" s="190"/>
      <c r="B2491" s="190"/>
      <c r="C2491" s="190"/>
      <c r="D2491" s="190"/>
      <c r="E2491" s="190"/>
      <c r="F2491" s="190"/>
      <c r="G2491" s="190"/>
    </row>
    <row r="2492" spans="1:7" ht="12.75" customHeight="1">
      <c r="A2492" s="190"/>
      <c r="B2492" s="190"/>
      <c r="C2492" s="190"/>
      <c r="D2492" s="190"/>
      <c r="E2492" s="190"/>
      <c r="F2492" s="190"/>
      <c r="G2492" s="190"/>
    </row>
    <row r="2493" spans="1:7" ht="12.75" customHeight="1">
      <c r="A2493" s="190"/>
      <c r="B2493" s="190"/>
      <c r="C2493" s="190"/>
      <c r="D2493" s="190"/>
      <c r="E2493" s="190"/>
      <c r="F2493" s="190"/>
      <c r="G2493" s="190"/>
    </row>
    <row r="2494" spans="1:7" ht="12.75" customHeight="1">
      <c r="A2494" s="190"/>
      <c r="B2494" s="190"/>
      <c r="C2494" s="190"/>
      <c r="D2494" s="190"/>
      <c r="E2494" s="190"/>
      <c r="F2494" s="190"/>
      <c r="G2494" s="190"/>
    </row>
    <row r="2495" spans="1:7" ht="12.75" customHeight="1">
      <c r="A2495" s="190"/>
      <c r="B2495" s="190"/>
      <c r="C2495" s="190"/>
      <c r="D2495" s="190"/>
      <c r="E2495" s="190"/>
      <c r="F2495" s="190"/>
      <c r="G2495" s="190"/>
    </row>
    <row r="2496" spans="1:7" ht="12.75" customHeight="1">
      <c r="A2496" s="190"/>
      <c r="B2496" s="190"/>
      <c r="C2496" s="190"/>
      <c r="D2496" s="190"/>
      <c r="E2496" s="190"/>
      <c r="F2496" s="190"/>
      <c r="G2496" s="190"/>
    </row>
    <row r="2497" spans="1:7" ht="12.75" customHeight="1">
      <c r="A2497" s="190"/>
      <c r="B2497" s="190"/>
      <c r="C2497" s="190"/>
      <c r="D2497" s="190"/>
      <c r="E2497" s="190"/>
      <c r="F2497" s="190"/>
      <c r="G2497" s="190"/>
    </row>
    <row r="2498" spans="1:7" ht="12.75" customHeight="1">
      <c r="A2498" s="190"/>
      <c r="B2498" s="190"/>
      <c r="C2498" s="190"/>
      <c r="D2498" s="190"/>
      <c r="E2498" s="190"/>
      <c r="F2498" s="190"/>
      <c r="G2498" s="190"/>
    </row>
    <row r="2499" spans="1:7" ht="12.75" customHeight="1">
      <c r="A2499" s="190"/>
      <c r="B2499" s="190"/>
      <c r="C2499" s="190"/>
      <c r="D2499" s="190"/>
      <c r="E2499" s="190"/>
      <c r="F2499" s="190"/>
      <c r="G2499" s="190"/>
    </row>
    <row r="2500" spans="1:7" ht="12.75" customHeight="1">
      <c r="A2500" s="190"/>
      <c r="B2500" s="190"/>
      <c r="C2500" s="190"/>
      <c r="D2500" s="190"/>
      <c r="E2500" s="190"/>
      <c r="F2500" s="190"/>
      <c r="G2500" s="190"/>
    </row>
    <row r="2501" spans="1:7" ht="12.75" customHeight="1">
      <c r="A2501" s="190"/>
      <c r="B2501" s="190"/>
      <c r="C2501" s="190"/>
      <c r="D2501" s="190"/>
      <c r="E2501" s="190"/>
      <c r="F2501" s="190"/>
      <c r="G2501" s="190"/>
    </row>
    <row r="2502" spans="1:7" ht="12.75" customHeight="1">
      <c r="A2502" s="190"/>
      <c r="B2502" s="190"/>
      <c r="C2502" s="190"/>
      <c r="D2502" s="190"/>
      <c r="E2502" s="190"/>
      <c r="F2502" s="190"/>
      <c r="G2502" s="190"/>
    </row>
    <row r="2503" spans="1:7" ht="12.75" customHeight="1">
      <c r="A2503" s="190"/>
      <c r="B2503" s="190"/>
      <c r="C2503" s="190"/>
      <c r="D2503" s="190"/>
      <c r="E2503" s="190"/>
      <c r="F2503" s="190"/>
      <c r="G2503" s="190"/>
    </row>
    <row r="2504" spans="1:7" ht="12.75" customHeight="1">
      <c r="A2504" s="190"/>
      <c r="B2504" s="190"/>
      <c r="C2504" s="190"/>
      <c r="D2504" s="190"/>
      <c r="E2504" s="190"/>
      <c r="F2504" s="190"/>
      <c r="G2504" s="190"/>
    </row>
    <row r="2505" spans="1:7" ht="12.75" customHeight="1">
      <c r="A2505" s="190"/>
      <c r="B2505" s="190"/>
      <c r="C2505" s="190"/>
      <c r="D2505" s="190"/>
      <c r="E2505" s="190"/>
      <c r="F2505" s="190"/>
      <c r="G2505" s="190"/>
    </row>
    <row r="2506" spans="1:7" ht="12.75" customHeight="1">
      <c r="A2506" s="190"/>
      <c r="B2506" s="190"/>
      <c r="C2506" s="190"/>
      <c r="D2506" s="190"/>
      <c r="E2506" s="190"/>
      <c r="F2506" s="190"/>
      <c r="G2506" s="190"/>
    </row>
    <row r="2507" spans="1:7" ht="12.75" customHeight="1">
      <c r="A2507" s="190"/>
      <c r="B2507" s="190"/>
      <c r="C2507" s="190"/>
      <c r="D2507" s="190"/>
      <c r="E2507" s="190"/>
      <c r="F2507" s="190"/>
      <c r="G2507" s="190"/>
    </row>
    <row r="2508" spans="1:7" ht="12.75" customHeight="1">
      <c r="A2508" s="190"/>
      <c r="B2508" s="190"/>
      <c r="C2508" s="190"/>
      <c r="D2508" s="190"/>
      <c r="E2508" s="190"/>
      <c r="F2508" s="190"/>
      <c r="G2508" s="190"/>
    </row>
    <row r="2509" spans="1:7" ht="12.75" customHeight="1">
      <c r="A2509" s="190"/>
      <c r="B2509" s="190"/>
      <c r="C2509" s="190"/>
      <c r="D2509" s="190"/>
      <c r="E2509" s="190"/>
      <c r="F2509" s="190"/>
      <c r="G2509" s="190"/>
    </row>
    <row r="2510" spans="1:7" ht="12.75" customHeight="1">
      <c r="A2510" s="190"/>
      <c r="B2510" s="190"/>
      <c r="C2510" s="190"/>
      <c r="D2510" s="190"/>
      <c r="E2510" s="190"/>
      <c r="F2510" s="190"/>
      <c r="G2510" s="190"/>
    </row>
    <row r="2511" spans="1:7" ht="12.75" customHeight="1">
      <c r="A2511" s="190"/>
      <c r="B2511" s="190"/>
      <c r="C2511" s="190"/>
      <c r="D2511" s="190"/>
      <c r="E2511" s="190"/>
      <c r="F2511" s="190"/>
      <c r="G2511" s="190"/>
    </row>
    <row r="2512" spans="1:7" ht="12.75" customHeight="1">
      <c r="A2512" s="190"/>
      <c r="B2512" s="190"/>
      <c r="C2512" s="190"/>
      <c r="D2512" s="190"/>
      <c r="E2512" s="190"/>
      <c r="F2512" s="190"/>
      <c r="G2512" s="190"/>
    </row>
    <row r="2513" spans="1:7" ht="12.75" customHeight="1">
      <c r="A2513" s="190"/>
      <c r="B2513" s="190"/>
      <c r="C2513" s="190"/>
      <c r="D2513" s="190"/>
      <c r="E2513" s="190"/>
      <c r="F2513" s="190"/>
      <c r="G2513" s="190"/>
    </row>
    <row r="2514" spans="1:7" ht="12.75" customHeight="1">
      <c r="A2514" s="190"/>
      <c r="B2514" s="190"/>
      <c r="C2514" s="190"/>
      <c r="D2514" s="190"/>
      <c r="E2514" s="190"/>
      <c r="F2514" s="190"/>
      <c r="G2514" s="190"/>
    </row>
    <row r="2515" spans="1:7" ht="12.75" customHeight="1">
      <c r="A2515" s="190"/>
      <c r="B2515" s="190"/>
      <c r="C2515" s="190"/>
      <c r="D2515" s="190"/>
      <c r="E2515" s="190"/>
      <c r="F2515" s="190"/>
      <c r="G2515" s="190"/>
    </row>
    <row r="2516" spans="1:7" ht="12.75" customHeight="1">
      <c r="A2516" s="190"/>
      <c r="B2516" s="190"/>
      <c r="C2516" s="190"/>
      <c r="D2516" s="190"/>
      <c r="E2516" s="190"/>
      <c r="F2516" s="190"/>
      <c r="G2516" s="190"/>
    </row>
    <row r="2517" spans="1:7" ht="12.75" customHeight="1">
      <c r="A2517" s="190"/>
      <c r="B2517" s="190"/>
      <c r="C2517" s="190"/>
      <c r="D2517" s="190"/>
      <c r="E2517" s="190"/>
      <c r="F2517" s="190"/>
      <c r="G2517" s="190"/>
    </row>
    <row r="2518" spans="1:7" ht="12.75" customHeight="1">
      <c r="A2518" s="190"/>
      <c r="B2518" s="190"/>
      <c r="C2518" s="190"/>
      <c r="D2518" s="190"/>
      <c r="E2518" s="190"/>
      <c r="F2518" s="190"/>
      <c r="G2518" s="190"/>
    </row>
    <row r="2519" spans="1:7" ht="12.75" customHeight="1">
      <c r="A2519" s="190"/>
      <c r="B2519" s="190"/>
      <c r="C2519" s="190"/>
      <c r="D2519" s="190"/>
      <c r="E2519" s="190"/>
      <c r="F2519" s="190"/>
      <c r="G2519" s="190"/>
    </row>
    <row r="2520" spans="1:7" ht="12.75" customHeight="1">
      <c r="A2520" s="190"/>
      <c r="B2520" s="190"/>
      <c r="C2520" s="190"/>
      <c r="D2520" s="190"/>
      <c r="E2520" s="190"/>
      <c r="F2520" s="190"/>
      <c r="G2520" s="190"/>
    </row>
    <row r="2521" spans="1:7" ht="12.75" customHeight="1">
      <c r="A2521" s="190"/>
      <c r="B2521" s="190"/>
      <c r="C2521" s="190"/>
      <c r="D2521" s="190"/>
      <c r="E2521" s="190"/>
      <c r="F2521" s="190"/>
      <c r="G2521" s="190"/>
    </row>
    <row r="2522" spans="1:7" ht="12.75" customHeight="1">
      <c r="A2522" s="190"/>
      <c r="B2522" s="190"/>
      <c r="C2522" s="190"/>
      <c r="D2522" s="190"/>
      <c r="E2522" s="190"/>
      <c r="F2522" s="190"/>
      <c r="G2522" s="190"/>
    </row>
    <row r="2523" spans="1:7" ht="12.75" customHeight="1">
      <c r="A2523" s="190"/>
      <c r="B2523" s="190"/>
      <c r="C2523" s="190"/>
      <c r="D2523" s="190"/>
      <c r="E2523" s="190"/>
      <c r="F2523" s="190"/>
      <c r="G2523" s="190"/>
    </row>
    <row r="2524" spans="1:7" ht="12.75" customHeight="1">
      <c r="A2524" s="190"/>
      <c r="B2524" s="190"/>
      <c r="C2524" s="190"/>
      <c r="D2524" s="190"/>
      <c r="E2524" s="190"/>
      <c r="F2524" s="190"/>
      <c r="G2524" s="190"/>
    </row>
    <row r="2525" spans="1:7" ht="12.75" customHeight="1">
      <c r="A2525" s="190"/>
      <c r="B2525" s="190"/>
      <c r="C2525" s="190"/>
      <c r="D2525" s="190"/>
      <c r="E2525" s="190"/>
      <c r="F2525" s="190"/>
      <c r="G2525" s="190"/>
    </row>
    <row r="2526" spans="1:7" ht="12.75" customHeight="1">
      <c r="A2526" s="190"/>
      <c r="B2526" s="190"/>
      <c r="C2526" s="190"/>
      <c r="D2526" s="190"/>
      <c r="E2526" s="190"/>
      <c r="F2526" s="190"/>
      <c r="G2526" s="190"/>
    </row>
    <row r="2527" spans="1:7" ht="12.75" customHeight="1">
      <c r="A2527" s="190"/>
      <c r="B2527" s="190"/>
      <c r="C2527" s="190"/>
      <c r="D2527" s="190"/>
      <c r="E2527" s="190"/>
      <c r="F2527" s="190"/>
      <c r="G2527" s="190"/>
    </row>
    <row r="2528" spans="1:7" ht="12.75" customHeight="1">
      <c r="A2528" s="190"/>
      <c r="B2528" s="190"/>
      <c r="C2528" s="190"/>
      <c r="D2528" s="190"/>
      <c r="E2528" s="190"/>
      <c r="F2528" s="190"/>
      <c r="G2528" s="190"/>
    </row>
    <row r="2529" spans="1:7" ht="12.75" customHeight="1">
      <c r="A2529" s="190"/>
      <c r="B2529" s="190"/>
      <c r="C2529" s="190"/>
      <c r="D2529" s="190"/>
      <c r="E2529" s="190"/>
      <c r="F2529" s="190"/>
      <c r="G2529" s="190"/>
    </row>
    <row r="2530" spans="1:7" ht="12.75" customHeight="1">
      <c r="A2530" s="190"/>
      <c r="B2530" s="190"/>
      <c r="C2530" s="190"/>
      <c r="D2530" s="190"/>
      <c r="E2530" s="190"/>
      <c r="F2530" s="190"/>
      <c r="G2530" s="190"/>
    </row>
    <row r="2531" spans="1:7" ht="12.75" customHeight="1">
      <c r="A2531" s="190"/>
      <c r="B2531" s="190"/>
      <c r="C2531" s="190"/>
      <c r="D2531" s="190"/>
      <c r="E2531" s="190"/>
      <c r="F2531" s="190"/>
      <c r="G2531" s="190"/>
    </row>
    <row r="2532" spans="1:7" ht="12.75" customHeight="1">
      <c r="A2532" s="190"/>
      <c r="B2532" s="190"/>
      <c r="C2532" s="190"/>
      <c r="D2532" s="190"/>
      <c r="E2532" s="190"/>
      <c r="F2532" s="190"/>
      <c r="G2532" s="190"/>
    </row>
    <row r="2533" spans="1:7" ht="12.75" customHeight="1">
      <c r="A2533" s="190"/>
      <c r="B2533" s="190"/>
      <c r="C2533" s="190"/>
      <c r="D2533" s="190"/>
      <c r="E2533" s="190"/>
      <c r="F2533" s="190"/>
      <c r="G2533" s="190"/>
    </row>
    <row r="2534" spans="1:7" ht="12.75" customHeight="1">
      <c r="A2534" s="190"/>
      <c r="B2534" s="190"/>
      <c r="C2534" s="190"/>
      <c r="D2534" s="190"/>
      <c r="E2534" s="190"/>
      <c r="F2534" s="190"/>
      <c r="G2534" s="190"/>
    </row>
    <row r="2535" spans="1:7" ht="12.75" customHeight="1">
      <c r="A2535" s="190"/>
      <c r="B2535" s="190"/>
      <c r="C2535" s="190"/>
      <c r="D2535" s="190"/>
      <c r="E2535" s="190"/>
      <c r="F2535" s="190"/>
      <c r="G2535" s="190"/>
    </row>
    <row r="2536" spans="1:7" ht="12.75" customHeight="1">
      <c r="A2536" s="190"/>
      <c r="B2536" s="190"/>
      <c r="C2536" s="190"/>
      <c r="D2536" s="190"/>
      <c r="E2536" s="190"/>
      <c r="F2536" s="190"/>
      <c r="G2536" s="190"/>
    </row>
    <row r="2537" spans="1:7" ht="12.75" customHeight="1">
      <c r="A2537" s="190"/>
      <c r="B2537" s="190"/>
      <c r="C2537" s="190"/>
      <c r="D2537" s="190"/>
      <c r="E2537" s="190"/>
      <c r="F2537" s="190"/>
      <c r="G2537" s="190"/>
    </row>
    <row r="2538" spans="1:7" ht="12.75" customHeight="1">
      <c r="A2538" s="190"/>
      <c r="B2538" s="190"/>
      <c r="C2538" s="190"/>
      <c r="D2538" s="190"/>
      <c r="E2538" s="190"/>
      <c r="F2538" s="190"/>
      <c r="G2538" s="190"/>
    </row>
    <row r="2539" spans="1:7" ht="12.75" customHeight="1">
      <c r="A2539" s="190"/>
      <c r="B2539" s="190"/>
      <c r="C2539" s="190"/>
      <c r="D2539" s="190"/>
      <c r="E2539" s="190"/>
      <c r="F2539" s="190"/>
      <c r="G2539" s="190"/>
    </row>
    <row r="2540" spans="1:7" ht="12.75" customHeight="1">
      <c r="A2540" s="190"/>
      <c r="B2540" s="190"/>
      <c r="C2540" s="190"/>
      <c r="D2540" s="190"/>
      <c r="E2540" s="190"/>
      <c r="F2540" s="190"/>
      <c r="G2540" s="190"/>
    </row>
    <row r="2541" spans="1:7" ht="12.75" customHeight="1">
      <c r="A2541" s="190"/>
      <c r="B2541" s="190"/>
      <c r="C2541" s="190"/>
      <c r="D2541" s="190"/>
      <c r="E2541" s="190"/>
      <c r="F2541" s="190"/>
      <c r="G2541" s="190"/>
    </row>
    <row r="2542" spans="1:7" ht="12.75" customHeight="1">
      <c r="A2542" s="190"/>
      <c r="B2542" s="190"/>
      <c r="C2542" s="190"/>
      <c r="D2542" s="190"/>
      <c r="E2542" s="190"/>
      <c r="F2542" s="190"/>
      <c r="G2542" s="190"/>
    </row>
    <row r="2543" spans="1:7" ht="12.75" customHeight="1">
      <c r="A2543" s="190"/>
      <c r="B2543" s="190"/>
      <c r="C2543" s="190"/>
      <c r="D2543" s="190"/>
      <c r="E2543" s="190"/>
      <c r="F2543" s="190"/>
      <c r="G2543" s="190"/>
    </row>
    <row r="2544" spans="1:7" ht="12.75" customHeight="1">
      <c r="A2544" s="190"/>
      <c r="B2544" s="190"/>
      <c r="C2544" s="190"/>
      <c r="D2544" s="190"/>
      <c r="E2544" s="190"/>
      <c r="F2544" s="190"/>
      <c r="G2544" s="190"/>
    </row>
    <row r="2545" spans="1:7" ht="12.75" customHeight="1">
      <c r="A2545" s="190"/>
      <c r="B2545" s="190"/>
      <c r="C2545" s="190"/>
      <c r="D2545" s="190"/>
      <c r="E2545" s="190"/>
      <c r="F2545" s="190"/>
      <c r="G2545" s="190"/>
    </row>
    <row r="2546" spans="1:7" ht="12.75" customHeight="1">
      <c r="A2546" s="190"/>
      <c r="B2546" s="190"/>
      <c r="C2546" s="190"/>
      <c r="D2546" s="190"/>
      <c r="E2546" s="190"/>
      <c r="F2546" s="190"/>
      <c r="G2546" s="190"/>
    </row>
    <row r="2547" spans="1:7" ht="12.75" customHeight="1">
      <c r="A2547" s="190"/>
      <c r="B2547" s="190"/>
      <c r="C2547" s="190"/>
      <c r="D2547" s="190"/>
      <c r="E2547" s="190"/>
      <c r="F2547" s="190"/>
      <c r="G2547" s="190"/>
    </row>
    <row r="2548" spans="1:7" ht="12.75" customHeight="1">
      <c r="A2548" s="190"/>
      <c r="B2548" s="190"/>
      <c r="C2548" s="190"/>
      <c r="D2548" s="190"/>
      <c r="E2548" s="190"/>
      <c r="F2548" s="190"/>
      <c r="G2548" s="190"/>
    </row>
    <row r="2549" spans="1:7" ht="12.75" customHeight="1">
      <c r="A2549" s="190"/>
      <c r="B2549" s="190"/>
      <c r="C2549" s="190"/>
      <c r="D2549" s="190"/>
      <c r="E2549" s="190"/>
      <c r="F2549" s="190"/>
      <c r="G2549" s="190"/>
    </row>
    <row r="2550" spans="1:7" ht="12.75" customHeight="1">
      <c r="A2550" s="190"/>
      <c r="B2550" s="190"/>
      <c r="C2550" s="190"/>
      <c r="D2550" s="190"/>
      <c r="E2550" s="190"/>
      <c r="F2550" s="190"/>
      <c r="G2550" s="190"/>
    </row>
    <row r="2551" spans="1:7" ht="12.75" customHeight="1">
      <c r="A2551" s="190"/>
      <c r="B2551" s="190"/>
      <c r="C2551" s="190"/>
      <c r="D2551" s="190"/>
      <c r="E2551" s="190"/>
      <c r="F2551" s="190"/>
      <c r="G2551" s="190"/>
    </row>
    <row r="2552" spans="1:7" ht="12.75" customHeight="1">
      <c r="A2552" s="190"/>
      <c r="B2552" s="190"/>
      <c r="C2552" s="190"/>
      <c r="D2552" s="190"/>
      <c r="E2552" s="190"/>
      <c r="F2552" s="190"/>
      <c r="G2552" s="190"/>
    </row>
    <row r="2553" spans="1:7" ht="12.75" customHeight="1">
      <c r="A2553" s="190"/>
      <c r="B2553" s="190"/>
      <c r="C2553" s="190"/>
      <c r="D2553" s="190"/>
      <c r="E2553" s="190"/>
      <c r="F2553" s="190"/>
      <c r="G2553" s="190"/>
    </row>
    <row r="2554" spans="1:7" ht="12.75" customHeight="1">
      <c r="A2554" s="190"/>
      <c r="B2554" s="190"/>
      <c r="C2554" s="190"/>
      <c r="D2554" s="190"/>
      <c r="E2554" s="190"/>
      <c r="F2554" s="190"/>
      <c r="G2554" s="190"/>
    </row>
    <row r="2555" spans="1:7" ht="12.75" customHeight="1">
      <c r="A2555" s="190"/>
      <c r="B2555" s="190"/>
      <c r="C2555" s="190"/>
      <c r="D2555" s="190"/>
      <c r="E2555" s="190"/>
      <c r="F2555" s="190"/>
      <c r="G2555" s="190"/>
    </row>
    <row r="2556" spans="1:7" ht="12.75" customHeight="1">
      <c r="A2556" s="190"/>
      <c r="B2556" s="190"/>
      <c r="C2556" s="190"/>
      <c r="D2556" s="190"/>
      <c r="E2556" s="190"/>
      <c r="F2556" s="190"/>
      <c r="G2556" s="190"/>
    </row>
    <row r="2557" spans="1:7" ht="12.75" customHeight="1">
      <c r="A2557" s="190"/>
      <c r="B2557" s="190"/>
      <c r="C2557" s="190"/>
      <c r="D2557" s="190"/>
      <c r="E2557" s="190"/>
      <c r="F2557" s="190"/>
      <c r="G2557" s="190"/>
    </row>
    <row r="2558" spans="1:7" ht="12.75" customHeight="1">
      <c r="A2558" s="190"/>
      <c r="B2558" s="190"/>
      <c r="C2558" s="190"/>
      <c r="D2558" s="190"/>
      <c r="E2558" s="190"/>
      <c r="F2558" s="190"/>
      <c r="G2558" s="190"/>
    </row>
    <row r="2559" spans="1:7" ht="12.75" customHeight="1">
      <c r="A2559" s="190"/>
      <c r="B2559" s="190"/>
      <c r="C2559" s="190"/>
      <c r="D2559" s="190"/>
      <c r="E2559" s="190"/>
      <c r="F2559" s="190"/>
      <c r="G2559" s="190"/>
    </row>
    <row r="2560" spans="1:7" ht="12.75" customHeight="1">
      <c r="A2560" s="190"/>
      <c r="B2560" s="190"/>
      <c r="C2560" s="190"/>
      <c r="D2560" s="190"/>
      <c r="E2560" s="190"/>
      <c r="F2560" s="190"/>
      <c r="G2560" s="190"/>
    </row>
    <row r="2561" spans="1:7" ht="12.75" customHeight="1">
      <c r="A2561" s="190"/>
      <c r="B2561" s="190"/>
      <c r="C2561" s="190"/>
      <c r="D2561" s="190"/>
      <c r="E2561" s="190"/>
      <c r="F2561" s="190"/>
      <c r="G2561" s="190"/>
    </row>
    <row r="2562" spans="1:7" ht="12.75" customHeight="1">
      <c r="A2562" s="190"/>
      <c r="B2562" s="190"/>
      <c r="C2562" s="190"/>
      <c r="D2562" s="190"/>
      <c r="E2562" s="190"/>
      <c r="F2562" s="190"/>
      <c r="G2562" s="190"/>
    </row>
    <row r="2563" spans="1:7" ht="12.75" customHeight="1">
      <c r="A2563" s="190"/>
      <c r="B2563" s="190"/>
      <c r="C2563" s="190"/>
      <c r="D2563" s="190"/>
      <c r="E2563" s="190"/>
      <c r="F2563" s="190"/>
      <c r="G2563" s="190"/>
    </row>
    <row r="2564" spans="1:7" ht="12.75" customHeight="1">
      <c r="A2564" s="190"/>
      <c r="B2564" s="190"/>
      <c r="C2564" s="190"/>
      <c r="D2564" s="190"/>
      <c r="E2564" s="190"/>
      <c r="F2564" s="190"/>
      <c r="G2564" s="190"/>
    </row>
    <row r="2565" spans="1:7" ht="12.75" customHeight="1">
      <c r="A2565" s="190"/>
      <c r="B2565" s="190"/>
      <c r="C2565" s="190"/>
      <c r="D2565" s="190"/>
      <c r="E2565" s="190"/>
      <c r="F2565" s="190"/>
      <c r="G2565" s="190"/>
    </row>
    <row r="2566" spans="1:7" ht="12.75" customHeight="1">
      <c r="A2566" s="190"/>
      <c r="B2566" s="190"/>
      <c r="C2566" s="190"/>
      <c r="D2566" s="190"/>
      <c r="E2566" s="190"/>
      <c r="F2566" s="190"/>
      <c r="G2566" s="190"/>
    </row>
    <row r="2567" spans="1:7" ht="12.75" customHeight="1">
      <c r="A2567" s="190"/>
      <c r="B2567" s="190"/>
      <c r="C2567" s="190"/>
      <c r="D2567" s="190"/>
      <c r="E2567" s="190"/>
      <c r="F2567" s="190"/>
      <c r="G2567" s="190"/>
    </row>
    <row r="2568" spans="1:7" ht="12.75" customHeight="1">
      <c r="A2568" s="190"/>
      <c r="B2568" s="190"/>
      <c r="C2568" s="190"/>
      <c r="D2568" s="190"/>
      <c r="E2568" s="190"/>
      <c r="F2568" s="190"/>
      <c r="G2568" s="190"/>
    </row>
    <row r="2569" spans="1:7" ht="12.75" customHeight="1">
      <c r="A2569" s="190"/>
      <c r="B2569" s="190"/>
      <c r="C2569" s="190"/>
      <c r="D2569" s="190"/>
      <c r="E2569" s="190"/>
      <c r="F2569" s="190"/>
      <c r="G2569" s="190"/>
    </row>
    <row r="2570" spans="1:7" ht="12.75" customHeight="1">
      <c r="A2570" s="190"/>
      <c r="B2570" s="190"/>
      <c r="C2570" s="190"/>
      <c r="D2570" s="190"/>
      <c r="E2570" s="190"/>
      <c r="F2570" s="190"/>
      <c r="G2570" s="190"/>
    </row>
    <row r="2571" spans="1:7" ht="12.75" customHeight="1">
      <c r="A2571" s="190"/>
      <c r="B2571" s="190"/>
      <c r="C2571" s="190"/>
      <c r="D2571" s="190"/>
      <c r="E2571" s="190"/>
      <c r="F2571" s="190"/>
      <c r="G2571" s="190"/>
    </row>
    <row r="2572" spans="1:7" ht="12.75" customHeight="1">
      <c r="A2572" s="190"/>
      <c r="B2572" s="190"/>
      <c r="C2572" s="190"/>
      <c r="D2572" s="190"/>
      <c r="E2572" s="190"/>
      <c r="F2572" s="190"/>
      <c r="G2572" s="190"/>
    </row>
    <row r="2573" spans="1:7" ht="12.75" customHeight="1">
      <c r="A2573" s="190"/>
      <c r="B2573" s="190"/>
      <c r="C2573" s="190"/>
      <c r="D2573" s="190"/>
      <c r="E2573" s="190"/>
      <c r="F2573" s="190"/>
      <c r="G2573" s="190"/>
    </row>
    <row r="2574" spans="1:7" ht="12.75" customHeight="1">
      <c r="A2574" s="190"/>
      <c r="B2574" s="190"/>
      <c r="C2574" s="190"/>
      <c r="D2574" s="190"/>
      <c r="E2574" s="190"/>
      <c r="F2574" s="190"/>
      <c r="G2574" s="190"/>
    </row>
    <row r="2575" spans="1:7" ht="12.75" customHeight="1">
      <c r="A2575" s="190"/>
      <c r="B2575" s="190"/>
      <c r="C2575" s="190"/>
      <c r="D2575" s="190"/>
      <c r="E2575" s="190"/>
      <c r="F2575" s="190"/>
      <c r="G2575" s="190"/>
    </row>
    <row r="2576" spans="1:7" ht="12.75" customHeight="1">
      <c r="A2576" s="190"/>
      <c r="B2576" s="190"/>
      <c r="C2576" s="190"/>
      <c r="D2576" s="190"/>
      <c r="E2576" s="190"/>
      <c r="F2576" s="190"/>
      <c r="G2576" s="190"/>
    </row>
    <row r="2577" spans="1:7" ht="12.75" customHeight="1">
      <c r="A2577" s="190"/>
      <c r="B2577" s="190"/>
      <c r="C2577" s="190"/>
      <c r="D2577" s="190"/>
      <c r="E2577" s="190"/>
      <c r="F2577" s="190"/>
      <c r="G2577" s="190"/>
    </row>
    <row r="2578" spans="1:7" ht="12.75" customHeight="1">
      <c r="A2578" s="190"/>
      <c r="B2578" s="190"/>
      <c r="C2578" s="190"/>
      <c r="D2578" s="190"/>
      <c r="E2578" s="190"/>
      <c r="F2578" s="190"/>
      <c r="G2578" s="190"/>
    </row>
    <row r="2579" spans="1:7" ht="12.75" customHeight="1">
      <c r="A2579" s="190"/>
      <c r="B2579" s="190"/>
      <c r="C2579" s="190"/>
      <c r="D2579" s="190"/>
      <c r="E2579" s="190"/>
      <c r="F2579" s="190"/>
      <c r="G2579" s="190"/>
    </row>
    <row r="2580" spans="1:7" ht="12.75" customHeight="1">
      <c r="A2580" s="190"/>
      <c r="B2580" s="190"/>
      <c r="C2580" s="190"/>
      <c r="D2580" s="190"/>
      <c r="E2580" s="190"/>
      <c r="F2580" s="190"/>
      <c r="G2580" s="190"/>
    </row>
    <row r="2581" spans="1:7" ht="12.75" customHeight="1">
      <c r="A2581" s="190"/>
      <c r="B2581" s="190"/>
      <c r="C2581" s="190"/>
      <c r="D2581" s="190"/>
      <c r="E2581" s="190"/>
      <c r="F2581" s="190"/>
      <c r="G2581" s="190"/>
    </row>
    <row r="2582" spans="1:7" ht="12.75" customHeight="1">
      <c r="A2582" s="190"/>
      <c r="B2582" s="190"/>
      <c r="C2582" s="190"/>
      <c r="D2582" s="190"/>
      <c r="E2582" s="190"/>
      <c r="F2582" s="190"/>
      <c r="G2582" s="190"/>
    </row>
    <row r="2583" spans="1:7" ht="12.75" customHeight="1">
      <c r="A2583" s="190"/>
      <c r="B2583" s="190"/>
      <c r="C2583" s="190"/>
      <c r="D2583" s="190"/>
      <c r="E2583" s="190"/>
      <c r="F2583" s="190"/>
      <c r="G2583" s="190"/>
    </row>
    <row r="2584" spans="1:7" ht="12.75" customHeight="1">
      <c r="A2584" s="190"/>
      <c r="B2584" s="190"/>
      <c r="C2584" s="190"/>
      <c r="D2584" s="190"/>
      <c r="E2584" s="190"/>
      <c r="F2584" s="190"/>
      <c r="G2584" s="190"/>
    </row>
    <row r="2585" spans="1:7" ht="12.75" customHeight="1">
      <c r="A2585" s="190"/>
      <c r="B2585" s="190"/>
      <c r="C2585" s="190"/>
      <c r="D2585" s="190"/>
      <c r="E2585" s="190"/>
      <c r="F2585" s="190"/>
      <c r="G2585" s="190"/>
    </row>
    <row r="2586" spans="1:7" ht="12.75" customHeight="1">
      <c r="A2586" s="190"/>
      <c r="B2586" s="190"/>
      <c r="C2586" s="190"/>
      <c r="D2586" s="190"/>
      <c r="E2586" s="190"/>
      <c r="F2586" s="190"/>
      <c r="G2586" s="190"/>
    </row>
    <row r="2587" spans="1:7" ht="12.75" customHeight="1">
      <c r="A2587" s="190"/>
      <c r="B2587" s="190"/>
      <c r="C2587" s="190"/>
      <c r="D2587" s="190"/>
      <c r="E2587" s="190"/>
      <c r="F2587" s="190"/>
      <c r="G2587" s="190"/>
    </row>
    <row r="2588" spans="1:7" ht="12.75" customHeight="1">
      <c r="A2588" s="190"/>
      <c r="B2588" s="190"/>
      <c r="C2588" s="190"/>
      <c r="D2588" s="190"/>
      <c r="E2588" s="190"/>
      <c r="F2588" s="190"/>
      <c r="G2588" s="190"/>
    </row>
    <row r="2589" spans="1:7" ht="12.75" customHeight="1">
      <c r="A2589" s="190"/>
      <c r="B2589" s="190"/>
      <c r="C2589" s="190"/>
      <c r="D2589" s="190"/>
      <c r="E2589" s="190"/>
      <c r="F2589" s="190"/>
      <c r="G2589" s="190"/>
    </row>
    <row r="2590" spans="1:7" ht="12.75" customHeight="1">
      <c r="A2590" s="190"/>
      <c r="B2590" s="190"/>
      <c r="C2590" s="190"/>
      <c r="D2590" s="190"/>
      <c r="E2590" s="190"/>
      <c r="F2590" s="190"/>
      <c r="G2590" s="190"/>
    </row>
    <row r="2591" spans="1:7" ht="12.75" customHeight="1">
      <c r="A2591" s="190"/>
      <c r="B2591" s="190"/>
      <c r="C2591" s="190"/>
      <c r="D2591" s="190"/>
      <c r="E2591" s="190"/>
      <c r="F2591" s="190"/>
      <c r="G2591" s="190"/>
    </row>
    <row r="2592" spans="1:7" ht="12.75" customHeight="1">
      <c r="A2592" s="190"/>
      <c r="B2592" s="190"/>
      <c r="C2592" s="190"/>
      <c r="D2592" s="190"/>
      <c r="E2592" s="190"/>
      <c r="F2592" s="190"/>
      <c r="G2592" s="190"/>
    </row>
    <row r="2593" spans="1:7" ht="12.75" customHeight="1">
      <c r="A2593" s="190"/>
      <c r="B2593" s="190"/>
      <c r="C2593" s="190"/>
      <c r="D2593" s="190"/>
      <c r="E2593" s="190"/>
      <c r="F2593" s="190"/>
      <c r="G2593" s="190"/>
    </row>
    <row r="2594" spans="1:7" ht="12.75" customHeight="1">
      <c r="A2594" s="190"/>
      <c r="B2594" s="190"/>
      <c r="C2594" s="190"/>
      <c r="D2594" s="190"/>
      <c r="E2594" s="190"/>
      <c r="F2594" s="190"/>
      <c r="G2594" s="190"/>
    </row>
    <row r="2595" spans="1:7" ht="12.75" customHeight="1">
      <c r="A2595" s="190"/>
      <c r="B2595" s="190"/>
      <c r="C2595" s="190"/>
      <c r="D2595" s="190"/>
      <c r="E2595" s="190"/>
      <c r="F2595" s="190"/>
      <c r="G2595" s="190"/>
    </row>
    <row r="2596" spans="1:7" ht="12.75" customHeight="1">
      <c r="A2596" s="190"/>
      <c r="B2596" s="190"/>
      <c r="C2596" s="190"/>
      <c r="D2596" s="190"/>
      <c r="E2596" s="190"/>
      <c r="F2596" s="190"/>
      <c r="G2596" s="190"/>
    </row>
    <row r="2597" spans="1:7" ht="12.75" customHeight="1">
      <c r="A2597" s="190"/>
      <c r="B2597" s="190"/>
      <c r="C2597" s="190"/>
      <c r="D2597" s="190"/>
      <c r="E2597" s="190"/>
      <c r="F2597" s="190"/>
      <c r="G2597" s="190"/>
    </row>
    <row r="2598" spans="1:7" ht="12.75" customHeight="1">
      <c r="A2598" s="190"/>
      <c r="B2598" s="190"/>
      <c r="C2598" s="190"/>
      <c r="D2598" s="190"/>
      <c r="E2598" s="190"/>
      <c r="F2598" s="190"/>
      <c r="G2598" s="190"/>
    </row>
    <row r="2599" spans="1:7" ht="12.75" customHeight="1">
      <c r="A2599" s="190"/>
      <c r="B2599" s="190"/>
      <c r="C2599" s="190"/>
      <c r="D2599" s="190"/>
      <c r="E2599" s="190"/>
      <c r="F2599" s="190"/>
      <c r="G2599" s="190"/>
    </row>
    <row r="2600" spans="1:7" ht="12.75" customHeight="1">
      <c r="A2600" s="190"/>
      <c r="B2600" s="190"/>
      <c r="C2600" s="190"/>
      <c r="D2600" s="190"/>
      <c r="E2600" s="190"/>
      <c r="F2600" s="190"/>
      <c r="G2600" s="190"/>
    </row>
    <row r="2601" spans="1:7" ht="12.75" customHeight="1">
      <c r="A2601" s="190"/>
      <c r="B2601" s="190"/>
      <c r="C2601" s="190"/>
      <c r="D2601" s="190"/>
      <c r="E2601" s="190"/>
      <c r="F2601" s="190"/>
      <c r="G2601" s="190"/>
    </row>
    <row r="2602" spans="1:7" ht="12.75" customHeight="1">
      <c r="A2602" s="190"/>
      <c r="B2602" s="190"/>
      <c r="C2602" s="190"/>
      <c r="D2602" s="190"/>
      <c r="E2602" s="190"/>
      <c r="F2602" s="190"/>
      <c r="G2602" s="190"/>
    </row>
    <row r="2603" spans="1:7" ht="12.75" customHeight="1">
      <c r="A2603" s="190"/>
      <c r="B2603" s="190"/>
      <c r="C2603" s="190"/>
      <c r="D2603" s="190"/>
      <c r="E2603" s="190"/>
      <c r="F2603" s="190"/>
      <c r="G2603" s="190"/>
    </row>
    <row r="2604" spans="1:7" ht="12.75" customHeight="1">
      <c r="A2604" s="190"/>
      <c r="B2604" s="190"/>
      <c r="C2604" s="190"/>
      <c r="D2604" s="190"/>
      <c r="E2604" s="190"/>
      <c r="F2604" s="190"/>
      <c r="G2604" s="190"/>
    </row>
    <row r="2605" spans="1:7" ht="12.75" customHeight="1">
      <c r="A2605" s="190"/>
      <c r="B2605" s="190"/>
      <c r="C2605" s="190"/>
      <c r="D2605" s="190"/>
      <c r="E2605" s="190"/>
      <c r="F2605" s="190"/>
      <c r="G2605" s="190"/>
    </row>
    <row r="2606" spans="1:7" ht="12.75" customHeight="1">
      <c r="A2606" s="190"/>
      <c r="B2606" s="190"/>
      <c r="C2606" s="190"/>
      <c r="D2606" s="190"/>
      <c r="E2606" s="190"/>
      <c r="F2606" s="190"/>
      <c r="G2606" s="190"/>
    </row>
    <row r="2607" spans="1:7" ht="12.75" customHeight="1">
      <c r="A2607" s="190"/>
      <c r="B2607" s="190"/>
      <c r="C2607" s="190"/>
      <c r="D2607" s="190"/>
      <c r="E2607" s="190"/>
      <c r="F2607" s="190"/>
      <c r="G2607" s="190"/>
    </row>
    <row r="2608" spans="1:7" ht="12.75" customHeight="1">
      <c r="A2608" s="190"/>
      <c r="B2608" s="190"/>
      <c r="C2608" s="190"/>
      <c r="D2608" s="190"/>
      <c r="E2608" s="190"/>
      <c r="F2608" s="190"/>
      <c r="G2608" s="190"/>
    </row>
    <row r="2609" spans="1:7" ht="12.75" customHeight="1">
      <c r="A2609" s="190"/>
      <c r="B2609" s="190"/>
      <c r="C2609" s="190"/>
      <c r="D2609" s="190"/>
      <c r="E2609" s="190"/>
      <c r="F2609" s="190"/>
      <c r="G2609" s="190"/>
    </row>
    <row r="2610" spans="1:7" ht="12.75" customHeight="1">
      <c r="A2610" s="190"/>
      <c r="B2610" s="190"/>
      <c r="C2610" s="190"/>
      <c r="D2610" s="190"/>
      <c r="E2610" s="190"/>
      <c r="F2610" s="190"/>
      <c r="G2610" s="190"/>
    </row>
    <row r="2611" spans="1:7" ht="12.75" customHeight="1">
      <c r="A2611" s="190"/>
      <c r="B2611" s="190"/>
      <c r="C2611" s="190"/>
      <c r="D2611" s="190"/>
      <c r="E2611" s="190"/>
      <c r="F2611" s="190"/>
      <c r="G2611" s="190"/>
    </row>
    <row r="2612" spans="1:7" ht="12.75" customHeight="1">
      <c r="A2612" s="190"/>
      <c r="B2612" s="190"/>
      <c r="C2612" s="190"/>
      <c r="D2612" s="190"/>
      <c r="E2612" s="190"/>
      <c r="F2612" s="190"/>
      <c r="G2612" s="190"/>
    </row>
    <row r="2613" spans="1:7" ht="12.75" customHeight="1">
      <c r="A2613" s="190"/>
      <c r="B2613" s="190"/>
      <c r="C2613" s="190"/>
      <c r="D2613" s="190"/>
      <c r="E2613" s="190"/>
      <c r="F2613" s="190"/>
      <c r="G2613" s="190"/>
    </row>
    <row r="2614" spans="1:7" ht="12.75" customHeight="1">
      <c r="A2614" s="190"/>
      <c r="B2614" s="190"/>
      <c r="C2614" s="190"/>
      <c r="D2614" s="190"/>
      <c r="E2614" s="190"/>
      <c r="F2614" s="190"/>
      <c r="G2614" s="190"/>
    </row>
    <row r="2615" spans="1:7" ht="12.75" customHeight="1">
      <c r="A2615" s="190"/>
      <c r="B2615" s="190"/>
      <c r="C2615" s="190"/>
      <c r="D2615" s="190"/>
      <c r="E2615" s="190"/>
      <c r="F2615" s="190"/>
      <c r="G2615" s="190"/>
    </row>
    <row r="2616" spans="1:7" ht="12.75" customHeight="1">
      <c r="A2616" s="190"/>
      <c r="B2616" s="190"/>
      <c r="C2616" s="190"/>
      <c r="D2616" s="190"/>
      <c r="E2616" s="190"/>
      <c r="F2616" s="190"/>
      <c r="G2616" s="190"/>
    </row>
    <row r="2617" spans="1:7" ht="12.75" customHeight="1">
      <c r="A2617" s="190"/>
      <c r="B2617" s="190"/>
      <c r="C2617" s="190"/>
      <c r="D2617" s="190"/>
      <c r="E2617" s="190"/>
      <c r="F2617" s="190"/>
      <c r="G2617" s="190"/>
    </row>
    <row r="2618" spans="1:7" ht="12.75" customHeight="1">
      <c r="A2618" s="190"/>
      <c r="B2618" s="190"/>
      <c r="C2618" s="190"/>
      <c r="D2618" s="190"/>
      <c r="E2618" s="190"/>
      <c r="F2618" s="190"/>
      <c r="G2618" s="190"/>
    </row>
    <row r="2619" spans="1:7" ht="12.75" customHeight="1">
      <c r="A2619" s="190"/>
      <c r="B2619" s="190"/>
      <c r="C2619" s="190"/>
      <c r="D2619" s="190"/>
      <c r="E2619" s="190"/>
      <c r="F2619" s="190"/>
      <c r="G2619" s="190"/>
    </row>
    <row r="2620" spans="1:7" ht="12.75" customHeight="1">
      <c r="A2620" s="190"/>
      <c r="B2620" s="190"/>
      <c r="C2620" s="190"/>
      <c r="D2620" s="190"/>
      <c r="E2620" s="190"/>
      <c r="F2620" s="190"/>
      <c r="G2620" s="190"/>
    </row>
    <row r="2621" spans="1:7" ht="12.75" customHeight="1">
      <c r="A2621" s="190"/>
      <c r="B2621" s="190"/>
      <c r="C2621" s="190"/>
      <c r="D2621" s="190"/>
      <c r="E2621" s="190"/>
      <c r="F2621" s="190"/>
      <c r="G2621" s="190"/>
    </row>
    <row r="2622" spans="1:7" ht="12.75" customHeight="1">
      <c r="A2622" s="190"/>
      <c r="B2622" s="190"/>
      <c r="C2622" s="190"/>
      <c r="D2622" s="190"/>
      <c r="E2622" s="190"/>
      <c r="F2622" s="190"/>
      <c r="G2622" s="190"/>
    </row>
    <row r="2623" spans="1:7" ht="12.75" customHeight="1">
      <c r="A2623" s="190"/>
      <c r="B2623" s="190"/>
      <c r="C2623" s="190"/>
      <c r="D2623" s="190"/>
      <c r="E2623" s="190"/>
      <c r="F2623" s="190"/>
      <c r="G2623" s="190"/>
    </row>
    <row r="2624" spans="1:7" ht="12.75" customHeight="1">
      <c r="A2624" s="190"/>
      <c r="B2624" s="190"/>
      <c r="C2624" s="190"/>
      <c r="D2624" s="190"/>
      <c r="E2624" s="190"/>
      <c r="F2624" s="190"/>
      <c r="G2624" s="190"/>
    </row>
    <row r="2625" spans="1:7" ht="12.75" customHeight="1">
      <c r="A2625" s="190"/>
      <c r="B2625" s="190"/>
      <c r="C2625" s="190"/>
      <c r="D2625" s="190"/>
      <c r="E2625" s="190"/>
      <c r="F2625" s="190"/>
      <c r="G2625" s="190"/>
    </row>
    <row r="2626" spans="1:7" ht="12.75" customHeight="1">
      <c r="A2626" s="190"/>
      <c r="B2626" s="190"/>
      <c r="C2626" s="190"/>
      <c r="D2626" s="190"/>
      <c r="E2626" s="190"/>
      <c r="F2626" s="190"/>
      <c r="G2626" s="190"/>
    </row>
    <row r="2627" spans="1:7" ht="12.75" customHeight="1">
      <c r="A2627" s="190"/>
      <c r="B2627" s="190"/>
      <c r="C2627" s="190"/>
      <c r="D2627" s="190"/>
      <c r="E2627" s="190"/>
      <c r="F2627" s="190"/>
      <c r="G2627" s="190"/>
    </row>
    <row r="2628" spans="1:7" ht="12.75" customHeight="1">
      <c r="A2628" s="190"/>
      <c r="B2628" s="190"/>
      <c r="C2628" s="190"/>
      <c r="D2628" s="190"/>
      <c r="E2628" s="190"/>
      <c r="F2628" s="190"/>
      <c r="G2628" s="190"/>
    </row>
    <row r="2629" spans="1:7" ht="12.75" customHeight="1">
      <c r="A2629" s="190"/>
      <c r="B2629" s="190"/>
      <c r="C2629" s="190"/>
      <c r="D2629" s="190"/>
      <c r="E2629" s="190"/>
      <c r="F2629" s="190"/>
      <c r="G2629" s="190"/>
    </row>
    <row r="2630" spans="1:7" ht="12.75" customHeight="1">
      <c r="A2630" s="190"/>
      <c r="B2630" s="190"/>
      <c r="C2630" s="190"/>
      <c r="D2630" s="190"/>
      <c r="E2630" s="190"/>
      <c r="F2630" s="190"/>
      <c r="G2630" s="190"/>
    </row>
    <row r="2631" spans="1:7" ht="12.75" customHeight="1">
      <c r="A2631" s="190"/>
      <c r="B2631" s="190"/>
      <c r="C2631" s="190"/>
      <c r="D2631" s="190"/>
      <c r="E2631" s="190"/>
      <c r="F2631" s="190"/>
      <c r="G2631" s="190"/>
    </row>
    <row r="2632" spans="1:7" ht="12.75" customHeight="1">
      <c r="A2632" s="190"/>
      <c r="B2632" s="190"/>
      <c r="C2632" s="190"/>
      <c r="D2632" s="190"/>
      <c r="E2632" s="190"/>
      <c r="F2632" s="190"/>
      <c r="G2632" s="190"/>
    </row>
    <row r="2633" spans="1:7" ht="12.75" customHeight="1">
      <c r="A2633" s="190"/>
      <c r="B2633" s="190"/>
      <c r="C2633" s="190"/>
      <c r="D2633" s="190"/>
      <c r="E2633" s="190"/>
      <c r="F2633" s="190"/>
      <c r="G2633" s="190"/>
    </row>
    <row r="2634" spans="1:7" ht="12.75" customHeight="1">
      <c r="A2634" s="190"/>
      <c r="B2634" s="190"/>
      <c r="C2634" s="190"/>
      <c r="D2634" s="190"/>
      <c r="E2634" s="190"/>
      <c r="F2634" s="190"/>
      <c r="G2634" s="190"/>
    </row>
    <row r="2635" spans="1:7" ht="12.75" customHeight="1">
      <c r="A2635" s="190"/>
      <c r="B2635" s="190"/>
      <c r="C2635" s="190"/>
      <c r="D2635" s="190"/>
      <c r="E2635" s="190"/>
      <c r="F2635" s="190"/>
      <c r="G2635" s="190"/>
    </row>
    <row r="2636" spans="1:7" ht="12.75" customHeight="1">
      <c r="A2636" s="190"/>
      <c r="B2636" s="190"/>
      <c r="C2636" s="190"/>
      <c r="D2636" s="190"/>
      <c r="E2636" s="190"/>
      <c r="F2636" s="190"/>
      <c r="G2636" s="190"/>
    </row>
    <row r="2637" spans="1:7" ht="12.75" customHeight="1">
      <c r="A2637" s="190"/>
      <c r="B2637" s="190"/>
      <c r="C2637" s="190"/>
      <c r="D2637" s="190"/>
      <c r="E2637" s="190"/>
      <c r="F2637" s="190"/>
      <c r="G2637" s="190"/>
    </row>
    <row r="2638" spans="1:7" ht="12.75" customHeight="1">
      <c r="A2638" s="190"/>
      <c r="B2638" s="190"/>
      <c r="C2638" s="190"/>
      <c r="D2638" s="190"/>
      <c r="E2638" s="190"/>
      <c r="F2638" s="190"/>
      <c r="G2638" s="190"/>
    </row>
    <row r="2639" spans="1:7" ht="12.75" customHeight="1">
      <c r="A2639" s="190"/>
      <c r="B2639" s="190"/>
      <c r="C2639" s="190"/>
      <c r="D2639" s="190"/>
      <c r="E2639" s="190"/>
      <c r="F2639" s="190"/>
      <c r="G2639" s="190"/>
    </row>
    <row r="2640" spans="1:7" ht="12.75" customHeight="1">
      <c r="A2640" s="190"/>
      <c r="B2640" s="190"/>
      <c r="C2640" s="190"/>
      <c r="D2640" s="190"/>
      <c r="E2640" s="190"/>
      <c r="F2640" s="190"/>
      <c r="G2640" s="190"/>
    </row>
    <row r="2641" spans="1:7" ht="12.75" customHeight="1">
      <c r="A2641" s="190"/>
      <c r="B2641" s="190"/>
      <c r="C2641" s="190"/>
      <c r="D2641" s="190"/>
      <c r="E2641" s="190"/>
      <c r="F2641" s="190"/>
      <c r="G2641" s="190"/>
    </row>
    <row r="2642" spans="1:7" ht="12.75" customHeight="1">
      <c r="A2642" s="190"/>
      <c r="B2642" s="190"/>
      <c r="C2642" s="190"/>
      <c r="D2642" s="190"/>
      <c r="E2642" s="190"/>
      <c r="F2642" s="190"/>
      <c r="G2642" s="190"/>
    </row>
    <row r="2643" spans="1:7" ht="12.75" customHeight="1">
      <c r="A2643" s="190"/>
      <c r="B2643" s="190"/>
      <c r="C2643" s="190"/>
      <c r="D2643" s="190"/>
      <c r="E2643" s="190"/>
      <c r="F2643" s="190"/>
      <c r="G2643" s="190"/>
    </row>
    <row r="2644" spans="1:7" ht="12.75" customHeight="1">
      <c r="A2644" s="190"/>
      <c r="B2644" s="190"/>
      <c r="C2644" s="190"/>
      <c r="D2644" s="190"/>
      <c r="E2644" s="190"/>
      <c r="F2644" s="190"/>
      <c r="G2644" s="190"/>
    </row>
    <row r="2645" spans="1:7" ht="12.75" customHeight="1">
      <c r="A2645" s="190"/>
      <c r="B2645" s="190"/>
      <c r="C2645" s="190"/>
      <c r="D2645" s="190"/>
      <c r="E2645" s="190"/>
      <c r="F2645" s="190"/>
      <c r="G2645" s="190"/>
    </row>
    <row r="2646" spans="1:7" ht="12.75" customHeight="1">
      <c r="A2646" s="190"/>
      <c r="B2646" s="190"/>
      <c r="C2646" s="190"/>
      <c r="D2646" s="190"/>
      <c r="E2646" s="190"/>
      <c r="F2646" s="190"/>
      <c r="G2646" s="190"/>
    </row>
    <row r="2647" spans="1:7" ht="12.75" customHeight="1">
      <c r="A2647" s="190"/>
      <c r="B2647" s="190"/>
      <c r="C2647" s="190"/>
      <c r="D2647" s="190"/>
      <c r="E2647" s="190"/>
      <c r="F2647" s="190"/>
      <c r="G2647" s="190"/>
    </row>
    <row r="2648" spans="1:7" ht="12.75" customHeight="1">
      <c r="A2648" s="190"/>
      <c r="B2648" s="190"/>
      <c r="C2648" s="190"/>
      <c r="D2648" s="190"/>
      <c r="E2648" s="190"/>
      <c r="F2648" s="190"/>
      <c r="G2648" s="190"/>
    </row>
    <row r="2649" spans="1:7" ht="12.75" customHeight="1">
      <c r="A2649" s="190"/>
      <c r="B2649" s="190"/>
      <c r="C2649" s="190"/>
      <c r="D2649" s="190"/>
      <c r="E2649" s="190"/>
      <c r="F2649" s="190"/>
      <c r="G2649" s="190"/>
    </row>
    <row r="2650" spans="1:7" ht="12.75" customHeight="1">
      <c r="A2650" s="190"/>
      <c r="B2650" s="190"/>
      <c r="C2650" s="190"/>
      <c r="D2650" s="190"/>
      <c r="E2650" s="190"/>
      <c r="F2650" s="190"/>
      <c r="G2650" s="190"/>
    </row>
    <row r="2651" spans="1:7" ht="12.75" customHeight="1">
      <c r="A2651" s="190"/>
      <c r="B2651" s="190"/>
      <c r="C2651" s="190"/>
      <c r="D2651" s="190"/>
      <c r="E2651" s="190"/>
      <c r="F2651" s="190"/>
      <c r="G2651" s="190"/>
    </row>
    <row r="2652" spans="1:7" ht="12.75" customHeight="1">
      <c r="A2652" s="190"/>
      <c r="B2652" s="190"/>
      <c r="C2652" s="190"/>
      <c r="D2652" s="190"/>
      <c r="E2652" s="190"/>
      <c r="F2652" s="190"/>
      <c r="G2652" s="190"/>
    </row>
    <row r="2653" spans="1:7" ht="12.75" customHeight="1">
      <c r="A2653" s="190"/>
      <c r="B2653" s="190"/>
      <c r="C2653" s="190"/>
      <c r="D2653" s="190"/>
      <c r="E2653" s="190"/>
      <c r="F2653" s="190"/>
      <c r="G2653" s="190"/>
    </row>
    <row r="2654" spans="1:7" ht="12.75" customHeight="1">
      <c r="A2654" s="190"/>
      <c r="B2654" s="190"/>
      <c r="C2654" s="190"/>
      <c r="D2654" s="190"/>
      <c r="E2654" s="190"/>
      <c r="F2654" s="190"/>
      <c r="G2654" s="190"/>
    </row>
    <row r="2655" spans="1:7" ht="12.75" customHeight="1">
      <c r="A2655" s="190"/>
      <c r="B2655" s="190"/>
      <c r="C2655" s="190"/>
      <c r="D2655" s="190"/>
      <c r="E2655" s="190"/>
      <c r="F2655" s="190"/>
      <c r="G2655" s="190"/>
    </row>
    <row r="2656" spans="1:7" ht="12.75" customHeight="1">
      <c r="A2656" s="190"/>
      <c r="B2656" s="190"/>
      <c r="C2656" s="190"/>
      <c r="D2656" s="190"/>
      <c r="E2656" s="190"/>
      <c r="F2656" s="190"/>
      <c r="G2656" s="190"/>
    </row>
    <row r="2657" spans="1:7" ht="12.75" customHeight="1">
      <c r="A2657" s="190"/>
      <c r="B2657" s="190"/>
      <c r="C2657" s="190"/>
      <c r="D2657" s="190"/>
      <c r="E2657" s="190"/>
      <c r="F2657" s="190"/>
      <c r="G2657" s="190"/>
    </row>
    <row r="2658" spans="1:7" ht="12.75" customHeight="1">
      <c r="A2658" s="190"/>
      <c r="B2658" s="190"/>
      <c r="C2658" s="190"/>
      <c r="D2658" s="190"/>
      <c r="E2658" s="190"/>
      <c r="F2658" s="190"/>
      <c r="G2658" s="190"/>
    </row>
    <row r="2659" spans="1:7" ht="12.75" customHeight="1">
      <c r="A2659" s="190"/>
      <c r="B2659" s="190"/>
      <c r="C2659" s="190"/>
      <c r="D2659" s="190"/>
      <c r="E2659" s="190"/>
      <c r="F2659" s="190"/>
      <c r="G2659" s="190"/>
    </row>
    <row r="2660" spans="1:7" ht="12.75" customHeight="1">
      <c r="A2660" s="190"/>
      <c r="B2660" s="190"/>
      <c r="C2660" s="190"/>
      <c r="D2660" s="190"/>
      <c r="E2660" s="190"/>
      <c r="F2660" s="190"/>
      <c r="G2660" s="190"/>
    </row>
    <row r="2661" spans="1:7" ht="12.75" customHeight="1">
      <c r="A2661" s="190"/>
      <c r="B2661" s="190"/>
      <c r="C2661" s="190"/>
      <c r="D2661" s="190"/>
      <c r="E2661" s="190"/>
      <c r="F2661" s="190"/>
      <c r="G2661" s="190"/>
    </row>
    <row r="2662" spans="1:7" ht="12.75" customHeight="1">
      <c r="A2662" s="190"/>
      <c r="B2662" s="190"/>
      <c r="C2662" s="190"/>
      <c r="D2662" s="190"/>
      <c r="E2662" s="190"/>
      <c r="F2662" s="190"/>
      <c r="G2662" s="190"/>
    </row>
    <row r="2663" spans="1:7" ht="12.75" customHeight="1">
      <c r="A2663" s="190"/>
      <c r="B2663" s="190"/>
      <c r="C2663" s="190"/>
      <c r="D2663" s="190"/>
      <c r="E2663" s="190"/>
      <c r="F2663" s="190"/>
      <c r="G2663" s="190"/>
    </row>
    <row r="2664" spans="1:7" ht="12.75" customHeight="1">
      <c r="A2664" s="190"/>
      <c r="B2664" s="190"/>
      <c r="C2664" s="190"/>
      <c r="D2664" s="190"/>
      <c r="E2664" s="190"/>
      <c r="F2664" s="190"/>
      <c r="G2664" s="190"/>
    </row>
    <row r="2665" spans="1:7" ht="12.75" customHeight="1">
      <c r="A2665" s="190"/>
      <c r="B2665" s="190"/>
      <c r="C2665" s="190"/>
      <c r="D2665" s="190"/>
      <c r="E2665" s="190"/>
      <c r="F2665" s="190"/>
      <c r="G2665" s="190"/>
    </row>
    <row r="2666" spans="1:7" ht="12.75" customHeight="1">
      <c r="A2666" s="190"/>
      <c r="B2666" s="190"/>
      <c r="C2666" s="190"/>
      <c r="D2666" s="190"/>
      <c r="E2666" s="190"/>
      <c r="F2666" s="190"/>
      <c r="G2666" s="190"/>
    </row>
    <row r="2667" spans="1:7" ht="12.75" customHeight="1">
      <c r="A2667" s="190"/>
      <c r="B2667" s="190"/>
      <c r="C2667" s="190"/>
      <c r="D2667" s="190"/>
      <c r="E2667" s="190"/>
      <c r="F2667" s="190"/>
      <c r="G2667" s="190"/>
    </row>
    <row r="2668" spans="1:7" ht="12.75" customHeight="1">
      <c r="A2668" s="190"/>
      <c r="B2668" s="190"/>
      <c r="C2668" s="190"/>
      <c r="D2668" s="190"/>
      <c r="E2668" s="190"/>
      <c r="F2668" s="190"/>
      <c r="G2668" s="190"/>
    </row>
    <row r="2669" spans="1:7" ht="12.75" customHeight="1">
      <c r="A2669" s="190"/>
      <c r="B2669" s="190"/>
      <c r="C2669" s="190"/>
      <c r="D2669" s="190"/>
      <c r="E2669" s="190"/>
      <c r="F2669" s="190"/>
      <c r="G2669" s="190"/>
    </row>
    <row r="2670" spans="1:7" ht="12.75" customHeight="1">
      <c r="A2670" s="190"/>
      <c r="B2670" s="190"/>
      <c r="C2670" s="190"/>
      <c r="D2670" s="190"/>
      <c r="E2670" s="190"/>
      <c r="F2670" s="190"/>
      <c r="G2670" s="190"/>
    </row>
    <row r="2671" spans="1:7" ht="12.75" customHeight="1">
      <c r="A2671" s="190"/>
      <c r="B2671" s="190"/>
      <c r="C2671" s="190"/>
      <c r="D2671" s="190"/>
      <c r="E2671" s="190"/>
      <c r="F2671" s="190"/>
      <c r="G2671" s="190"/>
    </row>
    <row r="2672" spans="1:7" ht="12.75" customHeight="1">
      <c r="A2672" s="190"/>
      <c r="B2672" s="190"/>
      <c r="C2672" s="190"/>
      <c r="D2672" s="190"/>
      <c r="E2672" s="190"/>
      <c r="F2672" s="190"/>
      <c r="G2672" s="190"/>
    </row>
    <row r="2673" spans="1:7" ht="12.75" customHeight="1">
      <c r="A2673" s="190"/>
      <c r="B2673" s="190"/>
      <c r="C2673" s="190"/>
      <c r="D2673" s="190"/>
      <c r="E2673" s="190"/>
      <c r="F2673" s="190"/>
      <c r="G2673" s="190"/>
    </row>
    <row r="2674" spans="1:7" ht="12.75" customHeight="1">
      <c r="A2674" s="190"/>
      <c r="B2674" s="190"/>
      <c r="C2674" s="190"/>
      <c r="D2674" s="190"/>
      <c r="E2674" s="190"/>
      <c r="F2674" s="190"/>
      <c r="G2674" s="190"/>
    </row>
    <row r="2675" spans="1:7" ht="12.75" customHeight="1">
      <c r="A2675" s="190"/>
      <c r="B2675" s="190"/>
      <c r="C2675" s="190"/>
      <c r="D2675" s="190"/>
      <c r="E2675" s="190"/>
      <c r="F2675" s="190"/>
      <c r="G2675" s="190"/>
    </row>
    <row r="2676" spans="1:7" ht="12.75" customHeight="1">
      <c r="A2676" s="190"/>
      <c r="B2676" s="190"/>
      <c r="C2676" s="190"/>
      <c r="D2676" s="190"/>
      <c r="E2676" s="190"/>
      <c r="F2676" s="190"/>
      <c r="G2676" s="190"/>
    </row>
    <row r="2677" spans="1:7" ht="12.75" customHeight="1">
      <c r="A2677" s="190"/>
      <c r="B2677" s="190"/>
      <c r="C2677" s="190"/>
      <c r="D2677" s="190"/>
      <c r="E2677" s="190"/>
      <c r="F2677" s="190"/>
      <c r="G2677" s="190"/>
    </row>
    <row r="2678" spans="1:7" ht="12.75" customHeight="1">
      <c r="A2678" s="190"/>
      <c r="B2678" s="190"/>
      <c r="C2678" s="190"/>
      <c r="D2678" s="190"/>
      <c r="E2678" s="190"/>
      <c r="F2678" s="190"/>
      <c r="G2678" s="190"/>
    </row>
    <row r="2679" spans="1:7" ht="12.75" customHeight="1">
      <c r="A2679" s="190"/>
      <c r="B2679" s="190"/>
      <c r="C2679" s="190"/>
      <c r="D2679" s="190"/>
      <c r="E2679" s="190"/>
      <c r="F2679" s="190"/>
      <c r="G2679" s="190"/>
    </row>
    <row r="2680" spans="1:7" ht="12.75" customHeight="1">
      <c r="A2680" s="190"/>
      <c r="B2680" s="190"/>
      <c r="C2680" s="190"/>
      <c r="D2680" s="190"/>
      <c r="E2680" s="190"/>
      <c r="F2680" s="190"/>
      <c r="G2680" s="190"/>
    </row>
    <row r="2681" spans="1:7" ht="12.75" customHeight="1">
      <c r="A2681" s="190"/>
      <c r="B2681" s="190"/>
      <c r="C2681" s="190"/>
      <c r="D2681" s="190"/>
      <c r="E2681" s="190"/>
      <c r="F2681" s="190"/>
      <c r="G2681" s="190"/>
    </row>
    <row r="2682" spans="1:7" ht="12.75" customHeight="1">
      <c r="A2682" s="190"/>
      <c r="B2682" s="190"/>
      <c r="C2682" s="190"/>
      <c r="D2682" s="190"/>
      <c r="E2682" s="190"/>
      <c r="F2682" s="190"/>
      <c r="G2682" s="190"/>
    </row>
    <row r="2683" spans="1:7" ht="12.75" customHeight="1">
      <c r="A2683" s="190"/>
      <c r="B2683" s="190"/>
      <c r="C2683" s="190"/>
      <c r="D2683" s="190"/>
      <c r="E2683" s="190"/>
      <c r="F2683" s="190"/>
      <c r="G2683" s="190"/>
    </row>
    <row r="2684" spans="1:7" ht="12.75" customHeight="1">
      <c r="A2684" s="190"/>
      <c r="B2684" s="190"/>
      <c r="C2684" s="190"/>
      <c r="D2684" s="190"/>
      <c r="E2684" s="190"/>
      <c r="F2684" s="190"/>
      <c r="G2684" s="190"/>
    </row>
    <row r="2685" spans="1:7" ht="12.75" customHeight="1">
      <c r="A2685" s="190"/>
      <c r="B2685" s="190"/>
      <c r="C2685" s="190"/>
      <c r="D2685" s="190"/>
      <c r="E2685" s="190"/>
      <c r="F2685" s="190"/>
      <c r="G2685" s="190"/>
    </row>
    <row r="2686" spans="1:7" ht="12.75" customHeight="1">
      <c r="A2686" s="190"/>
      <c r="B2686" s="190"/>
      <c r="C2686" s="190"/>
      <c r="D2686" s="190"/>
      <c r="E2686" s="190"/>
      <c r="F2686" s="190"/>
      <c r="G2686" s="190"/>
    </row>
    <row r="2687" spans="1:7" ht="12.75" customHeight="1">
      <c r="A2687" s="190"/>
      <c r="B2687" s="190"/>
      <c r="C2687" s="190"/>
      <c r="D2687" s="190"/>
      <c r="E2687" s="190"/>
      <c r="F2687" s="190"/>
      <c r="G2687" s="190"/>
    </row>
    <row r="2688" spans="1:7" ht="12.75" customHeight="1">
      <c r="A2688" s="190"/>
      <c r="B2688" s="190"/>
      <c r="C2688" s="190"/>
      <c r="D2688" s="190"/>
      <c r="E2688" s="190"/>
      <c r="F2688" s="190"/>
      <c r="G2688" s="190"/>
    </row>
    <row r="2689" spans="1:7" ht="12.75" customHeight="1">
      <c r="A2689" s="190"/>
      <c r="B2689" s="190"/>
      <c r="C2689" s="190"/>
      <c r="D2689" s="190"/>
      <c r="E2689" s="190"/>
      <c r="F2689" s="190"/>
      <c r="G2689" s="190"/>
    </row>
    <row r="2690" spans="1:7" ht="12.75" customHeight="1">
      <c r="A2690" s="190"/>
      <c r="B2690" s="190"/>
      <c r="C2690" s="190"/>
      <c r="D2690" s="190"/>
      <c r="E2690" s="190"/>
      <c r="F2690" s="190"/>
      <c r="G2690" s="190"/>
    </row>
    <row r="2691" spans="1:7" ht="12.75" customHeight="1">
      <c r="A2691" s="190"/>
      <c r="B2691" s="190"/>
      <c r="C2691" s="190"/>
      <c r="D2691" s="190"/>
      <c r="E2691" s="190"/>
      <c r="F2691" s="190"/>
      <c r="G2691" s="190"/>
    </row>
    <row r="2692" spans="1:7" ht="12.75" customHeight="1">
      <c r="A2692" s="190"/>
      <c r="B2692" s="190"/>
      <c r="C2692" s="190"/>
      <c r="D2692" s="190"/>
      <c r="E2692" s="190"/>
      <c r="F2692" s="190"/>
      <c r="G2692" s="190"/>
    </row>
    <row r="2693" spans="1:7" ht="12.75" customHeight="1">
      <c r="A2693" s="190"/>
      <c r="B2693" s="190"/>
      <c r="C2693" s="190"/>
      <c r="D2693" s="190"/>
      <c r="E2693" s="190"/>
      <c r="F2693" s="190"/>
      <c r="G2693" s="190"/>
    </row>
    <row r="2694" spans="1:7" ht="12.75" customHeight="1">
      <c r="A2694" s="190"/>
      <c r="B2694" s="190"/>
      <c r="C2694" s="190"/>
      <c r="D2694" s="190"/>
      <c r="E2694" s="190"/>
      <c r="F2694" s="190"/>
      <c r="G2694" s="190"/>
    </row>
    <row r="2695" spans="1:7" ht="12.75" customHeight="1">
      <c r="A2695" s="190"/>
      <c r="B2695" s="190"/>
      <c r="C2695" s="190"/>
      <c r="D2695" s="190"/>
      <c r="E2695" s="190"/>
      <c r="F2695" s="190"/>
      <c r="G2695" s="190"/>
    </row>
    <row r="2696" spans="1:7" ht="12.75" customHeight="1">
      <c r="A2696" s="190"/>
      <c r="B2696" s="190"/>
      <c r="C2696" s="190"/>
      <c r="D2696" s="190"/>
      <c r="E2696" s="190"/>
      <c r="F2696" s="190"/>
      <c r="G2696" s="190"/>
    </row>
    <row r="2697" spans="1:7" ht="12.75" customHeight="1">
      <c r="A2697" s="190"/>
      <c r="B2697" s="190"/>
      <c r="C2697" s="190"/>
      <c r="D2697" s="190"/>
      <c r="E2697" s="190"/>
      <c r="F2697" s="190"/>
      <c r="G2697" s="190"/>
    </row>
    <row r="2698" spans="1:7" ht="12.75" customHeight="1">
      <c r="A2698" s="190"/>
      <c r="B2698" s="190"/>
      <c r="C2698" s="190"/>
      <c r="D2698" s="190"/>
      <c r="E2698" s="190"/>
      <c r="F2698" s="190"/>
      <c r="G2698" s="190"/>
    </row>
    <row r="2699" spans="1:7" ht="12.75" customHeight="1">
      <c r="A2699" s="190"/>
      <c r="B2699" s="190"/>
      <c r="C2699" s="190"/>
      <c r="D2699" s="190"/>
      <c r="E2699" s="190"/>
      <c r="F2699" s="190"/>
      <c r="G2699" s="190"/>
    </row>
    <row r="2700" spans="1:7" ht="12.75" customHeight="1">
      <c r="A2700" s="190"/>
      <c r="B2700" s="190"/>
      <c r="C2700" s="190"/>
      <c r="D2700" s="190"/>
      <c r="E2700" s="190"/>
      <c r="F2700" s="190"/>
      <c r="G2700" s="190"/>
    </row>
    <row r="2701" spans="1:7" ht="12.75" customHeight="1">
      <c r="A2701" s="190"/>
      <c r="B2701" s="190"/>
      <c r="C2701" s="190"/>
      <c r="D2701" s="190"/>
      <c r="E2701" s="190"/>
      <c r="F2701" s="190"/>
      <c r="G2701" s="190"/>
    </row>
    <row r="2702" spans="1:7" ht="12.75" customHeight="1">
      <c r="A2702" s="190"/>
      <c r="B2702" s="190"/>
      <c r="C2702" s="190"/>
      <c r="D2702" s="190"/>
      <c r="E2702" s="190"/>
      <c r="F2702" s="190"/>
      <c r="G2702" s="190"/>
    </row>
    <row r="2703" spans="1:7" ht="12.75" customHeight="1">
      <c r="A2703" s="190"/>
      <c r="B2703" s="190"/>
      <c r="C2703" s="190"/>
      <c r="D2703" s="190"/>
      <c r="E2703" s="190"/>
      <c r="F2703" s="190"/>
      <c r="G2703" s="190"/>
    </row>
    <row r="2704" spans="1:7" ht="12.75" customHeight="1">
      <c r="A2704" s="190"/>
      <c r="B2704" s="190"/>
      <c r="C2704" s="190"/>
      <c r="D2704" s="190"/>
      <c r="E2704" s="190"/>
      <c r="F2704" s="190"/>
      <c r="G2704" s="190"/>
    </row>
    <row r="2705" spans="1:7" ht="12.75" customHeight="1">
      <c r="A2705" s="190"/>
      <c r="B2705" s="190"/>
      <c r="C2705" s="190"/>
      <c r="D2705" s="190"/>
      <c r="E2705" s="190"/>
      <c r="F2705" s="190"/>
      <c r="G2705" s="190"/>
    </row>
    <row r="2706" spans="1:7" ht="12.75" customHeight="1">
      <c r="A2706" s="190"/>
      <c r="B2706" s="190"/>
      <c r="C2706" s="190"/>
      <c r="D2706" s="190"/>
      <c r="E2706" s="190"/>
      <c r="F2706" s="190"/>
      <c r="G2706" s="190"/>
    </row>
    <row r="2707" spans="1:7" ht="12.75" customHeight="1">
      <c r="A2707" s="190"/>
      <c r="B2707" s="190"/>
      <c r="C2707" s="190"/>
      <c r="D2707" s="190"/>
      <c r="E2707" s="190"/>
      <c r="F2707" s="190"/>
      <c r="G2707" s="190"/>
    </row>
    <row r="2708" spans="1:7" ht="12.75" customHeight="1">
      <c r="A2708" s="190"/>
      <c r="B2708" s="190"/>
      <c r="C2708" s="190"/>
      <c r="D2708" s="190"/>
      <c r="E2708" s="190"/>
      <c r="F2708" s="190"/>
      <c r="G2708" s="190"/>
    </row>
    <row r="2709" spans="1:7" ht="12.75" customHeight="1">
      <c r="A2709" s="190"/>
      <c r="B2709" s="190"/>
      <c r="C2709" s="190"/>
      <c r="D2709" s="190"/>
      <c r="E2709" s="190"/>
      <c r="F2709" s="190"/>
      <c r="G2709" s="190"/>
    </row>
    <row r="2710" spans="1:7" ht="12.75" customHeight="1">
      <c r="A2710" s="190"/>
      <c r="B2710" s="190"/>
      <c r="C2710" s="190"/>
      <c r="D2710" s="190"/>
      <c r="E2710" s="190"/>
      <c r="F2710" s="190"/>
      <c r="G2710" s="190"/>
    </row>
    <row r="2711" spans="1:7" ht="12.75" customHeight="1">
      <c r="A2711" s="190"/>
      <c r="B2711" s="190"/>
      <c r="C2711" s="190"/>
      <c r="D2711" s="190"/>
      <c r="E2711" s="190"/>
      <c r="F2711" s="190"/>
      <c r="G2711" s="190"/>
    </row>
    <row r="2712" spans="1:7" ht="12.75" customHeight="1">
      <c r="A2712" s="190"/>
      <c r="B2712" s="190"/>
      <c r="C2712" s="190"/>
      <c r="D2712" s="190"/>
      <c r="E2712" s="190"/>
      <c r="F2712" s="190"/>
      <c r="G2712" s="190"/>
    </row>
    <row r="2713" spans="1:7" ht="12.75" customHeight="1">
      <c r="A2713" s="190"/>
      <c r="B2713" s="190"/>
      <c r="C2713" s="190"/>
      <c r="D2713" s="190"/>
      <c r="E2713" s="190"/>
      <c r="F2713" s="190"/>
      <c r="G2713" s="190"/>
    </row>
    <row r="2714" spans="1:7" ht="12.75" customHeight="1">
      <c r="A2714" s="190"/>
      <c r="B2714" s="190"/>
      <c r="C2714" s="190"/>
      <c r="D2714" s="190"/>
      <c r="E2714" s="190"/>
      <c r="F2714" s="190"/>
      <c r="G2714" s="190"/>
    </row>
    <row r="2715" spans="1:7" ht="12.75" customHeight="1">
      <c r="A2715" s="190"/>
      <c r="B2715" s="190"/>
      <c r="C2715" s="190"/>
      <c r="D2715" s="190"/>
      <c r="E2715" s="190"/>
      <c r="F2715" s="190"/>
      <c r="G2715" s="190"/>
    </row>
    <row r="2716" spans="1:7" ht="12.75" customHeight="1">
      <c r="A2716" s="190"/>
      <c r="B2716" s="190"/>
      <c r="C2716" s="190"/>
      <c r="D2716" s="190"/>
      <c r="E2716" s="190"/>
      <c r="F2716" s="190"/>
      <c r="G2716" s="190"/>
    </row>
    <row r="2717" spans="1:7" ht="12.75" customHeight="1">
      <c r="A2717" s="190"/>
      <c r="B2717" s="190"/>
      <c r="C2717" s="190"/>
      <c r="D2717" s="190"/>
      <c r="E2717" s="190"/>
      <c r="F2717" s="190"/>
      <c r="G2717" s="190"/>
    </row>
    <row r="2718" spans="1:7" ht="12.75" customHeight="1">
      <c r="A2718" s="190"/>
      <c r="B2718" s="190"/>
      <c r="C2718" s="190"/>
      <c r="D2718" s="190"/>
      <c r="E2718" s="190"/>
      <c r="F2718" s="190"/>
      <c r="G2718" s="190"/>
    </row>
    <row r="2719" spans="1:7" ht="12.75" customHeight="1">
      <c r="A2719" s="190"/>
      <c r="B2719" s="190"/>
      <c r="C2719" s="190"/>
      <c r="D2719" s="190"/>
      <c r="E2719" s="190"/>
      <c r="F2719" s="190"/>
      <c r="G2719" s="190"/>
    </row>
    <row r="2720" spans="1:7" ht="12.75" customHeight="1">
      <c r="A2720" s="190"/>
      <c r="B2720" s="190"/>
      <c r="C2720" s="190"/>
      <c r="D2720" s="190"/>
      <c r="E2720" s="190"/>
      <c r="F2720" s="190"/>
      <c r="G2720" s="190"/>
    </row>
    <row r="2721" spans="1:7" ht="12.75" customHeight="1">
      <c r="A2721" s="190"/>
      <c r="B2721" s="190"/>
      <c r="C2721" s="190"/>
      <c r="D2721" s="190"/>
      <c r="E2721" s="190"/>
      <c r="F2721" s="190"/>
      <c r="G2721" s="190"/>
    </row>
    <row r="2722" spans="1:7" ht="12.75" customHeight="1">
      <c r="A2722" s="190"/>
      <c r="B2722" s="190"/>
      <c r="C2722" s="190"/>
      <c r="D2722" s="190"/>
      <c r="E2722" s="190"/>
      <c r="F2722" s="190"/>
      <c r="G2722" s="190"/>
    </row>
    <row r="2723" spans="1:7" ht="12.75" customHeight="1">
      <c r="A2723" s="190"/>
      <c r="B2723" s="190"/>
      <c r="C2723" s="190"/>
      <c r="D2723" s="190"/>
      <c r="E2723" s="190"/>
      <c r="F2723" s="190"/>
      <c r="G2723" s="190"/>
    </row>
    <row r="2724" spans="1:7" ht="12.75" customHeight="1">
      <c r="A2724" s="190"/>
      <c r="B2724" s="190"/>
      <c r="C2724" s="190"/>
      <c r="D2724" s="190"/>
      <c r="E2724" s="190"/>
      <c r="F2724" s="190"/>
      <c r="G2724" s="190"/>
    </row>
    <row r="2725" spans="1:7" ht="12.75" customHeight="1">
      <c r="A2725" s="190"/>
      <c r="B2725" s="190"/>
      <c r="C2725" s="190"/>
      <c r="D2725" s="190"/>
      <c r="E2725" s="190"/>
      <c r="F2725" s="190"/>
      <c r="G2725" s="190"/>
    </row>
    <row r="2726" spans="1:7" ht="12.75" customHeight="1">
      <c r="A2726" s="190"/>
      <c r="B2726" s="190"/>
      <c r="C2726" s="190"/>
      <c r="D2726" s="190"/>
      <c r="E2726" s="190"/>
      <c r="F2726" s="190"/>
      <c r="G2726" s="190"/>
    </row>
    <row r="2727" spans="1:7" ht="12.75" customHeight="1">
      <c r="A2727" s="190"/>
      <c r="B2727" s="190"/>
      <c r="C2727" s="190"/>
      <c r="D2727" s="190"/>
      <c r="E2727" s="190"/>
      <c r="F2727" s="190"/>
      <c r="G2727" s="190"/>
    </row>
    <row r="2728" spans="1:7" ht="12.75" customHeight="1">
      <c r="A2728" s="190"/>
      <c r="B2728" s="190"/>
      <c r="C2728" s="190"/>
      <c r="D2728" s="190"/>
      <c r="E2728" s="190"/>
      <c r="F2728" s="190"/>
      <c r="G2728" s="190"/>
    </row>
    <row r="2729" spans="1:7" ht="12.75" customHeight="1">
      <c r="A2729" s="190"/>
      <c r="B2729" s="190"/>
      <c r="C2729" s="190"/>
      <c r="D2729" s="190"/>
      <c r="E2729" s="190"/>
      <c r="F2729" s="190"/>
      <c r="G2729" s="190"/>
    </row>
    <row r="2730" spans="1:7" ht="12.75" customHeight="1">
      <c r="A2730" s="190"/>
      <c r="B2730" s="190"/>
      <c r="C2730" s="190"/>
      <c r="D2730" s="190"/>
      <c r="E2730" s="190"/>
      <c r="F2730" s="190"/>
      <c r="G2730" s="190"/>
    </row>
    <row r="2731" spans="1:7" ht="12.75" customHeight="1">
      <c r="A2731" s="190"/>
      <c r="B2731" s="190"/>
      <c r="C2731" s="190"/>
      <c r="D2731" s="190"/>
      <c r="E2731" s="190"/>
      <c r="F2731" s="190"/>
      <c r="G2731" s="190"/>
    </row>
    <row r="2732" spans="1:7" ht="12.75" customHeight="1">
      <c r="A2732" s="190"/>
      <c r="B2732" s="190"/>
      <c r="C2732" s="190"/>
      <c r="D2732" s="190"/>
      <c r="E2732" s="190"/>
      <c r="F2732" s="190"/>
      <c r="G2732" s="190"/>
    </row>
    <row r="2733" spans="1:7" ht="12.75" customHeight="1">
      <c r="A2733" s="190"/>
      <c r="B2733" s="190"/>
      <c r="C2733" s="190"/>
      <c r="D2733" s="190"/>
      <c r="E2733" s="190"/>
      <c r="F2733" s="190"/>
      <c r="G2733" s="190"/>
    </row>
    <row r="2734" spans="1:7" ht="12.75" customHeight="1">
      <c r="A2734" s="190"/>
      <c r="B2734" s="190"/>
      <c r="C2734" s="190"/>
      <c r="D2734" s="190"/>
      <c r="E2734" s="190"/>
      <c r="F2734" s="190"/>
      <c r="G2734" s="190"/>
    </row>
    <row r="2735" spans="1:7" ht="12.75" customHeight="1">
      <c r="A2735" s="190"/>
      <c r="B2735" s="190"/>
      <c r="C2735" s="190"/>
      <c r="D2735" s="190"/>
      <c r="E2735" s="190"/>
      <c r="F2735" s="190"/>
      <c r="G2735" s="190"/>
    </row>
    <row r="2736" spans="1:7" ht="12.75" customHeight="1">
      <c r="A2736" s="190"/>
      <c r="B2736" s="190"/>
      <c r="C2736" s="190"/>
      <c r="D2736" s="190"/>
      <c r="E2736" s="190"/>
      <c r="F2736" s="190"/>
      <c r="G2736" s="190"/>
    </row>
    <row r="2737" spans="1:7" ht="12.75" customHeight="1">
      <c r="A2737" s="190"/>
      <c r="B2737" s="190"/>
      <c r="C2737" s="190"/>
      <c r="D2737" s="190"/>
      <c r="E2737" s="190"/>
      <c r="F2737" s="190"/>
      <c r="G2737" s="190"/>
    </row>
    <row r="2738" spans="1:7" ht="12.75" customHeight="1">
      <c r="A2738" s="190"/>
      <c r="B2738" s="190"/>
      <c r="C2738" s="190"/>
      <c r="D2738" s="190"/>
      <c r="E2738" s="190"/>
      <c r="F2738" s="190"/>
      <c r="G2738" s="190"/>
    </row>
    <row r="2739" spans="1:7" ht="12.75" customHeight="1">
      <c r="A2739" s="190"/>
      <c r="B2739" s="190"/>
      <c r="C2739" s="190"/>
      <c r="D2739" s="190"/>
      <c r="E2739" s="190"/>
      <c r="F2739" s="190"/>
      <c r="G2739" s="190"/>
    </row>
    <row r="2740" spans="1:7" ht="12.75" customHeight="1">
      <c r="A2740" s="190"/>
      <c r="B2740" s="190"/>
      <c r="C2740" s="190"/>
      <c r="D2740" s="190"/>
      <c r="E2740" s="190"/>
      <c r="F2740" s="190"/>
      <c r="G2740" s="190"/>
    </row>
    <row r="2741" spans="1:7" ht="12.75" customHeight="1">
      <c r="A2741" s="190"/>
      <c r="B2741" s="190"/>
      <c r="C2741" s="190"/>
      <c r="D2741" s="190"/>
      <c r="E2741" s="190"/>
      <c r="F2741" s="190"/>
      <c r="G2741" s="190"/>
    </row>
    <row r="2742" spans="1:7" ht="12.75" customHeight="1">
      <c r="A2742" s="190"/>
      <c r="B2742" s="190"/>
      <c r="C2742" s="190"/>
      <c r="D2742" s="190"/>
      <c r="E2742" s="190"/>
      <c r="F2742" s="190"/>
      <c r="G2742" s="190"/>
    </row>
    <row r="2743" spans="1:7" ht="12.75" customHeight="1">
      <c r="A2743" s="190"/>
      <c r="B2743" s="190"/>
      <c r="C2743" s="190"/>
      <c r="D2743" s="190"/>
      <c r="E2743" s="190"/>
      <c r="F2743" s="190"/>
      <c r="G2743" s="190"/>
    </row>
    <row r="2744" spans="1:7" ht="12.75" customHeight="1">
      <c r="A2744" s="190"/>
      <c r="B2744" s="190"/>
      <c r="C2744" s="190"/>
      <c r="D2744" s="190"/>
      <c r="E2744" s="190"/>
      <c r="F2744" s="190"/>
      <c r="G2744" s="190"/>
    </row>
    <row r="2745" spans="1:7" ht="12.75" customHeight="1">
      <c r="A2745" s="190"/>
      <c r="B2745" s="190"/>
      <c r="C2745" s="190"/>
      <c r="D2745" s="190"/>
      <c r="E2745" s="190"/>
      <c r="F2745" s="190"/>
      <c r="G2745" s="190"/>
    </row>
    <row r="2746" spans="1:7" ht="12.75" customHeight="1">
      <c r="A2746" s="190"/>
      <c r="B2746" s="190"/>
      <c r="C2746" s="190"/>
      <c r="D2746" s="190"/>
      <c r="E2746" s="190"/>
      <c r="F2746" s="190"/>
      <c r="G2746" s="190"/>
    </row>
    <row r="2747" spans="1:7" ht="12.75" customHeight="1">
      <c r="A2747" s="190"/>
      <c r="B2747" s="190"/>
      <c r="C2747" s="190"/>
      <c r="D2747" s="190"/>
      <c r="E2747" s="190"/>
      <c r="F2747" s="190"/>
      <c r="G2747" s="190"/>
    </row>
    <row r="2748" spans="1:7" ht="12.75" customHeight="1">
      <c r="A2748" s="190"/>
      <c r="B2748" s="190"/>
      <c r="C2748" s="190"/>
      <c r="D2748" s="190"/>
      <c r="E2748" s="190"/>
      <c r="F2748" s="190"/>
      <c r="G2748" s="190"/>
    </row>
    <row r="2749" spans="1:7" ht="12.75" customHeight="1">
      <c r="A2749" s="190"/>
      <c r="B2749" s="190"/>
      <c r="C2749" s="190"/>
      <c r="D2749" s="190"/>
      <c r="E2749" s="190"/>
      <c r="F2749" s="190"/>
      <c r="G2749" s="190"/>
    </row>
    <row r="2750" spans="1:7" ht="12.75" customHeight="1">
      <c r="A2750" s="190"/>
      <c r="B2750" s="190"/>
      <c r="C2750" s="190"/>
      <c r="D2750" s="190"/>
      <c r="E2750" s="190"/>
      <c r="F2750" s="190"/>
      <c r="G2750" s="190"/>
    </row>
    <row r="2751" spans="1:7" ht="12.75" customHeight="1">
      <c r="A2751" s="190"/>
      <c r="B2751" s="190"/>
      <c r="C2751" s="190"/>
      <c r="D2751" s="190"/>
      <c r="E2751" s="190"/>
      <c r="F2751" s="190"/>
      <c r="G2751" s="190"/>
    </row>
    <row r="2752" spans="1:7" ht="12.75" customHeight="1">
      <c r="A2752" s="190"/>
      <c r="B2752" s="190"/>
      <c r="C2752" s="190"/>
      <c r="D2752" s="190"/>
      <c r="E2752" s="190"/>
      <c r="F2752" s="190"/>
      <c r="G2752" s="190"/>
    </row>
    <row r="2753" spans="1:7" ht="12.75" customHeight="1">
      <c r="A2753" s="190"/>
      <c r="B2753" s="190"/>
      <c r="C2753" s="190"/>
      <c r="D2753" s="190"/>
      <c r="E2753" s="190"/>
      <c r="F2753" s="190"/>
      <c r="G2753" s="190"/>
    </row>
    <row r="2754" spans="1:7" ht="12.75" customHeight="1">
      <c r="A2754" s="190"/>
      <c r="B2754" s="190"/>
      <c r="C2754" s="190"/>
      <c r="D2754" s="190"/>
      <c r="E2754" s="190"/>
      <c r="F2754" s="190"/>
      <c r="G2754" s="190"/>
    </row>
    <row r="2755" spans="1:7" ht="12.75" customHeight="1">
      <c r="A2755" s="190"/>
      <c r="B2755" s="190"/>
      <c r="C2755" s="190"/>
      <c r="D2755" s="190"/>
      <c r="E2755" s="190"/>
      <c r="F2755" s="190"/>
      <c r="G2755" s="190"/>
    </row>
    <row r="2756" spans="1:7" ht="12.75" customHeight="1">
      <c r="A2756" s="190"/>
      <c r="B2756" s="190"/>
      <c r="C2756" s="190"/>
      <c r="D2756" s="190"/>
      <c r="E2756" s="190"/>
      <c r="F2756" s="190"/>
      <c r="G2756" s="190"/>
    </row>
    <row r="2757" spans="1:7" ht="12.75" customHeight="1">
      <c r="A2757" s="190"/>
      <c r="B2757" s="190"/>
      <c r="C2757" s="190"/>
      <c r="D2757" s="190"/>
      <c r="E2757" s="190"/>
      <c r="F2757" s="190"/>
      <c r="G2757" s="190"/>
    </row>
    <row r="2758" spans="1:7" ht="12.75" customHeight="1">
      <c r="A2758" s="190"/>
      <c r="B2758" s="190"/>
      <c r="C2758" s="190"/>
      <c r="D2758" s="190"/>
      <c r="E2758" s="190"/>
      <c r="F2758" s="190"/>
      <c r="G2758" s="190"/>
    </row>
    <row r="2759" spans="1:7" ht="12.75" customHeight="1">
      <c r="A2759" s="190"/>
      <c r="B2759" s="190"/>
      <c r="C2759" s="190"/>
      <c r="D2759" s="190"/>
      <c r="E2759" s="190"/>
      <c r="F2759" s="190"/>
      <c r="G2759" s="190"/>
    </row>
    <row r="2760" spans="1:7" ht="12.75" customHeight="1">
      <c r="A2760" s="190"/>
      <c r="B2760" s="190"/>
      <c r="C2760" s="190"/>
      <c r="D2760" s="190"/>
      <c r="E2760" s="190"/>
      <c r="F2760" s="190"/>
      <c r="G2760" s="190"/>
    </row>
    <row r="2761" spans="1:7" ht="12.75" customHeight="1">
      <c r="A2761" s="190"/>
      <c r="B2761" s="190"/>
      <c r="C2761" s="190"/>
      <c r="D2761" s="190"/>
      <c r="E2761" s="190"/>
      <c r="F2761" s="190"/>
      <c r="G2761" s="190"/>
    </row>
    <row r="2762" spans="1:7" ht="12.75" customHeight="1">
      <c r="A2762" s="190"/>
      <c r="B2762" s="190"/>
      <c r="C2762" s="190"/>
      <c r="D2762" s="190"/>
      <c r="E2762" s="190"/>
      <c r="F2762" s="190"/>
      <c r="G2762" s="190"/>
    </row>
    <row r="2763" spans="1:7" ht="12.75" customHeight="1">
      <c r="A2763" s="190"/>
      <c r="B2763" s="190"/>
      <c r="C2763" s="190"/>
      <c r="D2763" s="190"/>
      <c r="E2763" s="190"/>
      <c r="F2763" s="190"/>
      <c r="G2763" s="190"/>
    </row>
    <row r="2764" spans="1:7" ht="12.75" customHeight="1">
      <c r="A2764" s="190"/>
      <c r="B2764" s="190"/>
      <c r="C2764" s="190"/>
      <c r="D2764" s="190"/>
      <c r="E2764" s="190"/>
      <c r="F2764" s="190"/>
      <c r="G2764" s="190"/>
    </row>
    <row r="2765" spans="1:7" ht="12.75" customHeight="1">
      <c r="A2765" s="190"/>
      <c r="B2765" s="190"/>
      <c r="C2765" s="190"/>
      <c r="D2765" s="190"/>
      <c r="E2765" s="190"/>
      <c r="F2765" s="190"/>
      <c r="G2765" s="190"/>
    </row>
    <row r="2766" spans="1:7" ht="12.75" customHeight="1">
      <c r="A2766" s="190"/>
      <c r="B2766" s="190"/>
      <c r="C2766" s="190"/>
      <c r="D2766" s="190"/>
      <c r="E2766" s="190"/>
      <c r="F2766" s="190"/>
      <c r="G2766" s="190"/>
    </row>
    <row r="2767" spans="1:7" ht="12.75" customHeight="1">
      <c r="A2767" s="190"/>
      <c r="B2767" s="190"/>
      <c r="C2767" s="190"/>
      <c r="D2767" s="190"/>
      <c r="E2767" s="190"/>
      <c r="F2767" s="190"/>
      <c r="G2767" s="190"/>
    </row>
    <row r="2768" spans="1:7" ht="12.75" customHeight="1">
      <c r="A2768" s="190"/>
      <c r="B2768" s="190"/>
      <c r="C2768" s="190"/>
      <c r="D2768" s="190"/>
      <c r="E2768" s="190"/>
      <c r="F2768" s="190"/>
      <c r="G2768" s="190"/>
    </row>
    <row r="2769" spans="1:7" ht="12.75" customHeight="1">
      <c r="A2769" s="190"/>
      <c r="B2769" s="190"/>
      <c r="C2769" s="190"/>
      <c r="D2769" s="190"/>
      <c r="E2769" s="190"/>
      <c r="F2769" s="190"/>
      <c r="G2769" s="190"/>
    </row>
    <row r="2770" spans="1:7" ht="12.75" customHeight="1">
      <c r="A2770" s="190"/>
      <c r="B2770" s="190"/>
      <c r="C2770" s="190"/>
      <c r="D2770" s="190"/>
      <c r="E2770" s="190"/>
      <c r="F2770" s="190"/>
      <c r="G2770" s="190"/>
    </row>
    <row r="2771" spans="1:7" ht="12.75" customHeight="1">
      <c r="A2771" s="190"/>
      <c r="B2771" s="190"/>
      <c r="C2771" s="190"/>
      <c r="D2771" s="190"/>
      <c r="E2771" s="190"/>
      <c r="F2771" s="190"/>
      <c r="G2771" s="190"/>
    </row>
    <row r="2772" spans="1:7" ht="12.75" customHeight="1">
      <c r="A2772" s="190"/>
      <c r="B2772" s="190"/>
      <c r="C2772" s="190"/>
      <c r="D2772" s="190"/>
      <c r="E2772" s="190"/>
      <c r="F2772" s="190"/>
      <c r="G2772" s="190"/>
    </row>
    <row r="2773" spans="1:7" ht="12.75" customHeight="1">
      <c r="A2773" s="190"/>
      <c r="B2773" s="190"/>
      <c r="C2773" s="190"/>
      <c r="D2773" s="190"/>
      <c r="E2773" s="190"/>
      <c r="F2773" s="190"/>
      <c r="G2773" s="190"/>
    </row>
    <row r="2774" spans="1:7" ht="12.75" customHeight="1">
      <c r="A2774" s="190"/>
      <c r="B2774" s="190"/>
      <c r="C2774" s="190"/>
      <c r="D2774" s="190"/>
      <c r="E2774" s="190"/>
      <c r="F2774" s="190"/>
      <c r="G2774" s="190"/>
    </row>
    <row r="2775" spans="1:7" ht="12.75" customHeight="1">
      <c r="A2775" s="190"/>
      <c r="B2775" s="190"/>
      <c r="C2775" s="190"/>
      <c r="D2775" s="190"/>
      <c r="E2775" s="190"/>
      <c r="F2775" s="190"/>
      <c r="G2775" s="190"/>
    </row>
    <row r="2776" spans="1:7" ht="12.75" customHeight="1">
      <c r="A2776" s="190"/>
      <c r="B2776" s="190"/>
      <c r="C2776" s="190"/>
      <c r="D2776" s="190"/>
      <c r="E2776" s="190"/>
      <c r="F2776" s="190"/>
      <c r="G2776" s="190"/>
    </row>
    <row r="2777" spans="1:7" ht="12.75" customHeight="1">
      <c r="A2777" s="190"/>
      <c r="B2777" s="190"/>
      <c r="C2777" s="190"/>
      <c r="D2777" s="190"/>
      <c r="E2777" s="190"/>
      <c r="F2777" s="190"/>
      <c r="G2777" s="190"/>
    </row>
    <row r="2778" spans="1:7" ht="12.75" customHeight="1">
      <c r="A2778" s="190"/>
      <c r="B2778" s="190"/>
      <c r="C2778" s="190"/>
      <c r="D2778" s="190"/>
      <c r="E2778" s="190"/>
      <c r="F2778" s="190"/>
      <c r="G2778" s="190"/>
    </row>
    <row r="2779" spans="1:7" ht="12.75" customHeight="1">
      <c r="A2779" s="190"/>
      <c r="B2779" s="190"/>
      <c r="C2779" s="190"/>
      <c r="D2779" s="190"/>
      <c r="E2779" s="190"/>
      <c r="F2779" s="190"/>
      <c r="G2779" s="190"/>
    </row>
    <row r="2780" spans="1:7" ht="12.75" customHeight="1">
      <c r="A2780" s="190"/>
      <c r="B2780" s="190"/>
      <c r="C2780" s="190"/>
      <c r="D2780" s="190"/>
      <c r="E2780" s="190"/>
      <c r="F2780" s="190"/>
      <c r="G2780" s="190"/>
    </row>
    <row r="2781" spans="1:7" ht="12.75" customHeight="1">
      <c r="A2781" s="190"/>
      <c r="B2781" s="190"/>
      <c r="C2781" s="190"/>
      <c r="D2781" s="190"/>
      <c r="E2781" s="190"/>
      <c r="F2781" s="190"/>
      <c r="G2781" s="190"/>
    </row>
    <row r="2782" spans="1:7" ht="12.75" customHeight="1">
      <c r="A2782" s="190"/>
      <c r="B2782" s="190"/>
      <c r="C2782" s="190"/>
      <c r="D2782" s="190"/>
      <c r="E2782" s="190"/>
      <c r="F2782" s="190"/>
      <c r="G2782" s="190"/>
    </row>
    <row r="2783" spans="1:7" ht="12.75" customHeight="1">
      <c r="A2783" s="190"/>
      <c r="B2783" s="190"/>
      <c r="C2783" s="190"/>
      <c r="D2783" s="190"/>
      <c r="E2783" s="190"/>
      <c r="F2783" s="190"/>
      <c r="G2783" s="190"/>
    </row>
    <row r="2784" spans="1:7" ht="12.75" customHeight="1">
      <c r="A2784" s="190"/>
      <c r="B2784" s="190"/>
      <c r="C2784" s="190"/>
      <c r="D2784" s="190"/>
      <c r="E2784" s="190"/>
      <c r="F2784" s="190"/>
      <c r="G2784" s="190"/>
    </row>
    <row r="2785" spans="1:7" ht="12.75" customHeight="1">
      <c r="A2785" s="190"/>
      <c r="B2785" s="190"/>
      <c r="C2785" s="190"/>
      <c r="D2785" s="190"/>
      <c r="E2785" s="190"/>
      <c r="F2785" s="190"/>
      <c r="G2785" s="190"/>
    </row>
    <row r="2786" spans="1:7" ht="12.75" customHeight="1">
      <c r="A2786" s="190"/>
      <c r="B2786" s="190"/>
      <c r="C2786" s="190"/>
      <c r="D2786" s="190"/>
      <c r="E2786" s="190"/>
      <c r="F2786" s="190"/>
      <c r="G2786" s="190"/>
    </row>
    <row r="2787" spans="1:7" ht="12.75" customHeight="1">
      <c r="A2787" s="190"/>
      <c r="B2787" s="190"/>
      <c r="C2787" s="190"/>
      <c r="D2787" s="190"/>
      <c r="E2787" s="190"/>
      <c r="F2787" s="190"/>
      <c r="G2787" s="190"/>
    </row>
    <row r="2788" spans="1:7" ht="12.75" customHeight="1">
      <c r="A2788" s="190"/>
      <c r="B2788" s="190"/>
      <c r="C2788" s="190"/>
      <c r="D2788" s="190"/>
      <c r="E2788" s="190"/>
      <c r="F2788" s="190"/>
      <c r="G2788" s="190"/>
    </row>
    <row r="2789" spans="1:7" ht="12.75" customHeight="1">
      <c r="A2789" s="190"/>
      <c r="B2789" s="190"/>
      <c r="C2789" s="190"/>
      <c r="D2789" s="190"/>
      <c r="E2789" s="190"/>
      <c r="F2789" s="190"/>
      <c r="G2789" s="190"/>
    </row>
    <row r="2790" spans="1:7" ht="12.75" customHeight="1">
      <c r="A2790" s="190"/>
      <c r="B2790" s="190"/>
      <c r="C2790" s="190"/>
      <c r="D2790" s="190"/>
      <c r="E2790" s="190"/>
      <c r="F2790" s="190"/>
      <c r="G2790" s="190"/>
    </row>
    <row r="2791" spans="1:7" ht="12.75" customHeight="1">
      <c r="A2791" s="190"/>
      <c r="B2791" s="190"/>
      <c r="C2791" s="190"/>
      <c r="D2791" s="190"/>
      <c r="E2791" s="190"/>
      <c r="F2791" s="190"/>
      <c r="G2791" s="190"/>
    </row>
    <row r="2792" spans="1:7" ht="12.75" customHeight="1">
      <c r="A2792" s="190"/>
      <c r="B2792" s="190"/>
      <c r="C2792" s="190"/>
      <c r="D2792" s="190"/>
      <c r="E2792" s="190"/>
      <c r="F2792" s="190"/>
      <c r="G2792" s="190"/>
    </row>
    <row r="2793" spans="1:7" ht="12.75" customHeight="1">
      <c r="A2793" s="190"/>
      <c r="B2793" s="190"/>
      <c r="C2793" s="190"/>
      <c r="D2793" s="190"/>
      <c r="E2793" s="190"/>
      <c r="F2793" s="190"/>
      <c r="G2793" s="190"/>
    </row>
    <row r="2794" spans="1:7" ht="12.75" customHeight="1">
      <c r="A2794" s="190"/>
      <c r="B2794" s="190"/>
      <c r="C2794" s="190"/>
      <c r="D2794" s="190"/>
      <c r="E2794" s="190"/>
      <c r="F2794" s="190"/>
      <c r="G2794" s="190"/>
    </row>
    <row r="2795" spans="1:7" ht="12.75" customHeight="1">
      <c r="A2795" s="190"/>
      <c r="B2795" s="190"/>
      <c r="C2795" s="190"/>
      <c r="D2795" s="190"/>
      <c r="E2795" s="190"/>
      <c r="F2795" s="190"/>
      <c r="G2795" s="190"/>
    </row>
    <row r="2796" spans="1:7" ht="12.75" customHeight="1">
      <c r="A2796" s="190"/>
      <c r="B2796" s="190"/>
      <c r="C2796" s="190"/>
      <c r="D2796" s="190"/>
      <c r="E2796" s="190"/>
      <c r="F2796" s="190"/>
      <c r="G2796" s="190"/>
    </row>
    <row r="2797" spans="1:7" ht="12.75" customHeight="1">
      <c r="A2797" s="190"/>
      <c r="B2797" s="190"/>
      <c r="C2797" s="190"/>
      <c r="D2797" s="190"/>
      <c r="E2797" s="190"/>
      <c r="F2797" s="190"/>
      <c r="G2797" s="190"/>
    </row>
    <row r="2798" spans="1:7" ht="12.75" customHeight="1">
      <c r="A2798" s="190"/>
      <c r="B2798" s="190"/>
      <c r="C2798" s="190"/>
      <c r="D2798" s="190"/>
      <c r="E2798" s="190"/>
      <c r="F2798" s="190"/>
      <c r="G2798" s="190"/>
    </row>
    <row r="2799" spans="1:7" ht="12.75" customHeight="1">
      <c r="A2799" s="190"/>
      <c r="B2799" s="190"/>
      <c r="C2799" s="190"/>
      <c r="D2799" s="190"/>
      <c r="E2799" s="190"/>
      <c r="F2799" s="190"/>
      <c r="G2799" s="190"/>
    </row>
    <row r="2800" spans="1:7" ht="12.75" customHeight="1">
      <c r="A2800" s="190"/>
      <c r="B2800" s="190"/>
      <c r="C2800" s="190"/>
      <c r="D2800" s="190"/>
      <c r="E2800" s="190"/>
      <c r="F2800" s="190"/>
      <c r="G2800" s="190"/>
    </row>
    <row r="2801" spans="1:7" ht="12.75" customHeight="1">
      <c r="A2801" s="190"/>
      <c r="B2801" s="190"/>
      <c r="C2801" s="190"/>
      <c r="D2801" s="190"/>
      <c r="E2801" s="190"/>
      <c r="F2801" s="190"/>
      <c r="G2801" s="190"/>
    </row>
    <row r="2802" spans="1:7" ht="12.75" customHeight="1">
      <c r="A2802" s="190"/>
      <c r="B2802" s="190"/>
      <c r="C2802" s="190"/>
      <c r="D2802" s="190"/>
      <c r="E2802" s="190"/>
      <c r="F2802" s="190"/>
      <c r="G2802" s="190"/>
    </row>
    <row r="2803" spans="1:7" ht="12.75" customHeight="1">
      <c r="A2803" s="190"/>
      <c r="B2803" s="190"/>
      <c r="C2803" s="190"/>
      <c r="D2803" s="190"/>
      <c r="E2803" s="190"/>
      <c r="F2803" s="190"/>
      <c r="G2803" s="190"/>
    </row>
    <row r="2804" spans="1:7" ht="12.75" customHeight="1">
      <c r="A2804" s="190"/>
      <c r="B2804" s="190"/>
      <c r="C2804" s="190"/>
      <c r="D2804" s="190"/>
      <c r="E2804" s="190"/>
      <c r="F2804" s="190"/>
      <c r="G2804" s="190"/>
    </row>
    <row r="2805" spans="1:7" ht="12.75" customHeight="1">
      <c r="A2805" s="190"/>
      <c r="B2805" s="190"/>
      <c r="C2805" s="190"/>
      <c r="D2805" s="190"/>
      <c r="E2805" s="190"/>
      <c r="F2805" s="190"/>
      <c r="G2805" s="190"/>
    </row>
    <row r="2806" spans="1:7" ht="12.75" customHeight="1">
      <c r="A2806" s="190"/>
      <c r="B2806" s="190"/>
      <c r="C2806" s="190"/>
      <c r="D2806" s="190"/>
      <c r="E2806" s="190"/>
      <c r="F2806" s="190"/>
      <c r="G2806" s="190"/>
    </row>
    <row r="2807" spans="1:7" ht="12.75" customHeight="1">
      <c r="A2807" s="190"/>
      <c r="B2807" s="190"/>
      <c r="C2807" s="190"/>
      <c r="D2807" s="190"/>
      <c r="E2807" s="190"/>
      <c r="F2807" s="190"/>
      <c r="G2807" s="190"/>
    </row>
    <row r="2808" spans="1:7" ht="12.75" customHeight="1">
      <c r="A2808" s="190"/>
      <c r="B2808" s="190"/>
      <c r="C2808" s="190"/>
      <c r="D2808" s="190"/>
      <c r="E2808" s="190"/>
      <c r="F2808" s="190"/>
      <c r="G2808" s="190"/>
    </row>
    <row r="2809" spans="1:7" ht="12.75" customHeight="1">
      <c r="A2809" s="190"/>
      <c r="B2809" s="190"/>
      <c r="C2809" s="190"/>
      <c r="D2809" s="190"/>
      <c r="E2809" s="190"/>
      <c r="F2809" s="190"/>
      <c r="G2809" s="190"/>
    </row>
    <row r="2810" spans="1:7" ht="12.75" customHeight="1">
      <c r="A2810" s="190"/>
      <c r="B2810" s="190"/>
      <c r="C2810" s="190"/>
      <c r="D2810" s="190"/>
      <c r="E2810" s="190"/>
      <c r="F2810" s="190"/>
      <c r="G2810" s="190"/>
    </row>
    <row r="2811" spans="1:7" ht="12.75" customHeight="1">
      <c r="A2811" s="190"/>
      <c r="B2811" s="190"/>
      <c r="C2811" s="190"/>
      <c r="D2811" s="190"/>
      <c r="E2811" s="190"/>
      <c r="F2811" s="190"/>
      <c r="G2811" s="190"/>
    </row>
    <row r="2812" spans="1:7" ht="12.75" customHeight="1">
      <c r="A2812" s="190"/>
      <c r="B2812" s="190"/>
      <c r="C2812" s="190"/>
      <c r="D2812" s="190"/>
      <c r="E2812" s="190"/>
      <c r="F2812" s="190"/>
      <c r="G2812" s="190"/>
    </row>
    <row r="2813" spans="1:7" ht="12.75" customHeight="1">
      <c r="A2813" s="190"/>
      <c r="B2813" s="190"/>
      <c r="C2813" s="190"/>
      <c r="D2813" s="190"/>
      <c r="E2813" s="190"/>
      <c r="F2813" s="190"/>
      <c r="G2813" s="190"/>
    </row>
    <row r="2814" spans="1:7" ht="12.75" customHeight="1">
      <c r="A2814" s="190"/>
      <c r="B2814" s="190"/>
      <c r="C2814" s="190"/>
      <c r="D2814" s="190"/>
      <c r="E2814" s="190"/>
      <c r="F2814" s="190"/>
      <c r="G2814" s="190"/>
    </row>
    <row r="2815" spans="1:7" ht="12.75" customHeight="1">
      <c r="A2815" s="190"/>
      <c r="B2815" s="190"/>
      <c r="C2815" s="190"/>
      <c r="D2815" s="190"/>
      <c r="E2815" s="190"/>
      <c r="F2815" s="190"/>
      <c r="G2815" s="190"/>
    </row>
    <row r="2816" spans="1:7" ht="12.75" customHeight="1">
      <c r="A2816" s="190"/>
      <c r="B2816" s="190"/>
      <c r="C2816" s="190"/>
      <c r="D2816" s="190"/>
      <c r="E2816" s="190"/>
      <c r="F2816" s="190"/>
      <c r="G2816" s="190"/>
    </row>
    <row r="2817" spans="1:7" ht="12.75" customHeight="1">
      <c r="A2817" s="190"/>
      <c r="B2817" s="190"/>
      <c r="C2817" s="190"/>
      <c r="D2817" s="190"/>
      <c r="E2817" s="190"/>
      <c r="F2817" s="190"/>
      <c r="G2817" s="190"/>
    </row>
    <row r="2818" spans="1:7" ht="12.75" customHeight="1">
      <c r="A2818" s="190"/>
      <c r="B2818" s="190"/>
      <c r="C2818" s="190"/>
      <c r="D2818" s="190"/>
      <c r="E2818" s="190"/>
      <c r="F2818" s="190"/>
      <c r="G2818" s="190"/>
    </row>
    <row r="2819" spans="1:7" ht="12.75" customHeight="1">
      <c r="A2819" s="190"/>
      <c r="B2819" s="190"/>
      <c r="C2819" s="190"/>
      <c r="D2819" s="190"/>
      <c r="E2819" s="190"/>
      <c r="F2819" s="190"/>
      <c r="G2819" s="190"/>
    </row>
    <row r="2820" spans="1:7" ht="12.75" customHeight="1">
      <c r="A2820" s="190"/>
      <c r="B2820" s="190"/>
      <c r="C2820" s="190"/>
      <c r="D2820" s="190"/>
      <c r="E2820" s="190"/>
      <c r="F2820" s="190"/>
      <c r="G2820" s="190"/>
    </row>
    <row r="2821" spans="1:7" ht="12.75" customHeight="1">
      <c r="A2821" s="190"/>
      <c r="B2821" s="190"/>
      <c r="C2821" s="190"/>
      <c r="D2821" s="190"/>
      <c r="E2821" s="190"/>
      <c r="F2821" s="190"/>
      <c r="G2821" s="190"/>
    </row>
    <row r="2822" spans="1:7" ht="12.75" customHeight="1">
      <c r="A2822" s="190"/>
      <c r="B2822" s="190"/>
      <c r="C2822" s="190"/>
      <c r="D2822" s="190"/>
      <c r="E2822" s="190"/>
      <c r="F2822" s="190"/>
      <c r="G2822" s="190"/>
    </row>
    <row r="2823" spans="1:7" ht="12.75" customHeight="1">
      <c r="A2823" s="190"/>
      <c r="B2823" s="190"/>
      <c r="C2823" s="190"/>
      <c r="D2823" s="190"/>
      <c r="E2823" s="190"/>
      <c r="F2823" s="190"/>
      <c r="G2823" s="190"/>
    </row>
    <row r="2824" spans="1:7" ht="12.75" customHeight="1">
      <c r="A2824" s="190"/>
      <c r="B2824" s="190"/>
      <c r="C2824" s="190"/>
      <c r="D2824" s="190"/>
      <c r="E2824" s="190"/>
      <c r="F2824" s="190"/>
      <c r="G2824" s="190"/>
    </row>
    <row r="2825" spans="1:7" ht="12.75" customHeight="1">
      <c r="A2825" s="190"/>
      <c r="B2825" s="190"/>
      <c r="C2825" s="190"/>
      <c r="D2825" s="190"/>
      <c r="E2825" s="190"/>
      <c r="F2825" s="190"/>
      <c r="G2825" s="190"/>
    </row>
    <row r="2826" spans="1:7" ht="12.75" customHeight="1">
      <c r="A2826" s="190"/>
      <c r="B2826" s="190"/>
      <c r="C2826" s="190"/>
      <c r="D2826" s="190"/>
      <c r="E2826" s="190"/>
      <c r="F2826" s="190"/>
      <c r="G2826" s="190"/>
    </row>
    <row r="2827" spans="1:7" ht="12.75" customHeight="1">
      <c r="A2827" s="190"/>
      <c r="B2827" s="190"/>
      <c r="C2827" s="190"/>
      <c r="D2827" s="190"/>
      <c r="E2827" s="190"/>
      <c r="F2827" s="190"/>
      <c r="G2827" s="190"/>
    </row>
    <row r="2828" spans="1:7" ht="12.75" customHeight="1">
      <c r="A2828" s="190"/>
      <c r="B2828" s="190"/>
      <c r="C2828" s="190"/>
      <c r="D2828" s="190"/>
      <c r="E2828" s="190"/>
      <c r="F2828" s="190"/>
      <c r="G2828" s="190"/>
    </row>
    <row r="2829" spans="1:7" ht="12.75" customHeight="1">
      <c r="A2829" s="190"/>
      <c r="B2829" s="190"/>
      <c r="C2829" s="190"/>
      <c r="D2829" s="190"/>
      <c r="E2829" s="190"/>
      <c r="F2829" s="190"/>
      <c r="G2829" s="190"/>
    </row>
    <row r="2830" spans="1:7" ht="12.75" customHeight="1">
      <c r="A2830" s="190"/>
      <c r="B2830" s="190"/>
      <c r="C2830" s="190"/>
      <c r="D2830" s="190"/>
      <c r="E2830" s="190"/>
      <c r="F2830" s="190"/>
      <c r="G2830" s="190"/>
    </row>
    <row r="2831" spans="1:7" ht="12.75" customHeight="1">
      <c r="A2831" s="190"/>
      <c r="B2831" s="190"/>
      <c r="C2831" s="190"/>
      <c r="D2831" s="190"/>
      <c r="E2831" s="190"/>
      <c r="F2831" s="190"/>
      <c r="G2831" s="190"/>
    </row>
    <row r="2832" spans="1:7" ht="12.75" customHeight="1">
      <c r="A2832" s="190"/>
      <c r="B2832" s="190"/>
      <c r="C2832" s="190"/>
      <c r="D2832" s="190"/>
      <c r="E2832" s="190"/>
      <c r="F2832" s="190"/>
      <c r="G2832" s="190"/>
    </row>
    <row r="2833" spans="1:7" ht="12.75" customHeight="1">
      <c r="A2833" s="190"/>
      <c r="B2833" s="190"/>
      <c r="C2833" s="190"/>
      <c r="D2833" s="190"/>
      <c r="E2833" s="190"/>
      <c r="F2833" s="190"/>
      <c r="G2833" s="190"/>
    </row>
    <row r="2834" spans="1:7" ht="12.75" customHeight="1">
      <c r="A2834" s="190"/>
      <c r="B2834" s="190"/>
      <c r="C2834" s="190"/>
      <c r="D2834" s="190"/>
      <c r="E2834" s="190"/>
      <c r="F2834" s="190"/>
      <c r="G2834" s="190"/>
    </row>
    <row r="2835" spans="1:7" ht="12.75" customHeight="1">
      <c r="A2835" s="190"/>
      <c r="B2835" s="190"/>
      <c r="C2835" s="190"/>
      <c r="D2835" s="190"/>
      <c r="E2835" s="190"/>
      <c r="F2835" s="190"/>
      <c r="G2835" s="190"/>
    </row>
    <row r="2836" spans="1:7" ht="12.75" customHeight="1">
      <c r="A2836" s="190"/>
      <c r="B2836" s="190"/>
      <c r="C2836" s="190"/>
      <c r="D2836" s="190"/>
      <c r="E2836" s="190"/>
      <c r="F2836" s="190"/>
      <c r="G2836" s="190"/>
    </row>
    <row r="2837" spans="1:7" ht="12.75" customHeight="1">
      <c r="A2837" s="190"/>
      <c r="B2837" s="190"/>
      <c r="C2837" s="190"/>
      <c r="D2837" s="190"/>
      <c r="E2837" s="190"/>
      <c r="F2837" s="190"/>
      <c r="G2837" s="190"/>
    </row>
    <row r="2838" spans="1:7" ht="12.75" customHeight="1">
      <c r="A2838" s="190"/>
      <c r="B2838" s="190"/>
      <c r="C2838" s="190"/>
      <c r="D2838" s="190"/>
      <c r="E2838" s="190"/>
      <c r="F2838" s="190"/>
      <c r="G2838" s="190"/>
    </row>
    <row r="2839" spans="1:7" ht="12.75" customHeight="1">
      <c r="A2839" s="190"/>
      <c r="B2839" s="190"/>
      <c r="C2839" s="190"/>
      <c r="D2839" s="190"/>
      <c r="E2839" s="190"/>
      <c r="F2839" s="190"/>
      <c r="G2839" s="190"/>
    </row>
    <row r="2840" spans="1:7" ht="12.75" customHeight="1">
      <c r="A2840" s="190"/>
      <c r="B2840" s="190"/>
      <c r="C2840" s="190"/>
      <c r="D2840" s="190"/>
      <c r="E2840" s="190"/>
      <c r="F2840" s="190"/>
      <c r="G2840" s="190"/>
    </row>
    <row r="2841" spans="1:7" ht="12.75" customHeight="1">
      <c r="A2841" s="190"/>
      <c r="B2841" s="190"/>
      <c r="C2841" s="190"/>
      <c r="D2841" s="190"/>
      <c r="E2841" s="190"/>
      <c r="F2841" s="190"/>
      <c r="G2841" s="190"/>
    </row>
    <row r="2842" spans="1:7" ht="12.75" customHeight="1">
      <c r="A2842" s="190"/>
      <c r="B2842" s="190"/>
      <c r="C2842" s="190"/>
      <c r="D2842" s="190"/>
      <c r="E2842" s="190"/>
      <c r="F2842" s="190"/>
      <c r="G2842" s="190"/>
    </row>
    <row r="2843" spans="1:7" ht="12.75" customHeight="1">
      <c r="A2843" s="190"/>
      <c r="B2843" s="190"/>
      <c r="C2843" s="190"/>
      <c r="D2843" s="190"/>
      <c r="E2843" s="190"/>
      <c r="F2843" s="190"/>
      <c r="G2843" s="190"/>
    </row>
    <row r="2844" spans="1:7" ht="12.75" customHeight="1">
      <c r="A2844" s="190"/>
      <c r="B2844" s="190"/>
      <c r="C2844" s="190"/>
      <c r="D2844" s="190"/>
      <c r="E2844" s="190"/>
      <c r="F2844" s="190"/>
      <c r="G2844" s="190"/>
    </row>
    <row r="2845" spans="1:7" ht="12.75" customHeight="1">
      <c r="A2845" s="190"/>
      <c r="B2845" s="190"/>
      <c r="C2845" s="190"/>
      <c r="D2845" s="190"/>
      <c r="E2845" s="190"/>
      <c r="F2845" s="190"/>
      <c r="G2845" s="190"/>
    </row>
    <row r="2846" spans="1:7" ht="12.75" customHeight="1">
      <c r="A2846" s="190"/>
      <c r="B2846" s="190"/>
      <c r="C2846" s="190"/>
      <c r="D2846" s="190"/>
      <c r="E2846" s="190"/>
      <c r="F2846" s="190"/>
      <c r="G2846" s="190"/>
    </row>
    <row r="2847" spans="1:7" ht="12.75" customHeight="1">
      <c r="A2847" s="190"/>
      <c r="B2847" s="190"/>
      <c r="C2847" s="190"/>
      <c r="D2847" s="190"/>
      <c r="E2847" s="190"/>
      <c r="F2847" s="190"/>
      <c r="G2847" s="190"/>
    </row>
    <row r="2848" spans="1:7" ht="12.75" customHeight="1">
      <c r="A2848" s="190"/>
      <c r="B2848" s="190"/>
      <c r="C2848" s="190"/>
      <c r="D2848" s="190"/>
      <c r="E2848" s="190"/>
      <c r="F2848" s="190"/>
      <c r="G2848" s="190"/>
    </row>
    <row r="2849" spans="1:7" ht="12.75" customHeight="1">
      <c r="A2849" s="190"/>
      <c r="B2849" s="190"/>
      <c r="C2849" s="190"/>
      <c r="D2849" s="190"/>
      <c r="E2849" s="190"/>
      <c r="F2849" s="190"/>
      <c r="G2849" s="190"/>
    </row>
    <row r="2850" spans="1:7" ht="12.75" customHeight="1">
      <c r="A2850" s="190"/>
      <c r="B2850" s="190"/>
      <c r="C2850" s="190"/>
      <c r="D2850" s="190"/>
      <c r="E2850" s="190"/>
      <c r="F2850" s="190"/>
      <c r="G2850" s="190"/>
    </row>
    <row r="2851" spans="1:7" ht="12.75" customHeight="1">
      <c r="A2851" s="190"/>
      <c r="B2851" s="190"/>
      <c r="C2851" s="190"/>
      <c r="D2851" s="190"/>
      <c r="E2851" s="190"/>
      <c r="F2851" s="190"/>
      <c r="G2851" s="190"/>
    </row>
    <row r="2852" spans="1:7" ht="12.75" customHeight="1">
      <c r="A2852" s="190"/>
      <c r="B2852" s="190"/>
      <c r="C2852" s="190"/>
      <c r="D2852" s="190"/>
      <c r="E2852" s="190"/>
      <c r="F2852" s="190"/>
      <c r="G2852" s="190"/>
    </row>
    <row r="2853" spans="1:7" ht="12.75" customHeight="1">
      <c r="A2853" s="190"/>
      <c r="B2853" s="190"/>
      <c r="C2853" s="190"/>
      <c r="D2853" s="190"/>
      <c r="E2853" s="190"/>
      <c r="F2853" s="190"/>
      <c r="G2853" s="190"/>
    </row>
    <row r="2854" spans="1:7" ht="12.75" customHeight="1">
      <c r="A2854" s="190"/>
      <c r="B2854" s="190"/>
      <c r="C2854" s="190"/>
      <c r="D2854" s="190"/>
      <c r="E2854" s="190"/>
      <c r="F2854" s="190"/>
      <c r="G2854" s="190"/>
    </row>
    <row r="2855" spans="1:7" ht="12.75" customHeight="1">
      <c r="A2855" s="190"/>
      <c r="B2855" s="190"/>
      <c r="C2855" s="190"/>
      <c r="D2855" s="190"/>
      <c r="E2855" s="190"/>
      <c r="F2855" s="190"/>
      <c r="G2855" s="190"/>
    </row>
    <row r="2856" spans="1:7" ht="12.75" customHeight="1">
      <c r="A2856" s="190"/>
      <c r="B2856" s="190"/>
      <c r="C2856" s="190"/>
      <c r="D2856" s="190"/>
      <c r="E2856" s="190"/>
      <c r="F2856" s="190"/>
      <c r="G2856" s="190"/>
    </row>
    <row r="2857" spans="1:7" ht="12.75" customHeight="1">
      <c r="A2857" s="190"/>
      <c r="B2857" s="190"/>
      <c r="C2857" s="190"/>
      <c r="D2857" s="190"/>
      <c r="E2857" s="190"/>
      <c r="F2857" s="190"/>
      <c r="G2857" s="190"/>
    </row>
    <row r="2858" spans="1:7" ht="12.75" customHeight="1">
      <c r="A2858" s="190"/>
      <c r="B2858" s="190"/>
      <c r="C2858" s="190"/>
      <c r="D2858" s="190"/>
      <c r="E2858" s="190"/>
      <c r="F2858" s="190"/>
      <c r="G2858" s="190"/>
    </row>
    <row r="2859" spans="1:7" ht="12.75" customHeight="1">
      <c r="A2859" s="190"/>
      <c r="B2859" s="190"/>
      <c r="C2859" s="190"/>
      <c r="D2859" s="190"/>
      <c r="E2859" s="190"/>
      <c r="F2859" s="190"/>
      <c r="G2859" s="190"/>
    </row>
    <row r="2860" spans="1:7" ht="12.75" customHeight="1">
      <c r="A2860" s="190"/>
      <c r="B2860" s="190"/>
      <c r="C2860" s="190"/>
      <c r="D2860" s="190"/>
      <c r="E2860" s="190"/>
      <c r="F2860" s="190"/>
      <c r="G2860" s="190"/>
    </row>
    <row r="2861" spans="1:7" ht="12.75" customHeight="1">
      <c r="A2861" s="190"/>
      <c r="B2861" s="190"/>
      <c r="C2861" s="190"/>
      <c r="D2861" s="190"/>
      <c r="E2861" s="190"/>
      <c r="F2861" s="190"/>
      <c r="G2861" s="190"/>
    </row>
    <row r="2862" spans="1:7" ht="12.75" customHeight="1">
      <c r="A2862" s="190"/>
      <c r="B2862" s="190"/>
      <c r="C2862" s="190"/>
      <c r="D2862" s="190"/>
      <c r="E2862" s="190"/>
      <c r="F2862" s="190"/>
      <c r="G2862" s="190"/>
    </row>
    <row r="2863" spans="1:7" ht="12.75" customHeight="1">
      <c r="A2863" s="190"/>
      <c r="B2863" s="190"/>
      <c r="C2863" s="190"/>
      <c r="D2863" s="190"/>
      <c r="E2863" s="190"/>
      <c r="F2863" s="190"/>
      <c r="G2863" s="190"/>
    </row>
    <row r="2864" spans="1:7" ht="12.75" customHeight="1">
      <c r="A2864" s="190"/>
      <c r="B2864" s="190"/>
      <c r="C2864" s="190"/>
      <c r="D2864" s="190"/>
      <c r="E2864" s="190"/>
      <c r="F2864" s="190"/>
      <c r="G2864" s="190"/>
    </row>
    <row r="2865" spans="1:7" ht="12.75" customHeight="1">
      <c r="A2865" s="190"/>
      <c r="B2865" s="190"/>
      <c r="C2865" s="190"/>
      <c r="D2865" s="190"/>
      <c r="E2865" s="190"/>
      <c r="F2865" s="190"/>
      <c r="G2865" s="190"/>
    </row>
    <row r="2866" spans="1:7" ht="12.75" customHeight="1">
      <c r="A2866" s="190"/>
      <c r="B2866" s="190"/>
      <c r="C2866" s="190"/>
      <c r="D2866" s="190"/>
      <c r="E2866" s="190"/>
      <c r="F2866" s="190"/>
      <c r="G2866" s="190"/>
    </row>
    <row r="2867" spans="1:7" ht="12.75" customHeight="1">
      <c r="A2867" s="190"/>
      <c r="B2867" s="190"/>
      <c r="C2867" s="190"/>
      <c r="D2867" s="190"/>
      <c r="E2867" s="190"/>
      <c r="F2867" s="190"/>
      <c r="G2867" s="190"/>
    </row>
    <row r="2868" spans="1:7" ht="12.75" customHeight="1">
      <c r="A2868" s="190"/>
      <c r="B2868" s="190"/>
      <c r="C2868" s="190"/>
      <c r="D2868" s="190"/>
      <c r="E2868" s="190"/>
      <c r="F2868" s="190"/>
      <c r="G2868" s="190"/>
    </row>
    <row r="2869" spans="1:7" ht="12.75" customHeight="1">
      <c r="A2869" s="190"/>
      <c r="B2869" s="190"/>
      <c r="C2869" s="190"/>
      <c r="D2869" s="190"/>
      <c r="E2869" s="190"/>
      <c r="F2869" s="190"/>
      <c r="G2869" s="190"/>
    </row>
    <row r="2870" spans="1:7" ht="12.75" customHeight="1">
      <c r="A2870" s="190"/>
      <c r="B2870" s="190"/>
      <c r="C2870" s="190"/>
      <c r="D2870" s="190"/>
      <c r="E2870" s="190"/>
      <c r="F2870" s="190"/>
      <c r="G2870" s="190"/>
    </row>
    <row r="2871" spans="1:7" ht="12.75" customHeight="1">
      <c r="A2871" s="190"/>
      <c r="B2871" s="190"/>
      <c r="C2871" s="190"/>
      <c r="D2871" s="190"/>
      <c r="E2871" s="190"/>
      <c r="F2871" s="190"/>
      <c r="G2871" s="190"/>
    </row>
    <row r="2872" spans="1:7" ht="12.75" customHeight="1">
      <c r="A2872" s="190"/>
      <c r="B2872" s="190"/>
      <c r="C2872" s="190"/>
      <c r="D2872" s="190"/>
      <c r="E2872" s="190"/>
      <c r="F2872" s="190"/>
      <c r="G2872" s="190"/>
    </row>
    <row r="2873" spans="1:7" ht="12.75" customHeight="1">
      <c r="A2873" s="190"/>
      <c r="B2873" s="190"/>
      <c r="C2873" s="190"/>
      <c r="D2873" s="190"/>
      <c r="E2873" s="190"/>
      <c r="F2873" s="190"/>
      <c r="G2873" s="190"/>
    </row>
    <row r="2874" spans="1:7" ht="12.75" customHeight="1">
      <c r="A2874" s="190"/>
      <c r="B2874" s="190"/>
      <c r="C2874" s="190"/>
      <c r="D2874" s="190"/>
      <c r="E2874" s="190"/>
      <c r="F2874" s="190"/>
      <c r="G2874" s="190"/>
    </row>
    <row r="2875" spans="1:7" ht="12.75" customHeight="1">
      <c r="A2875" s="190"/>
      <c r="B2875" s="190"/>
      <c r="C2875" s="190"/>
      <c r="D2875" s="190"/>
      <c r="E2875" s="190"/>
      <c r="F2875" s="190"/>
      <c r="G2875" s="190"/>
    </row>
    <row r="2876" spans="1:7" ht="12.75" customHeight="1">
      <c r="A2876" s="190"/>
      <c r="B2876" s="190"/>
      <c r="C2876" s="190"/>
      <c r="D2876" s="190"/>
      <c r="E2876" s="190"/>
      <c r="F2876" s="190"/>
      <c r="G2876" s="190"/>
    </row>
    <row r="2877" spans="1:7" ht="12.75" customHeight="1">
      <c r="A2877" s="190"/>
      <c r="B2877" s="190"/>
      <c r="C2877" s="190"/>
      <c r="D2877" s="190"/>
      <c r="E2877" s="190"/>
      <c r="F2877" s="190"/>
      <c r="G2877" s="190"/>
    </row>
    <row r="2878" spans="1:7" ht="12.75" customHeight="1">
      <c r="A2878" s="190"/>
      <c r="B2878" s="190"/>
      <c r="C2878" s="190"/>
      <c r="D2878" s="190"/>
      <c r="E2878" s="190"/>
      <c r="F2878" s="190"/>
      <c r="G2878" s="190"/>
    </row>
    <row r="2879" spans="1:7" ht="12.75" customHeight="1">
      <c r="A2879" s="190"/>
      <c r="B2879" s="190"/>
      <c r="C2879" s="190"/>
      <c r="D2879" s="190"/>
      <c r="E2879" s="190"/>
      <c r="F2879" s="190"/>
      <c r="G2879" s="190"/>
    </row>
    <row r="2880" spans="1:7" ht="12.75" customHeight="1">
      <c r="A2880" s="190"/>
      <c r="B2880" s="190"/>
      <c r="C2880" s="190"/>
      <c r="D2880" s="190"/>
      <c r="E2880" s="190"/>
      <c r="F2880" s="190"/>
      <c r="G2880" s="190"/>
    </row>
    <row r="2881" spans="1:7" ht="12.75" customHeight="1">
      <c r="A2881" s="190"/>
      <c r="B2881" s="190"/>
      <c r="C2881" s="190"/>
      <c r="D2881" s="190"/>
      <c r="E2881" s="190"/>
      <c r="F2881" s="190"/>
      <c r="G2881" s="190"/>
    </row>
    <row r="2882" spans="1:7" ht="12.75" customHeight="1">
      <c r="A2882" s="190"/>
      <c r="B2882" s="190"/>
      <c r="C2882" s="190"/>
      <c r="D2882" s="190"/>
      <c r="E2882" s="190"/>
      <c r="F2882" s="190"/>
      <c r="G2882" s="190"/>
    </row>
    <row r="2883" spans="1:7" ht="12.75" customHeight="1">
      <c r="A2883" s="190"/>
      <c r="B2883" s="190"/>
      <c r="C2883" s="190"/>
      <c r="D2883" s="190"/>
      <c r="E2883" s="190"/>
      <c r="F2883" s="190"/>
      <c r="G2883" s="190"/>
    </row>
    <row r="2884" spans="1:7" ht="12.75" customHeight="1">
      <c r="A2884" s="190"/>
      <c r="B2884" s="190"/>
      <c r="C2884" s="190"/>
      <c r="D2884" s="190"/>
      <c r="E2884" s="190"/>
      <c r="F2884" s="190"/>
      <c r="G2884" s="190"/>
    </row>
    <row r="2885" spans="1:7" ht="12.75" customHeight="1">
      <c r="A2885" s="190"/>
      <c r="B2885" s="190"/>
      <c r="C2885" s="190"/>
      <c r="D2885" s="190"/>
      <c r="E2885" s="190"/>
      <c r="F2885" s="190"/>
      <c r="G2885" s="190"/>
    </row>
    <row r="2886" spans="1:7" ht="12.75" customHeight="1">
      <c r="A2886" s="190"/>
      <c r="B2886" s="190"/>
      <c r="C2886" s="190"/>
      <c r="D2886" s="190"/>
      <c r="E2886" s="190"/>
      <c r="F2886" s="190"/>
      <c r="G2886" s="190"/>
    </row>
    <row r="2887" spans="1:7" ht="12.75" customHeight="1">
      <c r="A2887" s="190"/>
      <c r="B2887" s="190"/>
      <c r="C2887" s="190"/>
      <c r="D2887" s="190"/>
      <c r="E2887" s="190"/>
      <c r="F2887" s="190"/>
      <c r="G2887" s="190"/>
    </row>
    <row r="2888" spans="1:7" ht="12.75" customHeight="1">
      <c r="A2888" s="190"/>
      <c r="B2888" s="190"/>
      <c r="C2888" s="190"/>
      <c r="D2888" s="190"/>
      <c r="E2888" s="190"/>
      <c r="F2888" s="190"/>
      <c r="G2888" s="190"/>
    </row>
    <row r="2889" spans="1:7" ht="12.75" customHeight="1">
      <c r="A2889" s="190"/>
      <c r="B2889" s="190"/>
      <c r="C2889" s="190"/>
      <c r="D2889" s="190"/>
      <c r="E2889" s="190"/>
      <c r="F2889" s="190"/>
      <c r="G2889" s="190"/>
    </row>
    <row r="2890" spans="1:7" ht="12.75" customHeight="1">
      <c r="A2890" s="190"/>
      <c r="B2890" s="190"/>
      <c r="C2890" s="190"/>
      <c r="D2890" s="190"/>
      <c r="E2890" s="190"/>
      <c r="F2890" s="190"/>
      <c r="G2890" s="190"/>
    </row>
    <row r="2891" spans="1:7" ht="12.75" customHeight="1">
      <c r="A2891" s="190"/>
      <c r="B2891" s="190"/>
      <c r="C2891" s="190"/>
      <c r="D2891" s="190"/>
      <c r="E2891" s="190"/>
      <c r="F2891" s="190"/>
      <c r="G2891" s="190"/>
    </row>
    <row r="2892" spans="1:7" ht="12.75" customHeight="1">
      <c r="A2892" s="190"/>
      <c r="B2892" s="190"/>
      <c r="C2892" s="190"/>
      <c r="D2892" s="190"/>
      <c r="E2892" s="190"/>
      <c r="F2892" s="190"/>
      <c r="G2892" s="190"/>
    </row>
    <row r="2893" spans="1:7" ht="12.75" customHeight="1">
      <c r="A2893" s="190"/>
      <c r="B2893" s="190"/>
      <c r="C2893" s="190"/>
      <c r="D2893" s="190"/>
      <c r="E2893" s="190"/>
      <c r="F2893" s="190"/>
      <c r="G2893" s="190"/>
    </row>
    <row r="2894" spans="1:7" ht="12.75" customHeight="1">
      <c r="A2894" s="190"/>
      <c r="B2894" s="190"/>
      <c r="C2894" s="190"/>
      <c r="D2894" s="190"/>
      <c r="E2894" s="190"/>
      <c r="F2894" s="190"/>
      <c r="G2894" s="190"/>
    </row>
    <row r="2895" spans="1:7" ht="12.75" customHeight="1">
      <c r="A2895" s="190"/>
      <c r="B2895" s="190"/>
      <c r="C2895" s="190"/>
      <c r="D2895" s="190"/>
      <c r="E2895" s="190"/>
      <c r="F2895" s="190"/>
      <c r="G2895" s="190"/>
    </row>
    <row r="2896" spans="1:7" ht="12.75" customHeight="1">
      <c r="A2896" s="190"/>
      <c r="B2896" s="190"/>
      <c r="C2896" s="190"/>
      <c r="D2896" s="190"/>
      <c r="E2896" s="190"/>
      <c r="F2896" s="190"/>
      <c r="G2896" s="190"/>
    </row>
    <row r="2897" spans="1:7" ht="12.75" customHeight="1">
      <c r="A2897" s="190"/>
      <c r="B2897" s="190"/>
      <c r="C2897" s="190"/>
      <c r="D2897" s="190"/>
      <c r="E2897" s="190"/>
      <c r="F2897" s="190"/>
      <c r="G2897" s="190"/>
    </row>
    <row r="2898" spans="1:7" ht="12.75" customHeight="1">
      <c r="A2898" s="190"/>
      <c r="B2898" s="190"/>
      <c r="C2898" s="190"/>
      <c r="D2898" s="190"/>
      <c r="E2898" s="190"/>
      <c r="F2898" s="190"/>
      <c r="G2898" s="190"/>
    </row>
    <row r="2899" spans="1:7" ht="12.75" customHeight="1">
      <c r="A2899" s="190"/>
      <c r="B2899" s="190"/>
      <c r="C2899" s="190"/>
      <c r="D2899" s="190"/>
      <c r="E2899" s="190"/>
      <c r="F2899" s="190"/>
      <c r="G2899" s="190"/>
    </row>
    <row r="2900" spans="1:7" ht="12.75" customHeight="1">
      <c r="A2900" s="190"/>
      <c r="B2900" s="190"/>
      <c r="C2900" s="190"/>
      <c r="D2900" s="190"/>
      <c r="E2900" s="190"/>
      <c r="F2900" s="190"/>
      <c r="G2900" s="190"/>
    </row>
    <row r="2901" spans="1:7" ht="12.75" customHeight="1">
      <c r="A2901" s="190"/>
      <c r="B2901" s="190"/>
      <c r="C2901" s="190"/>
      <c r="D2901" s="190"/>
      <c r="E2901" s="190"/>
      <c r="F2901" s="190"/>
      <c r="G2901" s="190"/>
    </row>
    <row r="2902" spans="1:7" ht="12.75" customHeight="1">
      <c r="A2902" s="190"/>
      <c r="B2902" s="190"/>
      <c r="C2902" s="190"/>
      <c r="D2902" s="190"/>
      <c r="E2902" s="190"/>
      <c r="F2902" s="190"/>
      <c r="G2902" s="190"/>
    </row>
    <row r="2903" spans="1:7" ht="12.75" customHeight="1">
      <c r="A2903" s="190"/>
      <c r="B2903" s="190"/>
      <c r="C2903" s="190"/>
      <c r="D2903" s="190"/>
      <c r="E2903" s="190"/>
      <c r="F2903" s="190"/>
      <c r="G2903" s="190"/>
    </row>
    <row r="2904" spans="1:7" ht="12.75" customHeight="1">
      <c r="A2904" s="190"/>
      <c r="B2904" s="190"/>
      <c r="C2904" s="190"/>
      <c r="D2904" s="190"/>
      <c r="E2904" s="190"/>
      <c r="F2904" s="190"/>
      <c r="G2904" s="190"/>
    </row>
    <row r="2905" spans="1:7" ht="12.75" customHeight="1">
      <c r="A2905" s="190"/>
      <c r="B2905" s="190"/>
      <c r="C2905" s="190"/>
      <c r="D2905" s="190"/>
      <c r="E2905" s="190"/>
      <c r="F2905" s="190"/>
      <c r="G2905" s="190"/>
    </row>
    <row r="2906" spans="1:7" ht="12.75" customHeight="1">
      <c r="A2906" s="190"/>
      <c r="B2906" s="190"/>
      <c r="C2906" s="190"/>
      <c r="D2906" s="190"/>
      <c r="E2906" s="190"/>
      <c r="F2906" s="190"/>
      <c r="G2906" s="190"/>
    </row>
    <row r="2907" spans="1:7" ht="12.75" customHeight="1">
      <c r="A2907" s="190"/>
      <c r="B2907" s="190"/>
      <c r="C2907" s="190"/>
      <c r="D2907" s="190"/>
      <c r="E2907" s="190"/>
      <c r="F2907" s="190"/>
      <c r="G2907" s="190"/>
    </row>
    <row r="2908" spans="1:7" ht="12.75" customHeight="1">
      <c r="A2908" s="190"/>
      <c r="B2908" s="190"/>
      <c r="C2908" s="190"/>
      <c r="D2908" s="190"/>
      <c r="E2908" s="190"/>
      <c r="F2908" s="190"/>
      <c r="G2908" s="190"/>
    </row>
    <row r="2909" spans="1:7" ht="12.75" customHeight="1">
      <c r="A2909" s="190"/>
      <c r="B2909" s="190"/>
      <c r="C2909" s="190"/>
      <c r="D2909" s="190"/>
      <c r="E2909" s="190"/>
      <c r="F2909" s="190"/>
      <c r="G2909" s="190"/>
    </row>
    <row r="2910" spans="1:7" ht="12.75" customHeight="1">
      <c r="A2910" s="190"/>
      <c r="B2910" s="190"/>
      <c r="C2910" s="190"/>
      <c r="D2910" s="190"/>
      <c r="E2910" s="190"/>
      <c r="F2910" s="190"/>
      <c r="G2910" s="190"/>
    </row>
    <row r="2911" spans="1:7" ht="12.75" customHeight="1">
      <c r="A2911" s="190"/>
      <c r="B2911" s="190"/>
      <c r="C2911" s="190"/>
      <c r="D2911" s="190"/>
      <c r="E2911" s="190"/>
      <c r="F2911" s="190"/>
      <c r="G2911" s="190"/>
    </row>
    <row r="2912" spans="1:7" ht="12.75" customHeight="1">
      <c r="A2912" s="190"/>
      <c r="B2912" s="190"/>
      <c r="C2912" s="190"/>
      <c r="D2912" s="190"/>
      <c r="E2912" s="190"/>
      <c r="F2912" s="190"/>
      <c r="G2912" s="190"/>
    </row>
    <row r="2913" spans="1:7" ht="12.75" customHeight="1">
      <c r="A2913" s="190"/>
      <c r="B2913" s="190"/>
      <c r="C2913" s="190"/>
      <c r="D2913" s="190"/>
      <c r="E2913" s="190"/>
      <c r="F2913" s="190"/>
      <c r="G2913" s="190"/>
    </row>
    <row r="2914" spans="1:7" ht="12.75" customHeight="1">
      <c r="A2914" s="190"/>
      <c r="B2914" s="190"/>
      <c r="C2914" s="190"/>
      <c r="D2914" s="190"/>
      <c r="E2914" s="190"/>
      <c r="F2914" s="190"/>
      <c r="G2914" s="190"/>
    </row>
    <row r="2915" spans="1:7" ht="12.75" customHeight="1">
      <c r="A2915" s="190"/>
      <c r="B2915" s="190"/>
      <c r="C2915" s="190"/>
      <c r="D2915" s="190"/>
      <c r="E2915" s="190"/>
      <c r="F2915" s="190"/>
      <c r="G2915" s="190"/>
    </row>
    <row r="2916" spans="1:7" ht="12.75" customHeight="1">
      <c r="A2916" s="190"/>
      <c r="B2916" s="190"/>
      <c r="C2916" s="190"/>
      <c r="D2916" s="190"/>
      <c r="E2916" s="190"/>
      <c r="F2916" s="190"/>
      <c r="G2916" s="190"/>
    </row>
    <row r="2917" spans="1:7" ht="12.75" customHeight="1">
      <c r="A2917" s="190"/>
      <c r="B2917" s="190"/>
      <c r="C2917" s="190"/>
      <c r="D2917" s="190"/>
      <c r="E2917" s="190"/>
      <c r="F2917" s="190"/>
      <c r="G2917" s="190"/>
    </row>
    <row r="2918" spans="1:7" ht="12.75" customHeight="1">
      <c r="A2918" s="190"/>
      <c r="B2918" s="190"/>
      <c r="C2918" s="190"/>
      <c r="D2918" s="190"/>
      <c r="E2918" s="190"/>
      <c r="F2918" s="190"/>
      <c r="G2918" s="190"/>
    </row>
    <row r="2919" spans="1:7" ht="12.75" customHeight="1">
      <c r="A2919" s="190"/>
      <c r="B2919" s="190"/>
      <c r="C2919" s="190"/>
      <c r="D2919" s="190"/>
      <c r="E2919" s="190"/>
      <c r="F2919" s="190"/>
      <c r="G2919" s="190"/>
    </row>
    <row r="2920" spans="1:7" ht="12.75" customHeight="1">
      <c r="A2920" s="190"/>
      <c r="B2920" s="190"/>
      <c r="C2920" s="190"/>
      <c r="D2920" s="190"/>
      <c r="E2920" s="190"/>
      <c r="F2920" s="190"/>
      <c r="G2920" s="190"/>
    </row>
    <row r="2921" spans="1:7" ht="12.75" customHeight="1">
      <c r="A2921" s="190"/>
      <c r="B2921" s="190"/>
      <c r="C2921" s="190"/>
      <c r="D2921" s="190"/>
      <c r="E2921" s="190"/>
      <c r="F2921" s="190"/>
      <c r="G2921" s="190"/>
    </row>
    <row r="2922" spans="1:7" ht="12.75" customHeight="1">
      <c r="A2922" s="190"/>
      <c r="B2922" s="190"/>
      <c r="C2922" s="190"/>
      <c r="D2922" s="190"/>
      <c r="E2922" s="190"/>
      <c r="F2922" s="190"/>
      <c r="G2922" s="190"/>
    </row>
    <row r="2923" spans="1:7" ht="12.75" customHeight="1">
      <c r="A2923" s="190"/>
      <c r="B2923" s="190"/>
      <c r="C2923" s="190"/>
      <c r="D2923" s="190"/>
      <c r="E2923" s="190"/>
      <c r="F2923" s="190"/>
      <c r="G2923" s="190"/>
    </row>
    <row r="2924" spans="1:7" ht="12.75" customHeight="1">
      <c r="A2924" s="190"/>
      <c r="B2924" s="190"/>
      <c r="C2924" s="190"/>
      <c r="D2924" s="190"/>
      <c r="E2924" s="190"/>
      <c r="F2924" s="190"/>
      <c r="G2924" s="190"/>
    </row>
    <row r="2925" spans="1:7" ht="12.75" customHeight="1">
      <c r="A2925" s="190"/>
      <c r="B2925" s="190"/>
      <c r="C2925" s="190"/>
      <c r="D2925" s="190"/>
      <c r="E2925" s="190"/>
      <c r="F2925" s="190"/>
      <c r="G2925" s="190"/>
    </row>
    <row r="2926" spans="1:7" ht="12.75" customHeight="1">
      <c r="A2926" s="190"/>
      <c r="B2926" s="190"/>
      <c r="C2926" s="190"/>
      <c r="D2926" s="190"/>
      <c r="E2926" s="190"/>
      <c r="F2926" s="190"/>
      <c r="G2926" s="190"/>
    </row>
    <row r="2927" spans="1:7" ht="12.75" customHeight="1">
      <c r="A2927" s="190"/>
      <c r="B2927" s="190"/>
      <c r="C2927" s="190"/>
      <c r="D2927" s="190"/>
      <c r="E2927" s="190"/>
      <c r="F2927" s="190"/>
      <c r="G2927" s="190"/>
    </row>
    <row r="2928" spans="1:7" ht="12.75" customHeight="1">
      <c r="A2928" s="190"/>
      <c r="B2928" s="190"/>
      <c r="C2928" s="190"/>
      <c r="D2928" s="190"/>
      <c r="E2928" s="190"/>
      <c r="F2928" s="190"/>
      <c r="G2928" s="190"/>
    </row>
    <row r="2929" spans="1:7" ht="12.75" customHeight="1">
      <c r="A2929" s="190"/>
      <c r="B2929" s="190"/>
      <c r="C2929" s="190"/>
      <c r="D2929" s="190"/>
      <c r="E2929" s="190"/>
      <c r="F2929" s="190"/>
      <c r="G2929" s="190"/>
    </row>
    <row r="2930" spans="1:7" ht="12.75" customHeight="1">
      <c r="A2930" s="190"/>
      <c r="B2930" s="190"/>
      <c r="C2930" s="190"/>
      <c r="D2930" s="190"/>
      <c r="E2930" s="190"/>
      <c r="F2930" s="190"/>
      <c r="G2930" s="190"/>
    </row>
    <row r="2931" spans="1:7" ht="12.75" customHeight="1">
      <c r="A2931" s="190"/>
      <c r="B2931" s="190"/>
      <c r="C2931" s="190"/>
      <c r="D2931" s="190"/>
      <c r="E2931" s="190"/>
      <c r="F2931" s="190"/>
      <c r="G2931" s="190"/>
    </row>
    <row r="2932" spans="1:7" ht="12.75" customHeight="1">
      <c r="A2932" s="190"/>
      <c r="B2932" s="190"/>
      <c r="C2932" s="190"/>
      <c r="D2932" s="190"/>
      <c r="E2932" s="190"/>
      <c r="F2932" s="190"/>
      <c r="G2932" s="190"/>
    </row>
    <row r="2933" spans="1:7" ht="12.75" customHeight="1">
      <c r="A2933" s="190"/>
      <c r="B2933" s="190"/>
      <c r="C2933" s="190"/>
      <c r="D2933" s="190"/>
      <c r="E2933" s="190"/>
      <c r="F2933" s="190"/>
      <c r="G2933" s="190"/>
    </row>
    <row r="2934" spans="1:7" ht="12.75" customHeight="1">
      <c r="A2934" s="190"/>
      <c r="B2934" s="190"/>
      <c r="C2934" s="190"/>
      <c r="D2934" s="190"/>
      <c r="E2934" s="190"/>
      <c r="F2934" s="190"/>
      <c r="G2934" s="190"/>
    </row>
    <row r="2935" spans="1:7" ht="12.75" customHeight="1">
      <c r="A2935" s="190"/>
      <c r="B2935" s="190"/>
      <c r="C2935" s="190"/>
      <c r="D2935" s="190"/>
      <c r="E2935" s="190"/>
      <c r="F2935" s="190"/>
      <c r="G2935" s="190"/>
    </row>
    <row r="2936" spans="1:7" ht="12.75" customHeight="1">
      <c r="A2936" s="190"/>
      <c r="B2936" s="190"/>
      <c r="C2936" s="190"/>
      <c r="D2936" s="190"/>
      <c r="E2936" s="190"/>
      <c r="F2936" s="190"/>
      <c r="G2936" s="190"/>
    </row>
    <row r="2937" spans="1:7" ht="12.75" customHeight="1">
      <c r="A2937" s="190"/>
      <c r="B2937" s="190"/>
      <c r="C2937" s="190"/>
      <c r="D2937" s="190"/>
      <c r="E2937" s="190"/>
      <c r="F2937" s="190"/>
      <c r="G2937" s="190"/>
    </row>
    <row r="2938" spans="1:7" ht="12.75" customHeight="1">
      <c r="A2938" s="190"/>
      <c r="B2938" s="190"/>
      <c r="C2938" s="190"/>
      <c r="D2938" s="190"/>
      <c r="E2938" s="190"/>
      <c r="F2938" s="190"/>
      <c r="G2938" s="190"/>
    </row>
    <row r="2939" spans="1:7" ht="12.75" customHeight="1">
      <c r="A2939" s="190"/>
      <c r="B2939" s="190"/>
      <c r="C2939" s="190"/>
      <c r="D2939" s="190"/>
      <c r="E2939" s="190"/>
      <c r="F2939" s="190"/>
      <c r="G2939" s="190"/>
    </row>
    <row r="2940" spans="1:7" ht="12.75" customHeight="1">
      <c r="A2940" s="190"/>
      <c r="B2940" s="190"/>
      <c r="C2940" s="190"/>
      <c r="D2940" s="190"/>
      <c r="E2940" s="190"/>
      <c r="F2940" s="190"/>
      <c r="G2940" s="190"/>
    </row>
    <row r="2941" spans="1:7" ht="12.75" customHeight="1">
      <c r="A2941" s="190"/>
      <c r="B2941" s="190"/>
      <c r="C2941" s="190"/>
      <c r="D2941" s="190"/>
      <c r="E2941" s="190"/>
      <c r="F2941" s="190"/>
      <c r="G2941" s="190"/>
    </row>
    <row r="2942" spans="1:7" ht="12.75" customHeight="1">
      <c r="A2942" s="190"/>
      <c r="B2942" s="190"/>
      <c r="C2942" s="190"/>
      <c r="D2942" s="190"/>
      <c r="E2942" s="190"/>
      <c r="F2942" s="190"/>
      <c r="G2942" s="190"/>
    </row>
    <row r="2943" spans="1:7" ht="12.75" customHeight="1">
      <c r="A2943" s="190"/>
      <c r="B2943" s="190"/>
      <c r="C2943" s="190"/>
      <c r="D2943" s="190"/>
      <c r="E2943" s="190"/>
      <c r="F2943" s="190"/>
      <c r="G2943" s="190"/>
    </row>
    <row r="2944" spans="1:7" ht="12.75" customHeight="1">
      <c r="A2944" s="190"/>
      <c r="B2944" s="190"/>
      <c r="C2944" s="190"/>
      <c r="D2944" s="190"/>
      <c r="E2944" s="190"/>
      <c r="F2944" s="190"/>
      <c r="G2944" s="190"/>
    </row>
    <row r="2945" spans="1:7" ht="12.75" customHeight="1">
      <c r="A2945" s="190"/>
      <c r="B2945" s="190"/>
      <c r="C2945" s="190"/>
      <c r="D2945" s="190"/>
      <c r="E2945" s="190"/>
      <c r="F2945" s="190"/>
      <c r="G2945" s="190"/>
    </row>
    <row r="2946" spans="1:7" ht="12.75" customHeight="1">
      <c r="A2946" s="190"/>
      <c r="B2946" s="190"/>
      <c r="C2946" s="190"/>
      <c r="D2946" s="190"/>
      <c r="E2946" s="190"/>
      <c r="F2946" s="190"/>
      <c r="G2946" s="190"/>
    </row>
    <row r="2947" spans="1:7" ht="12.75" customHeight="1">
      <c r="A2947" s="190"/>
      <c r="B2947" s="190"/>
      <c r="C2947" s="190"/>
      <c r="D2947" s="190"/>
      <c r="E2947" s="190"/>
      <c r="F2947" s="190"/>
      <c r="G2947" s="190"/>
    </row>
    <row r="2948" spans="1:7" ht="12.75" customHeight="1">
      <c r="A2948" s="190"/>
      <c r="B2948" s="190"/>
      <c r="C2948" s="190"/>
      <c r="D2948" s="190"/>
      <c r="E2948" s="190"/>
      <c r="F2948" s="190"/>
      <c r="G2948" s="190"/>
    </row>
    <row r="2949" spans="1:7" ht="12.75" customHeight="1">
      <c r="A2949" s="190"/>
      <c r="B2949" s="190"/>
      <c r="C2949" s="190"/>
      <c r="D2949" s="190"/>
      <c r="E2949" s="190"/>
      <c r="F2949" s="190"/>
      <c r="G2949" s="190"/>
    </row>
    <row r="2950" spans="1:7" ht="12.75" customHeight="1">
      <c r="A2950" s="190"/>
      <c r="B2950" s="190"/>
      <c r="C2950" s="190"/>
      <c r="D2950" s="190"/>
      <c r="E2950" s="190"/>
      <c r="F2950" s="190"/>
      <c r="G2950" s="190"/>
    </row>
    <row r="2951" spans="1:7" ht="12.75" customHeight="1">
      <c r="A2951" s="190"/>
      <c r="B2951" s="190"/>
      <c r="C2951" s="190"/>
      <c r="D2951" s="190"/>
      <c r="E2951" s="190"/>
      <c r="F2951" s="190"/>
      <c r="G2951" s="190"/>
    </row>
    <row r="2952" spans="1:7" ht="12.75" customHeight="1">
      <c r="A2952" s="190"/>
      <c r="B2952" s="190"/>
      <c r="C2952" s="190"/>
      <c r="D2952" s="190"/>
      <c r="E2952" s="190"/>
      <c r="F2952" s="190"/>
      <c r="G2952" s="190"/>
    </row>
    <row r="2953" spans="1:7" ht="12.75" customHeight="1">
      <c r="A2953" s="190"/>
      <c r="B2953" s="190"/>
      <c r="C2953" s="190"/>
      <c r="D2953" s="190"/>
      <c r="E2953" s="190"/>
      <c r="F2953" s="190"/>
      <c r="G2953" s="190"/>
    </row>
    <row r="2954" spans="1:7" ht="12.75" customHeight="1">
      <c r="A2954" s="190"/>
      <c r="B2954" s="190"/>
      <c r="C2954" s="190"/>
      <c r="D2954" s="190"/>
      <c r="E2954" s="190"/>
      <c r="F2954" s="190"/>
      <c r="G2954" s="190"/>
    </row>
    <row r="2955" spans="1:7" ht="12.75" customHeight="1">
      <c r="A2955" s="190"/>
      <c r="B2955" s="190"/>
      <c r="C2955" s="190"/>
      <c r="D2955" s="190"/>
      <c r="E2955" s="190"/>
      <c r="F2955" s="190"/>
      <c r="G2955" s="190"/>
    </row>
    <row r="2956" spans="1:7" ht="12.75" customHeight="1">
      <c r="A2956" s="190"/>
      <c r="B2956" s="190"/>
      <c r="C2956" s="190"/>
      <c r="D2956" s="190"/>
      <c r="E2956" s="190"/>
      <c r="F2956" s="190"/>
      <c r="G2956" s="190"/>
    </row>
    <row r="2957" spans="1:7" ht="12.75" customHeight="1">
      <c r="A2957" s="190"/>
      <c r="B2957" s="190"/>
      <c r="C2957" s="190"/>
      <c r="D2957" s="190"/>
      <c r="E2957" s="190"/>
      <c r="F2957" s="190"/>
      <c r="G2957" s="190"/>
    </row>
    <row r="2958" spans="1:7" ht="12.75" customHeight="1">
      <c r="A2958" s="190"/>
      <c r="B2958" s="190"/>
      <c r="C2958" s="190"/>
      <c r="D2958" s="190"/>
      <c r="E2958" s="190"/>
      <c r="F2958" s="190"/>
      <c r="G2958" s="190"/>
    </row>
    <row r="2959" spans="1:7" ht="12.75" customHeight="1">
      <c r="A2959" s="190"/>
      <c r="B2959" s="190"/>
      <c r="C2959" s="190"/>
      <c r="D2959" s="190"/>
      <c r="E2959" s="190"/>
      <c r="F2959" s="190"/>
      <c r="G2959" s="190"/>
    </row>
    <row r="2960" spans="1:7" ht="12.75" customHeight="1">
      <c r="A2960" s="190"/>
      <c r="B2960" s="190"/>
      <c r="C2960" s="190"/>
      <c r="D2960" s="190"/>
      <c r="E2960" s="190"/>
      <c r="F2960" s="190"/>
      <c r="G2960" s="190"/>
    </row>
    <row r="2961" spans="1:7" ht="12.75" customHeight="1">
      <c r="A2961" s="190"/>
      <c r="B2961" s="190"/>
      <c r="C2961" s="190"/>
      <c r="D2961" s="190"/>
      <c r="E2961" s="190"/>
      <c r="F2961" s="190"/>
      <c r="G2961" s="190"/>
    </row>
    <row r="2962" spans="1:7" ht="12.75" customHeight="1">
      <c r="A2962" s="190"/>
      <c r="B2962" s="190"/>
      <c r="C2962" s="190"/>
      <c r="D2962" s="190"/>
      <c r="E2962" s="190"/>
      <c r="F2962" s="190"/>
      <c r="G2962" s="190"/>
    </row>
    <row r="2963" spans="1:7" ht="12.75" customHeight="1">
      <c r="A2963" s="190"/>
      <c r="B2963" s="190"/>
      <c r="C2963" s="190"/>
      <c r="D2963" s="190"/>
      <c r="E2963" s="190"/>
      <c r="F2963" s="190"/>
      <c r="G2963" s="190"/>
    </row>
    <row r="2964" spans="1:7" ht="12.75" customHeight="1">
      <c r="A2964" s="190"/>
      <c r="B2964" s="190"/>
      <c r="C2964" s="190"/>
      <c r="D2964" s="190"/>
      <c r="E2964" s="190"/>
      <c r="F2964" s="190"/>
      <c r="G2964" s="190"/>
    </row>
    <row r="2965" spans="1:7" ht="12.75" customHeight="1">
      <c r="A2965" s="190"/>
      <c r="B2965" s="190"/>
      <c r="C2965" s="190"/>
      <c r="D2965" s="190"/>
      <c r="E2965" s="190"/>
      <c r="F2965" s="190"/>
      <c r="G2965" s="190"/>
    </row>
    <row r="2966" spans="1:7" ht="12.75" customHeight="1">
      <c r="A2966" s="209"/>
      <c r="B2966" s="209"/>
      <c r="C2966" s="209"/>
      <c r="D2966" s="209"/>
      <c r="E2966" s="209"/>
      <c r="F2966" s="209"/>
      <c r="G2966" s="209"/>
    </row>
    <row r="2967" spans="1:7" ht="12.75" customHeight="1">
      <c r="A2967" s="209"/>
      <c r="B2967" s="209"/>
      <c r="C2967" s="209"/>
      <c r="D2967" s="209"/>
      <c r="E2967" s="209"/>
      <c r="F2967" s="209"/>
      <c r="G2967" s="209"/>
    </row>
    <row r="2968" spans="1:7" ht="12.75" customHeight="1">
      <c r="A2968" s="209"/>
      <c r="B2968" s="209"/>
      <c r="C2968" s="209"/>
      <c r="D2968" s="209"/>
      <c r="E2968" s="209"/>
      <c r="F2968" s="209"/>
      <c r="G2968" s="209"/>
    </row>
    <row r="2969" spans="1:7" ht="12.75" customHeight="1">
      <c r="A2969" s="209"/>
      <c r="B2969" s="209"/>
      <c r="C2969" s="209"/>
      <c r="D2969" s="209"/>
      <c r="E2969" s="209"/>
      <c r="F2969" s="209"/>
      <c r="G2969" s="209"/>
    </row>
    <row r="2970" spans="1:7" ht="12.75" customHeight="1">
      <c r="A2970" s="209"/>
      <c r="B2970" s="209"/>
      <c r="C2970" s="209"/>
      <c r="D2970" s="209"/>
      <c r="E2970" s="209"/>
      <c r="F2970" s="209"/>
      <c r="G2970" s="209"/>
    </row>
    <row r="2971" spans="1:7" ht="12.75" customHeight="1">
      <c r="A2971" s="209"/>
      <c r="B2971" s="209"/>
      <c r="C2971" s="209"/>
      <c r="D2971" s="209"/>
      <c r="E2971" s="209"/>
      <c r="F2971" s="209"/>
      <c r="G2971" s="209"/>
    </row>
    <row r="2972" spans="1:7" ht="12.75" customHeight="1">
      <c r="A2972" s="209"/>
      <c r="B2972" s="209"/>
      <c r="C2972" s="209"/>
      <c r="D2972" s="209"/>
      <c r="E2972" s="209"/>
      <c r="F2972" s="209"/>
      <c r="G2972" s="209"/>
    </row>
    <row r="2973" spans="1:7" ht="12.75" customHeight="1">
      <c r="A2973" s="209"/>
      <c r="B2973" s="209"/>
      <c r="C2973" s="209"/>
      <c r="D2973" s="209"/>
      <c r="E2973" s="209"/>
      <c r="F2973" s="209"/>
      <c r="G2973" s="209"/>
    </row>
    <row r="2974" spans="1:7" ht="12.75" customHeight="1">
      <c r="A2974" s="209"/>
      <c r="B2974" s="209"/>
      <c r="C2974" s="209"/>
      <c r="D2974" s="209"/>
      <c r="E2974" s="209"/>
      <c r="F2974" s="209"/>
      <c r="G2974" s="209"/>
    </row>
    <row r="2975" spans="1:7" ht="12.75" customHeight="1">
      <c r="A2975" s="209"/>
      <c r="B2975" s="209"/>
      <c r="C2975" s="209"/>
      <c r="D2975" s="209"/>
      <c r="E2975" s="209"/>
      <c r="F2975" s="209"/>
      <c r="G2975" s="209"/>
    </row>
    <row r="2976" spans="1:7" ht="12.75" customHeight="1">
      <c r="A2976" s="209"/>
      <c r="B2976" s="209"/>
      <c r="C2976" s="209"/>
      <c r="D2976" s="209"/>
      <c r="E2976" s="209"/>
      <c r="F2976" s="209"/>
      <c r="G2976" s="209"/>
    </row>
    <row r="2977" spans="1:7" ht="12.75" customHeight="1">
      <c r="A2977" s="209"/>
      <c r="B2977" s="209"/>
      <c r="C2977" s="209"/>
      <c r="D2977" s="209"/>
      <c r="E2977" s="209"/>
      <c r="F2977" s="209"/>
      <c r="G2977" s="209"/>
    </row>
    <row r="2978" spans="1:7" ht="12.75" customHeight="1">
      <c r="A2978" s="209"/>
      <c r="B2978" s="209"/>
      <c r="C2978" s="209"/>
      <c r="D2978" s="209"/>
      <c r="E2978" s="209"/>
      <c r="F2978" s="209"/>
      <c r="G2978" s="209"/>
    </row>
    <row r="2979" spans="1:7" ht="12.75" customHeight="1">
      <c r="A2979" s="209"/>
      <c r="B2979" s="209"/>
      <c r="C2979" s="209"/>
      <c r="D2979" s="209"/>
      <c r="E2979" s="209"/>
      <c r="F2979" s="209"/>
      <c r="G2979" s="209"/>
    </row>
    <row r="2980" spans="1:7" ht="12.75" customHeight="1">
      <c r="A2980" s="209"/>
      <c r="B2980" s="209"/>
      <c r="C2980" s="209"/>
      <c r="D2980" s="209"/>
      <c r="E2980" s="209"/>
      <c r="F2980" s="209"/>
      <c r="G2980" s="209"/>
    </row>
    <row r="2981" spans="1:7" ht="12.75" customHeight="1">
      <c r="A2981" s="209"/>
      <c r="B2981" s="209"/>
      <c r="C2981" s="209"/>
      <c r="D2981" s="209"/>
      <c r="E2981" s="209"/>
      <c r="F2981" s="209"/>
      <c r="G2981" s="209"/>
    </row>
    <row r="2982" spans="1:7" ht="12.75" customHeight="1">
      <c r="A2982" s="209"/>
      <c r="B2982" s="209"/>
      <c r="C2982" s="209"/>
      <c r="D2982" s="209"/>
      <c r="E2982" s="209"/>
      <c r="F2982" s="209"/>
      <c r="G2982" s="209"/>
    </row>
    <row r="2983" spans="1:7" ht="12.75" customHeight="1">
      <c r="A2983" s="209"/>
      <c r="B2983" s="209"/>
      <c r="C2983" s="209"/>
      <c r="D2983" s="209"/>
      <c r="E2983" s="209"/>
      <c r="F2983" s="209"/>
      <c r="G2983" s="209"/>
    </row>
    <row r="2984" spans="1:7" ht="12.75" customHeight="1">
      <c r="A2984" s="209"/>
      <c r="B2984" s="209"/>
      <c r="C2984" s="209"/>
      <c r="D2984" s="209"/>
      <c r="E2984" s="209"/>
      <c r="F2984" s="209"/>
      <c r="G2984" s="209"/>
    </row>
    <row r="2985" spans="1:7" ht="12.75" customHeight="1">
      <c r="A2985" s="209"/>
      <c r="B2985" s="209"/>
      <c r="C2985" s="209"/>
      <c r="D2985" s="209"/>
      <c r="E2985" s="209"/>
      <c r="F2985" s="209"/>
      <c r="G2985" s="209"/>
    </row>
    <row r="2986" spans="1:7" ht="12.75" customHeight="1">
      <c r="A2986" s="209"/>
      <c r="B2986" s="209"/>
      <c r="C2986" s="209"/>
      <c r="D2986" s="209"/>
      <c r="E2986" s="209"/>
      <c r="F2986" s="209"/>
      <c r="G2986" s="209"/>
    </row>
    <row r="2987" spans="1:7" ht="12.75" customHeight="1">
      <c r="A2987" s="209"/>
      <c r="B2987" s="209"/>
      <c r="C2987" s="209"/>
      <c r="D2987" s="209"/>
      <c r="E2987" s="209"/>
      <c r="F2987" s="209"/>
      <c r="G2987" s="209"/>
    </row>
    <row r="2988" spans="1:7" ht="12.75" customHeight="1">
      <c r="A2988" s="209"/>
      <c r="B2988" s="209"/>
      <c r="C2988" s="209"/>
      <c r="D2988" s="209"/>
      <c r="E2988" s="209"/>
      <c r="F2988" s="209"/>
      <c r="G2988" s="209"/>
    </row>
    <row r="2989" spans="1:7" ht="12.75" customHeight="1">
      <c r="A2989" s="209"/>
      <c r="B2989" s="209"/>
      <c r="C2989" s="209"/>
      <c r="D2989" s="209"/>
      <c r="E2989" s="209"/>
      <c r="F2989" s="209"/>
      <c r="G2989" s="209"/>
    </row>
    <row r="2990" spans="1:7" ht="12.75" customHeight="1">
      <c r="A2990" s="209"/>
      <c r="B2990" s="209"/>
      <c r="C2990" s="209"/>
      <c r="D2990" s="209"/>
      <c r="E2990" s="209"/>
      <c r="F2990" s="209"/>
      <c r="G2990" s="209"/>
    </row>
    <row r="2991" spans="1:7" ht="12.75" customHeight="1">
      <c r="A2991" s="209"/>
      <c r="B2991" s="209"/>
      <c r="C2991" s="209"/>
      <c r="D2991" s="209"/>
      <c r="E2991" s="209"/>
      <c r="F2991" s="209"/>
      <c r="G2991" s="209"/>
    </row>
    <row r="2992" spans="1:7" ht="12.75" customHeight="1">
      <c r="A2992" s="209"/>
      <c r="B2992" s="209"/>
      <c r="C2992" s="209"/>
      <c r="D2992" s="209"/>
      <c r="E2992" s="209"/>
      <c r="F2992" s="209"/>
      <c r="G2992" s="209"/>
    </row>
    <row r="2993" spans="1:7" ht="12.75" customHeight="1">
      <c r="A2993" s="209"/>
      <c r="B2993" s="209"/>
      <c r="C2993" s="209"/>
      <c r="D2993" s="209"/>
      <c r="E2993" s="209"/>
      <c r="F2993" s="209"/>
      <c r="G2993" s="209"/>
    </row>
    <row r="2994" spans="1:7" ht="12.75" customHeight="1">
      <c r="A2994" s="209"/>
      <c r="B2994" s="209"/>
      <c r="C2994" s="209"/>
      <c r="D2994" s="209"/>
      <c r="E2994" s="209"/>
      <c r="F2994" s="209"/>
      <c r="G2994" s="209"/>
    </row>
    <row r="2995" spans="1:7" ht="12.75" customHeight="1">
      <c r="A2995" s="209"/>
      <c r="B2995" s="209"/>
      <c r="C2995" s="209"/>
      <c r="D2995" s="209"/>
      <c r="E2995" s="209"/>
      <c r="F2995" s="209"/>
      <c r="G2995" s="209"/>
    </row>
    <row r="2996" spans="1:7" ht="12.75" customHeight="1">
      <c r="A2996" s="209"/>
      <c r="B2996" s="209"/>
      <c r="C2996" s="209"/>
      <c r="D2996" s="209"/>
      <c r="E2996" s="209"/>
      <c r="F2996" s="209"/>
      <c r="G2996" s="209"/>
    </row>
    <row r="2997" spans="1:7" ht="12.75" customHeight="1">
      <c r="A2997" s="209"/>
      <c r="B2997" s="209"/>
      <c r="C2997" s="209"/>
      <c r="D2997" s="209"/>
      <c r="E2997" s="209"/>
      <c r="F2997" s="209"/>
      <c r="G2997" s="209"/>
    </row>
    <row r="2998" spans="1:7" ht="12.75" customHeight="1">
      <c r="A2998" s="209"/>
      <c r="B2998" s="209"/>
      <c r="C2998" s="209"/>
      <c r="D2998" s="209"/>
      <c r="E2998" s="209"/>
      <c r="F2998" s="209"/>
      <c r="G2998" s="209"/>
    </row>
    <row r="2999" spans="1:7" ht="12.75" customHeight="1">
      <c r="A2999" s="209"/>
      <c r="B2999" s="209"/>
      <c r="C2999" s="209"/>
      <c r="D2999" s="209"/>
      <c r="E2999" s="209"/>
      <c r="F2999" s="209"/>
      <c r="G2999" s="209"/>
    </row>
    <row r="3000" spans="1:7" ht="12.75" customHeight="1">
      <c r="A3000" s="209"/>
      <c r="B3000" s="209"/>
      <c r="C3000" s="209"/>
      <c r="D3000" s="209"/>
      <c r="E3000" s="209"/>
      <c r="F3000" s="209"/>
      <c r="G3000" s="209"/>
    </row>
    <row r="3001" spans="1:7" ht="12.75" customHeight="1">
      <c r="A3001" s="209"/>
      <c r="B3001" s="209"/>
      <c r="C3001" s="209"/>
      <c r="D3001" s="209"/>
      <c r="E3001" s="209"/>
      <c r="F3001" s="209"/>
      <c r="G3001" s="209"/>
    </row>
    <row r="3002" spans="1:7" ht="12.75" customHeight="1">
      <c r="A3002" s="209"/>
      <c r="B3002" s="209"/>
      <c r="C3002" s="209"/>
      <c r="D3002" s="209"/>
      <c r="E3002" s="209"/>
      <c r="F3002" s="209"/>
      <c r="G3002" s="209"/>
    </row>
    <row r="3003" spans="1:7" ht="12.75" customHeight="1">
      <c r="A3003" s="209"/>
      <c r="B3003" s="209"/>
      <c r="C3003" s="209"/>
      <c r="D3003" s="209"/>
      <c r="E3003" s="209"/>
      <c r="F3003" s="209"/>
      <c r="G3003" s="209"/>
    </row>
    <row r="3004" spans="1:7" ht="12.75" customHeight="1">
      <c r="A3004" s="209"/>
      <c r="B3004" s="209"/>
      <c r="C3004" s="209"/>
      <c r="D3004" s="209"/>
      <c r="E3004" s="209"/>
      <c r="F3004" s="209"/>
      <c r="G3004" s="209"/>
    </row>
    <row r="3005" spans="1:7" ht="12.75" customHeight="1">
      <c r="A3005" s="209"/>
      <c r="B3005" s="209"/>
      <c r="C3005" s="209"/>
      <c r="D3005" s="209"/>
      <c r="E3005" s="209"/>
      <c r="F3005" s="209"/>
      <c r="G3005" s="209"/>
    </row>
    <row r="3006" spans="1:7" ht="12.75" customHeight="1">
      <c r="A3006" s="209"/>
      <c r="B3006" s="209"/>
      <c r="C3006" s="209"/>
      <c r="D3006" s="209"/>
      <c r="E3006" s="209"/>
      <c r="F3006" s="209"/>
      <c r="G3006" s="209"/>
    </row>
    <row r="3007" spans="1:7" ht="12.75" customHeight="1">
      <c r="A3007" s="209"/>
      <c r="B3007" s="209"/>
      <c r="C3007" s="209"/>
      <c r="D3007" s="209"/>
      <c r="E3007" s="209"/>
      <c r="F3007" s="209"/>
      <c r="G3007" s="209"/>
    </row>
    <row r="3008" spans="1:7" ht="12.75" customHeight="1">
      <c r="A3008" s="209"/>
      <c r="B3008" s="209"/>
      <c r="C3008" s="209"/>
      <c r="D3008" s="209"/>
      <c r="E3008" s="209"/>
      <c r="F3008" s="209"/>
      <c r="G3008" s="209"/>
    </row>
    <row r="3009" spans="1:7" ht="12.75" customHeight="1">
      <c r="A3009" s="209"/>
      <c r="B3009" s="209"/>
      <c r="C3009" s="209"/>
      <c r="D3009" s="209"/>
      <c r="E3009" s="209"/>
      <c r="F3009" s="209"/>
      <c r="G3009" s="209"/>
    </row>
    <row r="3010" spans="1:7" ht="12.75" customHeight="1">
      <c r="A3010" s="209"/>
      <c r="B3010" s="209"/>
      <c r="C3010" s="209"/>
      <c r="D3010" s="209"/>
      <c r="E3010" s="209"/>
      <c r="F3010" s="209"/>
      <c r="G3010" s="209"/>
    </row>
    <row r="3011" spans="1:7" ht="12.75" customHeight="1">
      <c r="A3011" s="209"/>
      <c r="B3011" s="209"/>
      <c r="C3011" s="209"/>
      <c r="D3011" s="209"/>
      <c r="E3011" s="209"/>
      <c r="F3011" s="209"/>
      <c r="G3011" s="209"/>
    </row>
    <row r="3012" spans="1:7" ht="12.75" customHeight="1">
      <c r="A3012" s="209"/>
      <c r="B3012" s="209"/>
      <c r="C3012" s="209"/>
      <c r="D3012" s="209"/>
      <c r="E3012" s="209"/>
      <c r="F3012" s="209"/>
      <c r="G3012" s="209"/>
    </row>
    <row r="3013" spans="1:7" ht="12.75" customHeight="1">
      <c r="A3013" s="209"/>
      <c r="B3013" s="209"/>
      <c r="C3013" s="209"/>
      <c r="D3013" s="209"/>
      <c r="E3013" s="209"/>
      <c r="F3013" s="209"/>
      <c r="G3013" s="209"/>
    </row>
    <row r="3014" spans="1:7" ht="12.75" customHeight="1">
      <c r="A3014" s="209"/>
      <c r="B3014" s="209"/>
      <c r="C3014" s="209"/>
      <c r="D3014" s="209"/>
      <c r="E3014" s="209"/>
      <c r="F3014" s="209"/>
      <c r="G3014" s="209"/>
    </row>
    <row r="3015" spans="1:7" ht="12.75" customHeight="1">
      <c r="A3015" s="209"/>
      <c r="B3015" s="209"/>
      <c r="C3015" s="209"/>
      <c r="D3015" s="209"/>
      <c r="E3015" s="209"/>
      <c r="F3015" s="209"/>
      <c r="G3015" s="209"/>
    </row>
    <row r="3016" spans="1:7" ht="12.75" customHeight="1">
      <c r="A3016" s="209"/>
      <c r="B3016" s="209"/>
      <c r="C3016" s="209"/>
      <c r="D3016" s="209"/>
      <c r="E3016" s="209"/>
      <c r="F3016" s="209"/>
      <c r="G3016" s="209"/>
    </row>
    <row r="3017" spans="1:7" ht="12.75" customHeight="1">
      <c r="A3017" s="209"/>
      <c r="B3017" s="209"/>
      <c r="C3017" s="209"/>
      <c r="D3017" s="209"/>
      <c r="E3017" s="209"/>
      <c r="F3017" s="209"/>
      <c r="G3017" s="209"/>
    </row>
    <row r="3018" spans="1:7" ht="12.75" customHeight="1">
      <c r="A3018" s="209"/>
      <c r="B3018" s="209"/>
      <c r="C3018" s="209"/>
      <c r="D3018" s="209"/>
      <c r="E3018" s="209"/>
      <c r="F3018" s="209"/>
      <c r="G3018" s="209"/>
    </row>
    <row r="3019" spans="1:7" ht="12.75" customHeight="1">
      <c r="A3019" s="209"/>
      <c r="B3019" s="209"/>
      <c r="C3019" s="209"/>
      <c r="D3019" s="209"/>
      <c r="E3019" s="209"/>
      <c r="F3019" s="209"/>
      <c r="G3019" s="209"/>
    </row>
    <row r="3020" spans="1:7" ht="12.75" customHeight="1">
      <c r="A3020" s="209"/>
      <c r="B3020" s="209"/>
      <c r="C3020" s="209"/>
      <c r="D3020" s="209"/>
      <c r="E3020" s="209"/>
      <c r="F3020" s="209"/>
      <c r="G3020" s="209"/>
    </row>
    <row r="3021" spans="1:7" ht="12.75" customHeight="1">
      <c r="A3021" s="209"/>
      <c r="B3021" s="209"/>
      <c r="C3021" s="209"/>
      <c r="D3021" s="209"/>
      <c r="E3021" s="209"/>
      <c r="F3021" s="209"/>
      <c r="G3021" s="209"/>
    </row>
    <row r="3022" spans="1:7" ht="12.75" customHeight="1">
      <c r="A3022" s="209"/>
      <c r="B3022" s="209"/>
      <c r="C3022" s="209"/>
      <c r="D3022" s="209"/>
      <c r="E3022" s="209"/>
      <c r="F3022" s="209"/>
      <c r="G3022" s="209"/>
    </row>
    <row r="3023" spans="1:7" ht="12.75" customHeight="1">
      <c r="A3023" s="209"/>
      <c r="B3023" s="209"/>
      <c r="C3023" s="209"/>
      <c r="D3023" s="209"/>
      <c r="E3023" s="209"/>
      <c r="F3023" s="209"/>
      <c r="G3023" s="209"/>
    </row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</sheetData>
  <sheetProtection/>
  <printOptions horizontalCentered="1"/>
  <pageMargins left="0.03937007874015748" right="0.03937007874015748" top="0.4724409448818898" bottom="0.3937007874015748" header="0.15748031496062992" footer="0.15748031496062992"/>
  <pageSetup horizontalDpi="600" verticalDpi="600" orientation="portrait" paperSize="9" r:id="rId3"/>
  <headerFooter alignWithMargins="0">
    <oddHeader>&amp;L&amp;"Arial,Fett"&amp;14Finanzkennzahlen (HRM2) Gemeinden Kanton Glarus - Erhebung 2011</oddHeader>
    <oddFooter>&amp;CSeite &amp;P</oddFooter>
  </headerFooter>
  <rowBreaks count="8" manualBreakCount="8">
    <brk id="56" max="7" man="1"/>
    <brk id="104" max="7" man="1"/>
    <brk id="139" max="7" man="1"/>
    <brk id="183" max="7" man="1"/>
    <brk id="216" max="7" man="1"/>
    <brk id="272" max="7" man="1"/>
    <brk id="302" max="7" man="1"/>
    <brk id="2965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123"/>
  <sheetViews>
    <sheetView zoomScalePageLayoutView="0" workbookViewId="0" topLeftCell="A1">
      <pane xSplit="3" ySplit="3" topLeftCell="D50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886" sqref="D886:G886"/>
    </sheetView>
  </sheetViews>
  <sheetFormatPr defaultColWidth="11.421875" defaultRowHeight="12.75"/>
  <cols>
    <col min="1" max="1" width="3.140625" style="0" customWidth="1"/>
    <col min="2" max="2" width="9.00390625" style="0" customWidth="1"/>
    <col min="3" max="3" width="43.8515625" style="0" customWidth="1"/>
    <col min="4" max="4" width="14.421875" style="0" customWidth="1"/>
    <col min="5" max="5" width="14.00390625" style="0" customWidth="1"/>
    <col min="6" max="6" width="15.140625" style="0" customWidth="1"/>
    <col min="7" max="7" width="14.8515625" style="0" customWidth="1"/>
    <col min="8" max="8" width="15.28125" style="0" customWidth="1"/>
    <col min="9" max="9" width="15.57421875" style="0" customWidth="1"/>
    <col min="10" max="10" width="21.57421875" style="0" customWidth="1"/>
  </cols>
  <sheetData>
    <row r="1" spans="2:9" ht="12.75">
      <c r="B1" s="128" t="s">
        <v>2</v>
      </c>
      <c r="C1" s="126"/>
      <c r="D1" s="429" t="s">
        <v>946</v>
      </c>
      <c r="E1" s="429" t="s">
        <v>947</v>
      </c>
      <c r="F1" s="429" t="s">
        <v>948</v>
      </c>
      <c r="G1" s="429" t="s">
        <v>949</v>
      </c>
      <c r="H1" s="429" t="s">
        <v>950</v>
      </c>
      <c r="I1" s="429" t="s">
        <v>951</v>
      </c>
    </row>
    <row r="2" spans="2:9" ht="12.75">
      <c r="B2" s="170" t="s">
        <v>388</v>
      </c>
      <c r="C2" s="90"/>
      <c r="D2" s="430"/>
      <c r="E2" s="430"/>
      <c r="F2" s="430"/>
      <c r="G2" s="430"/>
      <c r="H2" s="430"/>
      <c r="I2" s="430"/>
    </row>
    <row r="3" spans="2:9" ht="13.5" thickBot="1">
      <c r="B3" s="172"/>
      <c r="C3" s="178" t="s">
        <v>905</v>
      </c>
      <c r="D3" s="171">
        <v>2011</v>
      </c>
      <c r="E3" s="171">
        <f>D3</f>
        <v>2011</v>
      </c>
      <c r="F3" s="171">
        <f>D3</f>
        <v>2011</v>
      </c>
      <c r="G3" s="171">
        <f>D3</f>
        <v>2011</v>
      </c>
      <c r="H3" s="171">
        <f>D3</f>
        <v>2011</v>
      </c>
      <c r="I3" s="171">
        <f>D3</f>
        <v>2011</v>
      </c>
    </row>
    <row r="4" spans="1:9" ht="12.75">
      <c r="A4" s="67"/>
      <c r="B4" s="175" t="s">
        <v>308</v>
      </c>
      <c r="C4" s="138"/>
      <c r="D4" s="174"/>
      <c r="E4" s="127"/>
      <c r="F4" s="127"/>
      <c r="G4" s="127"/>
      <c r="H4" s="127"/>
      <c r="I4" s="127"/>
    </row>
    <row r="5" spans="1:9" ht="12.75">
      <c r="A5" s="67"/>
      <c r="B5" s="129">
        <v>1</v>
      </c>
      <c r="C5" s="139" t="s">
        <v>3</v>
      </c>
      <c r="D5" s="106"/>
      <c r="E5" s="106"/>
      <c r="F5" s="106"/>
      <c r="G5" s="106"/>
      <c r="H5" s="106"/>
      <c r="I5" s="106"/>
    </row>
    <row r="6" spans="1:9" ht="12.75">
      <c r="A6" s="67"/>
      <c r="B6" s="13">
        <v>100</v>
      </c>
      <c r="C6" s="133" t="s">
        <v>26</v>
      </c>
      <c r="D6" s="107">
        <v>9416975.42</v>
      </c>
      <c r="E6" s="107">
        <v>5259234.16</v>
      </c>
      <c r="F6" s="107">
        <v>2542119.82</v>
      </c>
      <c r="G6" s="107">
        <f aca="true" t="shared" si="0" ref="G6:G13">SUM(D6:F6)</f>
        <v>17218329.4</v>
      </c>
      <c r="H6" s="107">
        <v>19033563.91</v>
      </c>
      <c r="I6" s="107">
        <f aca="true" t="shared" si="1" ref="I6:I13">G6+H6</f>
        <v>36251893.31</v>
      </c>
    </row>
    <row r="7" spans="1:9" ht="12.75">
      <c r="A7" s="67"/>
      <c r="B7" s="13">
        <v>101</v>
      </c>
      <c r="C7" s="133" t="s">
        <v>27</v>
      </c>
      <c r="D7" s="107">
        <v>16131189.49</v>
      </c>
      <c r="E7" s="107">
        <v>15464621.26</v>
      </c>
      <c r="F7" s="107">
        <v>30342776.66</v>
      </c>
      <c r="G7" s="107">
        <f t="shared" si="0"/>
        <v>61938587.41</v>
      </c>
      <c r="H7" s="107">
        <v>67431523.87</v>
      </c>
      <c r="I7" s="107">
        <f t="shared" si="1"/>
        <v>129370111.28</v>
      </c>
    </row>
    <row r="8" spans="1:9" ht="12.75">
      <c r="A8" s="67"/>
      <c r="B8" s="13">
        <v>102</v>
      </c>
      <c r="C8" s="134" t="s">
        <v>28</v>
      </c>
      <c r="D8" s="107"/>
      <c r="E8" s="107">
        <v>97849.9</v>
      </c>
      <c r="F8" s="107">
        <v>0</v>
      </c>
      <c r="G8" s="107">
        <f t="shared" si="0"/>
        <v>97849.9</v>
      </c>
      <c r="H8" s="107">
        <v>0</v>
      </c>
      <c r="I8" s="107">
        <f t="shared" si="1"/>
        <v>97849.9</v>
      </c>
    </row>
    <row r="9" spans="1:9" ht="12.75">
      <c r="A9" s="67"/>
      <c r="B9" s="13">
        <v>104</v>
      </c>
      <c r="C9" s="134" t="s">
        <v>29</v>
      </c>
      <c r="D9" s="107">
        <v>4524345.13</v>
      </c>
      <c r="E9" s="107">
        <v>998814</v>
      </c>
      <c r="F9" s="107">
        <v>713047.95</v>
      </c>
      <c r="G9" s="107">
        <f t="shared" si="0"/>
        <v>6236207.08</v>
      </c>
      <c r="H9" s="107">
        <v>7186020.53</v>
      </c>
      <c r="I9" s="107">
        <f t="shared" si="1"/>
        <v>13422227.61</v>
      </c>
    </row>
    <row r="10" spans="1:9" ht="12.75">
      <c r="A10" s="67"/>
      <c r="B10" s="13">
        <v>106</v>
      </c>
      <c r="C10" s="134" t="s">
        <v>30</v>
      </c>
      <c r="D10" s="107">
        <v>103628.72</v>
      </c>
      <c r="E10" s="107">
        <v>240000</v>
      </c>
      <c r="F10" s="107">
        <v>509807.6</v>
      </c>
      <c r="G10" s="107">
        <f t="shared" si="0"/>
        <v>853436.32</v>
      </c>
      <c r="H10" s="107">
        <v>0</v>
      </c>
      <c r="I10" s="107">
        <f t="shared" si="1"/>
        <v>853436.32</v>
      </c>
    </row>
    <row r="11" spans="1:9" ht="12.75">
      <c r="A11" s="67"/>
      <c r="B11" s="13">
        <v>107</v>
      </c>
      <c r="C11" s="134" t="s">
        <v>31</v>
      </c>
      <c r="D11" s="107">
        <v>11003348</v>
      </c>
      <c r="E11" s="107">
        <v>1140024.42</v>
      </c>
      <c r="F11" s="107">
        <v>2267437.07</v>
      </c>
      <c r="G11" s="107">
        <f t="shared" si="0"/>
        <v>14410809.49</v>
      </c>
      <c r="H11" s="107">
        <v>266414618.21</v>
      </c>
      <c r="I11" s="107">
        <f t="shared" si="1"/>
        <v>280825427.7</v>
      </c>
    </row>
    <row r="12" spans="1:9" ht="12.75">
      <c r="A12" s="67"/>
      <c r="B12" s="13">
        <v>108</v>
      </c>
      <c r="C12" s="134" t="s">
        <v>32</v>
      </c>
      <c r="D12" s="107">
        <v>18248742.7</v>
      </c>
      <c r="E12" s="107">
        <v>29903000</v>
      </c>
      <c r="F12" s="107">
        <v>48011343.79</v>
      </c>
      <c r="G12" s="107">
        <f t="shared" si="0"/>
        <v>96163086.49000001</v>
      </c>
      <c r="H12" s="107">
        <v>13899225</v>
      </c>
      <c r="I12" s="107">
        <f t="shared" si="1"/>
        <v>110062311.49000001</v>
      </c>
    </row>
    <row r="13" spans="1:9" ht="12.75">
      <c r="A13" s="67"/>
      <c r="B13" s="13">
        <v>109</v>
      </c>
      <c r="C13" s="134" t="s">
        <v>906</v>
      </c>
      <c r="D13" s="107"/>
      <c r="E13" s="107">
        <v>0</v>
      </c>
      <c r="F13" s="107">
        <v>0</v>
      </c>
      <c r="G13" s="107">
        <f t="shared" si="0"/>
        <v>0</v>
      </c>
      <c r="H13" s="107">
        <v>0</v>
      </c>
      <c r="I13" s="107">
        <f t="shared" si="1"/>
        <v>0</v>
      </c>
    </row>
    <row r="14" spans="1:9" ht="12.75">
      <c r="A14" s="67"/>
      <c r="B14" s="97">
        <v>10</v>
      </c>
      <c r="C14" s="135" t="s">
        <v>0</v>
      </c>
      <c r="D14" s="98">
        <f aca="true" t="shared" si="2" ref="D14:I14">SUM(D6:D13)</f>
        <v>59428229.45999999</v>
      </c>
      <c r="E14" s="98">
        <f t="shared" si="2"/>
        <v>53103543.74</v>
      </c>
      <c r="F14" s="98">
        <f t="shared" si="2"/>
        <v>84386532.89</v>
      </c>
      <c r="G14" s="98">
        <f t="shared" si="2"/>
        <v>196918306.09</v>
      </c>
      <c r="H14" s="98">
        <f t="shared" si="2"/>
        <v>373964951.52</v>
      </c>
      <c r="I14" s="98">
        <f t="shared" si="2"/>
        <v>570883257.61</v>
      </c>
    </row>
    <row r="15" spans="1:9" ht="12.75">
      <c r="A15" s="67"/>
      <c r="B15" s="99">
        <v>140</v>
      </c>
      <c r="C15" s="133" t="s">
        <v>33</v>
      </c>
      <c r="D15" s="107">
        <v>28301606.44</v>
      </c>
      <c r="E15" s="107">
        <v>22589001</v>
      </c>
      <c r="F15" s="107">
        <v>43679800.56</v>
      </c>
      <c r="G15" s="107">
        <f aca="true" t="shared" si="3" ref="G15:G20">SUM(D15:F15)</f>
        <v>94570408</v>
      </c>
      <c r="H15" s="107">
        <v>20702613.06</v>
      </c>
      <c r="I15" s="107">
        <f aca="true" t="shared" si="4" ref="I15:I20">G15+H15</f>
        <v>115273021.06</v>
      </c>
    </row>
    <row r="16" spans="1:9" ht="12.75">
      <c r="A16" s="67"/>
      <c r="B16" s="99">
        <v>142</v>
      </c>
      <c r="C16" s="133" t="s">
        <v>34</v>
      </c>
      <c r="D16" s="107">
        <v>360335.36</v>
      </c>
      <c r="E16" s="107">
        <v>305000</v>
      </c>
      <c r="F16" s="107">
        <v>262590.05</v>
      </c>
      <c r="G16" s="107">
        <f t="shared" si="3"/>
        <v>927925.4099999999</v>
      </c>
      <c r="H16" s="107">
        <v>0</v>
      </c>
      <c r="I16" s="107">
        <f t="shared" si="4"/>
        <v>927925.4099999999</v>
      </c>
    </row>
    <row r="17" spans="1:9" ht="12.75">
      <c r="A17" s="67"/>
      <c r="B17" s="99">
        <v>144</v>
      </c>
      <c r="C17" s="133" t="s">
        <v>35</v>
      </c>
      <c r="D17" s="107">
        <v>17409</v>
      </c>
      <c r="E17" s="107">
        <v>31001</v>
      </c>
      <c r="F17" s="107">
        <v>3224000</v>
      </c>
      <c r="G17" s="107">
        <f t="shared" si="3"/>
        <v>3272410</v>
      </c>
      <c r="H17" s="107">
        <v>28436436.3</v>
      </c>
      <c r="I17" s="107">
        <f t="shared" si="4"/>
        <v>31708846.3</v>
      </c>
    </row>
    <row r="18" spans="1:9" ht="12.75">
      <c r="A18" s="67"/>
      <c r="B18" s="99">
        <v>145</v>
      </c>
      <c r="C18" s="133" t="s">
        <v>36</v>
      </c>
      <c r="D18" s="107">
        <v>8230969.5</v>
      </c>
      <c r="E18" s="107">
        <v>13283257</v>
      </c>
      <c r="F18" s="107">
        <v>5191445.8</v>
      </c>
      <c r="G18" s="107">
        <f t="shared" si="3"/>
        <v>26705672.3</v>
      </c>
      <c r="H18" s="107">
        <v>79744927.6</v>
      </c>
      <c r="I18" s="107">
        <f t="shared" si="4"/>
        <v>106450599.89999999</v>
      </c>
    </row>
    <row r="19" spans="1:9" ht="12.75">
      <c r="A19" s="67"/>
      <c r="B19" s="99">
        <v>146</v>
      </c>
      <c r="C19" s="133" t="s">
        <v>15</v>
      </c>
      <c r="D19" s="107">
        <v>419832</v>
      </c>
      <c r="E19" s="107">
        <v>1593000</v>
      </c>
      <c r="F19" s="107">
        <v>8649884.88</v>
      </c>
      <c r="G19" s="107">
        <f t="shared" si="3"/>
        <v>10662716.88</v>
      </c>
      <c r="H19" s="107">
        <v>70387993.93</v>
      </c>
      <c r="I19" s="107">
        <f t="shared" si="4"/>
        <v>81050710.81</v>
      </c>
    </row>
    <row r="20" spans="1:9" ht="12.75">
      <c r="A20" s="67"/>
      <c r="B20" s="99">
        <v>148</v>
      </c>
      <c r="C20" s="188" t="s">
        <v>956</v>
      </c>
      <c r="D20" s="107"/>
      <c r="E20" s="107">
        <v>0</v>
      </c>
      <c r="F20" s="107">
        <v>-372772.3</v>
      </c>
      <c r="G20" s="107">
        <f t="shared" si="3"/>
        <v>-372772.3</v>
      </c>
      <c r="H20" s="107">
        <v>0</v>
      </c>
      <c r="I20" s="107">
        <f t="shared" si="4"/>
        <v>-372772.3</v>
      </c>
    </row>
    <row r="21" spans="1:9" ht="12.75">
      <c r="A21" s="67"/>
      <c r="B21" s="100">
        <v>14</v>
      </c>
      <c r="C21" s="135" t="s">
        <v>1</v>
      </c>
      <c r="D21" s="98">
        <f aca="true" t="shared" si="5" ref="D21:I21">SUM(D15:D20)</f>
        <v>37330152.3</v>
      </c>
      <c r="E21" s="98">
        <f t="shared" si="5"/>
        <v>37801259</v>
      </c>
      <c r="F21" s="98">
        <f t="shared" si="5"/>
        <v>60634948.99</v>
      </c>
      <c r="G21" s="98">
        <f t="shared" si="5"/>
        <v>135766360.29</v>
      </c>
      <c r="H21" s="98">
        <f t="shared" si="5"/>
        <v>199271970.89</v>
      </c>
      <c r="I21" s="98">
        <f t="shared" si="5"/>
        <v>335038331.18</v>
      </c>
    </row>
    <row r="22" spans="1:9" ht="12.75">
      <c r="A22" s="67"/>
      <c r="B22" s="95">
        <v>1</v>
      </c>
      <c r="C22" s="132" t="s">
        <v>343</v>
      </c>
      <c r="D22" s="108">
        <f aca="true" t="shared" si="6" ref="D22:I22">D14+D21</f>
        <v>96758381.75999999</v>
      </c>
      <c r="E22" s="108">
        <f t="shared" si="6"/>
        <v>90904802.74000001</v>
      </c>
      <c r="F22" s="108">
        <f t="shared" si="6"/>
        <v>145021481.88</v>
      </c>
      <c r="G22" s="108">
        <f t="shared" si="6"/>
        <v>332684666.38</v>
      </c>
      <c r="H22" s="108">
        <f t="shared" si="6"/>
        <v>573236922.41</v>
      </c>
      <c r="I22" s="108">
        <f t="shared" si="6"/>
        <v>905921588.79</v>
      </c>
    </row>
    <row r="23" spans="1:9" ht="12.75">
      <c r="A23" s="67"/>
      <c r="B23" s="101"/>
      <c r="C23" s="136"/>
      <c r="D23" s="109"/>
      <c r="E23" s="109"/>
      <c r="F23" s="109"/>
      <c r="G23" s="109"/>
      <c r="H23" s="109"/>
      <c r="I23" s="109"/>
    </row>
    <row r="24" spans="1:9" ht="12.75">
      <c r="A24" s="67"/>
      <c r="B24" s="95">
        <v>2</v>
      </c>
      <c r="C24" s="132" t="s">
        <v>4</v>
      </c>
      <c r="D24" s="107"/>
      <c r="E24" s="107"/>
      <c r="F24" s="107"/>
      <c r="G24" s="107"/>
      <c r="H24" s="107"/>
      <c r="I24" s="107"/>
    </row>
    <row r="25" spans="1:9" ht="12.75">
      <c r="A25" s="67"/>
      <c r="B25" s="13">
        <v>200</v>
      </c>
      <c r="C25" s="133" t="s">
        <v>37</v>
      </c>
      <c r="D25" s="107">
        <v>6181550.44</v>
      </c>
      <c r="E25" s="107">
        <v>4892078.05</v>
      </c>
      <c r="F25" s="107">
        <v>7204552.1</v>
      </c>
      <c r="G25" s="107">
        <f aca="true" t="shared" si="7" ref="G25:G31">SUM(D25:F25)</f>
        <v>18278180.59</v>
      </c>
      <c r="H25" s="107">
        <v>58805076.1</v>
      </c>
      <c r="I25" s="107">
        <f aca="true" t="shared" si="8" ref="I25:I31">G25+H25</f>
        <v>77083256.69</v>
      </c>
    </row>
    <row r="26" spans="1:9" ht="12.75">
      <c r="A26" s="67"/>
      <c r="B26" s="13">
        <v>201</v>
      </c>
      <c r="C26" s="133" t="s">
        <v>38</v>
      </c>
      <c r="D26" s="107">
        <v>100000</v>
      </c>
      <c r="E26" s="107">
        <v>5024139.8</v>
      </c>
      <c r="F26" s="107">
        <v>17251265</v>
      </c>
      <c r="G26" s="107">
        <f t="shared" si="7"/>
        <v>22375404.8</v>
      </c>
      <c r="H26" s="107">
        <v>20425000</v>
      </c>
      <c r="I26" s="107">
        <f t="shared" si="8"/>
        <v>42800404.8</v>
      </c>
    </row>
    <row r="27" spans="1:9" ht="12.75">
      <c r="A27" s="67"/>
      <c r="B27" s="13">
        <v>204</v>
      </c>
      <c r="C27" s="133" t="s">
        <v>39</v>
      </c>
      <c r="D27" s="107">
        <v>601244.6</v>
      </c>
      <c r="E27" s="107">
        <v>1403447.05</v>
      </c>
      <c r="F27" s="107">
        <v>857463.59</v>
      </c>
      <c r="G27" s="107">
        <f t="shared" si="7"/>
        <v>2862155.2399999998</v>
      </c>
      <c r="H27" s="107">
        <v>10498006.5</v>
      </c>
      <c r="I27" s="107">
        <f t="shared" si="8"/>
        <v>13360161.74</v>
      </c>
    </row>
    <row r="28" spans="1:9" ht="12.75">
      <c r="A28" s="67"/>
      <c r="B28" s="13">
        <v>205</v>
      </c>
      <c r="C28" s="133" t="s">
        <v>40</v>
      </c>
      <c r="D28" s="107">
        <v>301062.3</v>
      </c>
      <c r="E28" s="107">
        <v>400000</v>
      </c>
      <c r="F28" s="107">
        <v>0</v>
      </c>
      <c r="G28" s="107">
        <f t="shared" si="7"/>
        <v>701062.3</v>
      </c>
      <c r="H28" s="107">
        <v>992700</v>
      </c>
      <c r="I28" s="107">
        <f t="shared" si="8"/>
        <v>1693762.3</v>
      </c>
    </row>
    <row r="29" spans="1:9" ht="12.75">
      <c r="A29" s="67"/>
      <c r="B29" s="13">
        <v>206</v>
      </c>
      <c r="C29" s="133" t="s">
        <v>41</v>
      </c>
      <c r="D29" s="107">
        <v>24159034.8</v>
      </c>
      <c r="E29" s="107">
        <v>22520000</v>
      </c>
      <c r="F29" s="107">
        <v>24392462.25</v>
      </c>
      <c r="G29" s="107">
        <f t="shared" si="7"/>
        <v>71071497.05</v>
      </c>
      <c r="H29" s="107">
        <v>82935209.94</v>
      </c>
      <c r="I29" s="107">
        <f t="shared" si="8"/>
        <v>154006706.99</v>
      </c>
    </row>
    <row r="30" spans="1:9" ht="12.75">
      <c r="A30" s="67"/>
      <c r="B30" s="13">
        <v>208</v>
      </c>
      <c r="C30" s="133" t="s">
        <v>42</v>
      </c>
      <c r="D30" s="107">
        <v>473000</v>
      </c>
      <c r="E30" s="107">
        <v>0</v>
      </c>
      <c r="F30" s="107">
        <v>312395.7</v>
      </c>
      <c r="G30" s="107">
        <f t="shared" si="7"/>
        <v>785395.7</v>
      </c>
      <c r="H30" s="107">
        <v>0</v>
      </c>
      <c r="I30" s="107">
        <f t="shared" si="8"/>
        <v>785395.7</v>
      </c>
    </row>
    <row r="31" spans="1:9" ht="12.75">
      <c r="A31" s="67"/>
      <c r="B31" s="13">
        <v>209</v>
      </c>
      <c r="C31" s="133" t="s">
        <v>908</v>
      </c>
      <c r="D31" s="107">
        <v>4601416.4</v>
      </c>
      <c r="E31" s="107">
        <v>582463.25</v>
      </c>
      <c r="F31" s="107">
        <v>2823734.2</v>
      </c>
      <c r="G31" s="107">
        <f t="shared" si="7"/>
        <v>8007613.850000001</v>
      </c>
      <c r="H31" s="107">
        <v>21066053.94</v>
      </c>
      <c r="I31" s="107">
        <f t="shared" si="8"/>
        <v>29073667.790000003</v>
      </c>
    </row>
    <row r="32" spans="1:9" ht="12.75">
      <c r="A32" s="67"/>
      <c r="B32" s="100">
        <v>20</v>
      </c>
      <c r="C32" s="135" t="s">
        <v>5</v>
      </c>
      <c r="D32" s="98">
        <f aca="true" t="shared" si="9" ref="D32:I32">SUM(D25:D31)</f>
        <v>36417308.54</v>
      </c>
      <c r="E32" s="98">
        <f t="shared" si="9"/>
        <v>34822128.15</v>
      </c>
      <c r="F32" s="98">
        <f t="shared" si="9"/>
        <v>52841872.84</v>
      </c>
      <c r="G32" s="98">
        <f t="shared" si="9"/>
        <v>124081309.52999999</v>
      </c>
      <c r="H32" s="98">
        <f t="shared" si="9"/>
        <v>194722046.48</v>
      </c>
      <c r="I32" s="98">
        <f t="shared" si="9"/>
        <v>318803356.01</v>
      </c>
    </row>
    <row r="33" spans="1:9" ht="12.75">
      <c r="A33" s="67"/>
      <c r="B33" s="13">
        <v>290</v>
      </c>
      <c r="C33" s="133" t="s">
        <v>907</v>
      </c>
      <c r="D33" s="107">
        <v>4478751.8</v>
      </c>
      <c r="E33" s="107">
        <v>2027988.06</v>
      </c>
      <c r="F33" s="107">
        <v>12059098.59</v>
      </c>
      <c r="G33" s="107">
        <f aca="true" t="shared" si="10" ref="G33:G40">SUM(D33:F33)</f>
        <v>18565838.45</v>
      </c>
      <c r="H33" s="107">
        <v>0</v>
      </c>
      <c r="I33" s="107">
        <f aca="true" t="shared" si="11" ref="I33:I40">G33+H33</f>
        <v>18565838.45</v>
      </c>
    </row>
    <row r="34" spans="1:9" ht="12.75">
      <c r="A34" s="67"/>
      <c r="B34" s="13">
        <v>291</v>
      </c>
      <c r="C34" s="133" t="s">
        <v>44</v>
      </c>
      <c r="D34" s="107">
        <v>10734946.86</v>
      </c>
      <c r="E34" s="107">
        <v>2857416.08</v>
      </c>
      <c r="F34" s="107">
        <v>7326194.46</v>
      </c>
      <c r="G34" s="107">
        <f t="shared" si="10"/>
        <v>20918557.4</v>
      </c>
      <c r="H34" s="107">
        <v>166011201.3</v>
      </c>
      <c r="I34" s="107">
        <f t="shared" si="11"/>
        <v>186929758.70000002</v>
      </c>
    </row>
    <row r="35" spans="1:9" ht="12.75">
      <c r="A35" s="67"/>
      <c r="B35" s="13">
        <v>292</v>
      </c>
      <c r="C35" s="133" t="s">
        <v>45</v>
      </c>
      <c r="D35" s="107"/>
      <c r="E35" s="107">
        <v>0</v>
      </c>
      <c r="F35" s="107">
        <v>0</v>
      </c>
      <c r="G35" s="107">
        <f t="shared" si="10"/>
        <v>0</v>
      </c>
      <c r="H35" s="107">
        <v>0</v>
      </c>
      <c r="I35" s="107">
        <f t="shared" si="11"/>
        <v>0</v>
      </c>
    </row>
    <row r="36" spans="1:9" ht="12.75">
      <c r="A36" s="67"/>
      <c r="B36" s="13">
        <v>293</v>
      </c>
      <c r="C36" s="133" t="s">
        <v>46</v>
      </c>
      <c r="D36" s="107">
        <v>1998222.2</v>
      </c>
      <c r="E36" s="107">
        <v>0</v>
      </c>
      <c r="F36" s="107">
        <v>1773216.67</v>
      </c>
      <c r="G36" s="107">
        <f t="shared" si="10"/>
        <v>3771438.87</v>
      </c>
      <c r="H36" s="107">
        <v>0</v>
      </c>
      <c r="I36" s="107">
        <f t="shared" si="11"/>
        <v>3771438.87</v>
      </c>
    </row>
    <row r="37" spans="1:9" ht="12.75">
      <c r="A37" s="67"/>
      <c r="B37" s="13">
        <v>295</v>
      </c>
      <c r="C37" s="133" t="s">
        <v>47</v>
      </c>
      <c r="D37" s="107">
        <v>5161587.5</v>
      </c>
      <c r="E37" s="107">
        <v>11315263.75</v>
      </c>
      <c r="F37" s="107">
        <v>-1226450.55</v>
      </c>
      <c r="G37" s="107">
        <f t="shared" si="10"/>
        <v>15250400.7</v>
      </c>
      <c r="H37" s="107">
        <v>33940732.41</v>
      </c>
      <c r="I37" s="107">
        <f t="shared" si="11"/>
        <v>49191133.11</v>
      </c>
    </row>
    <row r="38" spans="1:9" ht="12.75">
      <c r="A38" s="67"/>
      <c r="B38" s="13">
        <v>296</v>
      </c>
      <c r="C38" s="133" t="s">
        <v>48</v>
      </c>
      <c r="D38" s="107">
        <v>14971732.6</v>
      </c>
      <c r="E38" s="107">
        <v>7256876.15</v>
      </c>
      <c r="F38" s="107">
        <v>23632397.15</v>
      </c>
      <c r="G38" s="107">
        <f t="shared" si="10"/>
        <v>45861005.9</v>
      </c>
      <c r="H38" s="107">
        <v>85440376.21</v>
      </c>
      <c r="I38" s="107">
        <f t="shared" si="11"/>
        <v>131301382.10999998</v>
      </c>
    </row>
    <row r="39" spans="1:9" ht="12.75">
      <c r="A39" s="67"/>
      <c r="B39" s="13">
        <v>298</v>
      </c>
      <c r="C39" s="133" t="s">
        <v>49</v>
      </c>
      <c r="D39" s="107">
        <v>0</v>
      </c>
      <c r="E39" s="107">
        <v>29110673.4</v>
      </c>
      <c r="F39" s="107">
        <v>48142882.46</v>
      </c>
      <c r="G39" s="107">
        <f t="shared" si="10"/>
        <v>77253555.86</v>
      </c>
      <c r="H39" s="107">
        <v>41773103.47</v>
      </c>
      <c r="I39" s="107">
        <f t="shared" si="11"/>
        <v>119026659.33</v>
      </c>
    </row>
    <row r="40" spans="1:9" ht="12.75">
      <c r="A40" s="67"/>
      <c r="B40" s="13">
        <v>299</v>
      </c>
      <c r="C40" s="133" t="s">
        <v>50</v>
      </c>
      <c r="D40" s="107">
        <v>22995832.26</v>
      </c>
      <c r="E40" s="107">
        <v>3514457.15</v>
      </c>
      <c r="F40" s="107">
        <v>472270.26</v>
      </c>
      <c r="G40" s="107">
        <f t="shared" si="10"/>
        <v>26982559.67</v>
      </c>
      <c r="H40" s="107">
        <v>51349462.54</v>
      </c>
      <c r="I40" s="107">
        <f t="shared" si="11"/>
        <v>78332022.21000001</v>
      </c>
    </row>
    <row r="41" spans="1:9" ht="12.75">
      <c r="A41" s="67"/>
      <c r="B41" s="100">
        <v>29</v>
      </c>
      <c r="C41" s="135" t="s">
        <v>18</v>
      </c>
      <c r="D41" s="98">
        <f aca="true" t="shared" si="12" ref="D41:I41">SUM(D33:D40)</f>
        <v>60341073.22</v>
      </c>
      <c r="E41" s="98">
        <f t="shared" si="12"/>
        <v>56082674.589999996</v>
      </c>
      <c r="F41" s="98">
        <f t="shared" si="12"/>
        <v>92179609.04</v>
      </c>
      <c r="G41" s="98">
        <f t="shared" si="12"/>
        <v>208603356.85000002</v>
      </c>
      <c r="H41" s="98">
        <f t="shared" si="12"/>
        <v>378514875.93</v>
      </c>
      <c r="I41" s="98">
        <f t="shared" si="12"/>
        <v>587118232.78</v>
      </c>
    </row>
    <row r="42" spans="1:9" ht="12.75">
      <c r="A42" s="67"/>
      <c r="B42" s="95">
        <v>2</v>
      </c>
      <c r="C42" s="132" t="s">
        <v>344</v>
      </c>
      <c r="D42" s="108">
        <f aca="true" t="shared" si="13" ref="D42:I42">D32+D41</f>
        <v>96758381.75999999</v>
      </c>
      <c r="E42" s="108">
        <f t="shared" si="13"/>
        <v>90904802.74</v>
      </c>
      <c r="F42" s="108">
        <f t="shared" si="13"/>
        <v>145021481.88</v>
      </c>
      <c r="G42" s="108">
        <f t="shared" si="13"/>
        <v>332684666.38</v>
      </c>
      <c r="H42" s="108">
        <f t="shared" si="13"/>
        <v>573236922.41</v>
      </c>
      <c r="I42" s="108">
        <f t="shared" si="13"/>
        <v>905921588.79</v>
      </c>
    </row>
    <row r="43" spans="1:9" ht="15" customHeight="1" thickBot="1">
      <c r="A43" s="67"/>
      <c r="B43" s="21"/>
      <c r="C43" s="137" t="s">
        <v>6</v>
      </c>
      <c r="D43" s="123">
        <f>IF(D22=D42,D22-D42,Meldungen!A4)</f>
        <v>0</v>
      </c>
      <c r="E43" s="123">
        <f>IF(E22=E42,E22-E42,Meldungen!B4)</f>
        <v>1.4901161193847656E-08</v>
      </c>
      <c r="F43" s="123">
        <f>IF(F22=F42,F22-F42,Meldungen!C4)</f>
        <v>0</v>
      </c>
      <c r="G43" s="124">
        <f>IF(G22=G42,G22-G42,Meldungen!D4)</f>
        <v>0</v>
      </c>
      <c r="H43" s="123">
        <f>IF(H22=H42,H22-H42,Meldungen!F4)</f>
        <v>0</v>
      </c>
      <c r="I43" s="124">
        <f>IF(I22=I42,I22-I42,Meldungen!G4)</f>
        <v>0</v>
      </c>
    </row>
    <row r="44" spans="3:9" ht="15" customHeight="1">
      <c r="C44" s="67"/>
      <c r="D44" s="3"/>
      <c r="E44" s="3"/>
      <c r="F44" s="3"/>
      <c r="G44" s="119"/>
      <c r="H44" s="3"/>
      <c r="I44" s="119"/>
    </row>
    <row r="45" spans="3:9" ht="13.5" thickBot="1">
      <c r="C45" s="67"/>
      <c r="D45" s="1"/>
      <c r="E45" s="1"/>
      <c r="F45" s="1"/>
      <c r="G45" s="120"/>
      <c r="H45" s="1"/>
      <c r="I45" s="120"/>
    </row>
    <row r="46" spans="2:9" ht="12.75">
      <c r="B46" s="173" t="s">
        <v>941</v>
      </c>
      <c r="C46" s="138"/>
      <c r="D46" s="176"/>
      <c r="E46" s="176"/>
      <c r="F46" s="176"/>
      <c r="G46" s="127"/>
      <c r="H46" s="176"/>
      <c r="I46" s="177"/>
    </row>
    <row r="47" spans="2:9" ht="12.75">
      <c r="B47" s="129">
        <v>3</v>
      </c>
      <c r="C47" s="139" t="s">
        <v>7</v>
      </c>
      <c r="D47" s="130"/>
      <c r="E47" s="130"/>
      <c r="F47" s="130"/>
      <c r="G47" s="130"/>
      <c r="H47" s="130"/>
      <c r="I47" s="131"/>
    </row>
    <row r="48" spans="2:9" ht="12.75">
      <c r="B48" s="13">
        <v>300</v>
      </c>
      <c r="C48" s="133" t="s">
        <v>51</v>
      </c>
      <c r="D48" s="107">
        <v>587550.8</v>
      </c>
      <c r="E48" s="107">
        <v>491315.8</v>
      </c>
      <c r="F48" s="107">
        <v>593769</v>
      </c>
      <c r="G48" s="107">
        <f aca="true" t="shared" si="14" ref="G48:G55">SUM(D48:F48)</f>
        <v>1672635.6</v>
      </c>
      <c r="H48" s="107">
        <v>2435255</v>
      </c>
      <c r="I48" s="121">
        <f aca="true" t="shared" si="15" ref="I48:I55">G48+H48</f>
        <v>4107890.6</v>
      </c>
    </row>
    <row r="49" spans="2:9" ht="12.75">
      <c r="B49" s="13">
        <v>301</v>
      </c>
      <c r="C49" s="133" t="s">
        <v>52</v>
      </c>
      <c r="D49" s="107">
        <v>8926763.5</v>
      </c>
      <c r="E49" s="107">
        <v>7579349.65</v>
      </c>
      <c r="F49" s="107">
        <v>10633472.88</v>
      </c>
      <c r="G49" s="107">
        <f t="shared" si="14"/>
        <v>27139586.03</v>
      </c>
      <c r="H49" s="107">
        <v>44245569</v>
      </c>
      <c r="I49" s="121">
        <f t="shared" si="15"/>
        <v>71385155.03</v>
      </c>
    </row>
    <row r="50" spans="2:9" ht="12.75">
      <c r="B50" s="13">
        <v>302</v>
      </c>
      <c r="C50" s="133" t="s">
        <v>53</v>
      </c>
      <c r="D50" s="107">
        <v>8997518.25</v>
      </c>
      <c r="E50" s="107">
        <v>11526216.55</v>
      </c>
      <c r="F50" s="107">
        <v>14492256.11</v>
      </c>
      <c r="G50" s="107">
        <f t="shared" si="14"/>
        <v>35015990.91</v>
      </c>
      <c r="H50" s="107">
        <v>12702691</v>
      </c>
      <c r="I50" s="121">
        <f t="shared" si="15"/>
        <v>47718681.91</v>
      </c>
    </row>
    <row r="51" spans="2:9" ht="12.75">
      <c r="B51" s="13">
        <v>303</v>
      </c>
      <c r="C51" s="133" t="s">
        <v>353</v>
      </c>
      <c r="D51" s="107">
        <v>0</v>
      </c>
      <c r="E51" s="107">
        <v>16935.6</v>
      </c>
      <c r="F51" s="107">
        <v>16649.55</v>
      </c>
      <c r="G51" s="107">
        <f t="shared" si="14"/>
        <v>33585.149999999994</v>
      </c>
      <c r="H51" s="107">
        <v>0</v>
      </c>
      <c r="I51" s="121">
        <f t="shared" si="15"/>
        <v>33585.149999999994</v>
      </c>
    </row>
    <row r="52" spans="2:9" ht="12.75">
      <c r="B52" s="13">
        <v>304</v>
      </c>
      <c r="C52" s="133" t="s">
        <v>54</v>
      </c>
      <c r="D52" s="107">
        <v>12050</v>
      </c>
      <c r="E52" s="107">
        <v>28220</v>
      </c>
      <c r="F52" s="107">
        <v>18255.25</v>
      </c>
      <c r="G52" s="107">
        <f t="shared" si="14"/>
        <v>58525.25</v>
      </c>
      <c r="H52" s="107">
        <v>57566</v>
      </c>
      <c r="I52" s="121">
        <f t="shared" si="15"/>
        <v>116091.25</v>
      </c>
    </row>
    <row r="53" spans="2:9" ht="12.75">
      <c r="B53" s="13">
        <v>305</v>
      </c>
      <c r="C53" s="133" t="s">
        <v>55</v>
      </c>
      <c r="D53" s="107">
        <v>3132222.8</v>
      </c>
      <c r="E53" s="107">
        <v>3505312.45</v>
      </c>
      <c r="F53" s="107">
        <v>4750602.45</v>
      </c>
      <c r="G53" s="107">
        <f t="shared" si="14"/>
        <v>11388137.7</v>
      </c>
      <c r="H53" s="107">
        <v>10200091</v>
      </c>
      <c r="I53" s="121">
        <f t="shared" si="15"/>
        <v>21588228.7</v>
      </c>
    </row>
    <row r="54" spans="2:9" ht="12.75">
      <c r="B54" s="13">
        <v>306</v>
      </c>
      <c r="C54" s="133" t="s">
        <v>56</v>
      </c>
      <c r="D54" s="107">
        <v>70632.4</v>
      </c>
      <c r="E54" s="107">
        <v>102744.1</v>
      </c>
      <c r="F54" s="107">
        <v>0</v>
      </c>
      <c r="G54" s="107">
        <f t="shared" si="14"/>
        <v>173376.5</v>
      </c>
      <c r="H54" s="107">
        <v>849035</v>
      </c>
      <c r="I54" s="121">
        <f t="shared" si="15"/>
        <v>1022411.5</v>
      </c>
    </row>
    <row r="55" spans="2:9" ht="12.75">
      <c r="B55" s="13">
        <v>309</v>
      </c>
      <c r="C55" s="133" t="s">
        <v>57</v>
      </c>
      <c r="D55" s="107">
        <v>150773.85</v>
      </c>
      <c r="E55" s="107">
        <v>159826.35</v>
      </c>
      <c r="F55" s="107">
        <v>177985.3</v>
      </c>
      <c r="G55" s="107">
        <f t="shared" si="14"/>
        <v>488585.5</v>
      </c>
      <c r="H55" s="107">
        <v>889002</v>
      </c>
      <c r="I55" s="121">
        <f t="shared" si="15"/>
        <v>1377587.5</v>
      </c>
    </row>
    <row r="56" spans="2:9" ht="12.75">
      <c r="B56" s="100">
        <v>30</v>
      </c>
      <c r="C56" s="135" t="s">
        <v>8</v>
      </c>
      <c r="D56" s="98">
        <f aca="true" t="shared" si="16" ref="D56:I56">SUM(D48:D55)</f>
        <v>21877511.6</v>
      </c>
      <c r="E56" s="98">
        <f t="shared" si="16"/>
        <v>23409920.500000004</v>
      </c>
      <c r="F56" s="98">
        <f t="shared" si="16"/>
        <v>30682990.540000003</v>
      </c>
      <c r="G56" s="98">
        <f t="shared" si="16"/>
        <v>75970422.64</v>
      </c>
      <c r="H56" s="98">
        <f t="shared" si="16"/>
        <v>71379209</v>
      </c>
      <c r="I56" s="122">
        <f t="shared" si="16"/>
        <v>147349631.64</v>
      </c>
    </row>
    <row r="57" spans="2:9" ht="12.75">
      <c r="B57" s="13">
        <v>310</v>
      </c>
      <c r="C57" s="133" t="s">
        <v>58</v>
      </c>
      <c r="D57" s="107">
        <v>1238843.82</v>
      </c>
      <c r="E57" s="107">
        <v>1287735.05</v>
      </c>
      <c r="F57" s="107">
        <v>1704663.42</v>
      </c>
      <c r="G57" s="107">
        <f aca="true" t="shared" si="17" ref="G57:G66">SUM(D57:F57)</f>
        <v>4231242.29</v>
      </c>
      <c r="H57" s="107">
        <v>2333299</v>
      </c>
      <c r="I57" s="121">
        <f aca="true" t="shared" si="18" ref="I57:I66">G57+H57</f>
        <v>6564541.29</v>
      </c>
    </row>
    <row r="58" spans="2:9" ht="12.75">
      <c r="B58" s="13">
        <v>311</v>
      </c>
      <c r="C58" s="133" t="s">
        <v>59</v>
      </c>
      <c r="D58" s="107">
        <v>347639.25</v>
      </c>
      <c r="E58" s="107">
        <v>408601.4</v>
      </c>
      <c r="F58" s="107">
        <v>792899.45</v>
      </c>
      <c r="G58" s="107">
        <f t="shared" si="17"/>
        <v>1549140.1</v>
      </c>
      <c r="H58" s="107">
        <v>1790362</v>
      </c>
      <c r="I58" s="121">
        <f t="shared" si="18"/>
        <v>3339502.1</v>
      </c>
    </row>
    <row r="59" spans="2:9" ht="12.75">
      <c r="B59" s="13">
        <v>312</v>
      </c>
      <c r="C59" s="133" t="s">
        <v>60</v>
      </c>
      <c r="D59" s="107">
        <v>808444.75</v>
      </c>
      <c r="E59" s="107">
        <v>1409289.02</v>
      </c>
      <c r="F59" s="107">
        <v>832432.07</v>
      </c>
      <c r="G59" s="107">
        <f t="shared" si="17"/>
        <v>3050165.84</v>
      </c>
      <c r="H59" s="107">
        <v>1002943</v>
      </c>
      <c r="I59" s="121">
        <f t="shared" si="18"/>
        <v>4053108.84</v>
      </c>
    </row>
    <row r="60" spans="2:9" ht="12.75">
      <c r="B60" s="13">
        <v>313</v>
      </c>
      <c r="C60" s="133" t="s">
        <v>61</v>
      </c>
      <c r="D60" s="107">
        <v>5035546.38</v>
      </c>
      <c r="E60" s="107">
        <v>3086427.01</v>
      </c>
      <c r="F60" s="107">
        <v>5090437.66</v>
      </c>
      <c r="G60" s="107">
        <f t="shared" si="17"/>
        <v>13212411.05</v>
      </c>
      <c r="H60" s="107">
        <v>11327480</v>
      </c>
      <c r="I60" s="121">
        <f t="shared" si="18"/>
        <v>24539891.05</v>
      </c>
    </row>
    <row r="61" spans="2:9" ht="12.75">
      <c r="B61" s="13">
        <v>314</v>
      </c>
      <c r="C61" s="133" t="s">
        <v>62</v>
      </c>
      <c r="D61" s="107">
        <v>1412360.38</v>
      </c>
      <c r="E61" s="107">
        <v>878268.85</v>
      </c>
      <c r="F61" s="107">
        <v>1991571.18</v>
      </c>
      <c r="G61" s="107">
        <f t="shared" si="17"/>
        <v>4282200.41</v>
      </c>
      <c r="H61" s="107">
        <v>8902056</v>
      </c>
      <c r="I61" s="121">
        <f t="shared" si="18"/>
        <v>13184256.41</v>
      </c>
    </row>
    <row r="62" spans="2:9" ht="12.75">
      <c r="B62" s="13">
        <v>315</v>
      </c>
      <c r="C62" s="133" t="s">
        <v>63</v>
      </c>
      <c r="D62" s="107">
        <v>474065.31</v>
      </c>
      <c r="E62" s="107">
        <v>387787.45</v>
      </c>
      <c r="F62" s="107">
        <v>477947.8</v>
      </c>
      <c r="G62" s="107">
        <f t="shared" si="17"/>
        <v>1339800.56</v>
      </c>
      <c r="H62" s="107">
        <v>2303880</v>
      </c>
      <c r="I62" s="121">
        <f t="shared" si="18"/>
        <v>3643680.56</v>
      </c>
    </row>
    <row r="63" spans="2:9" ht="12.75">
      <c r="B63" s="13">
        <v>316</v>
      </c>
      <c r="C63" s="133" t="s">
        <v>64</v>
      </c>
      <c r="D63" s="107">
        <v>283740.5</v>
      </c>
      <c r="E63" s="107">
        <v>139890.55</v>
      </c>
      <c r="F63" s="107">
        <v>593443.4</v>
      </c>
      <c r="G63" s="107">
        <f t="shared" si="17"/>
        <v>1017074.45</v>
      </c>
      <c r="H63" s="107">
        <v>1008008</v>
      </c>
      <c r="I63" s="121">
        <f t="shared" si="18"/>
        <v>2025082.45</v>
      </c>
    </row>
    <row r="64" spans="2:9" ht="12.75">
      <c r="B64" s="13">
        <v>317</v>
      </c>
      <c r="C64" s="133" t="s">
        <v>65</v>
      </c>
      <c r="D64" s="107">
        <v>450815.55</v>
      </c>
      <c r="E64" s="107">
        <v>188035.47</v>
      </c>
      <c r="F64" s="107">
        <v>293547.65</v>
      </c>
      <c r="G64" s="107">
        <f t="shared" si="17"/>
        <v>932398.67</v>
      </c>
      <c r="H64" s="107">
        <v>603375</v>
      </c>
      <c r="I64" s="121">
        <f t="shared" si="18"/>
        <v>1535773.67</v>
      </c>
    </row>
    <row r="65" spans="2:9" ht="12.75">
      <c r="B65" s="13">
        <v>318</v>
      </c>
      <c r="C65" s="133" t="s">
        <v>66</v>
      </c>
      <c r="D65" s="107">
        <v>522915.05</v>
      </c>
      <c r="E65" s="107">
        <v>556674.08</v>
      </c>
      <c r="F65" s="107">
        <v>690074.64</v>
      </c>
      <c r="G65" s="107">
        <f t="shared" si="17"/>
        <v>1769663.77</v>
      </c>
      <c r="H65" s="107">
        <v>1863508</v>
      </c>
      <c r="I65" s="121">
        <f t="shared" si="18"/>
        <v>3633171.77</v>
      </c>
    </row>
    <row r="66" spans="2:9" ht="12.75">
      <c r="B66" s="13">
        <v>319</v>
      </c>
      <c r="C66" s="133" t="s">
        <v>67</v>
      </c>
      <c r="D66" s="107">
        <v>2916.25</v>
      </c>
      <c r="E66" s="107">
        <v>3864.15</v>
      </c>
      <c r="F66" s="107">
        <v>75860.6</v>
      </c>
      <c r="G66" s="107">
        <f t="shared" si="17"/>
        <v>82641</v>
      </c>
      <c r="H66" s="107">
        <v>195896</v>
      </c>
      <c r="I66" s="121">
        <f t="shared" si="18"/>
        <v>278537</v>
      </c>
    </row>
    <row r="67" spans="2:9" ht="12.75">
      <c r="B67" s="100">
        <v>31</v>
      </c>
      <c r="C67" s="135" t="s">
        <v>68</v>
      </c>
      <c r="D67" s="98">
        <f aca="true" t="shared" si="19" ref="D67:I67">SUM(D57:D66)</f>
        <v>10577287.240000002</v>
      </c>
      <c r="E67" s="98">
        <f t="shared" si="19"/>
        <v>8346573.03</v>
      </c>
      <c r="F67" s="98">
        <f t="shared" si="19"/>
        <v>12542877.870000001</v>
      </c>
      <c r="G67" s="98">
        <f t="shared" si="19"/>
        <v>31466738.14</v>
      </c>
      <c r="H67" s="98">
        <f t="shared" si="19"/>
        <v>31330807</v>
      </c>
      <c r="I67" s="122">
        <f t="shared" si="19"/>
        <v>62797545.14000001</v>
      </c>
    </row>
    <row r="68" spans="2:9" ht="12.75">
      <c r="B68" s="13">
        <v>330</v>
      </c>
      <c r="C68" s="133" t="s">
        <v>33</v>
      </c>
      <c r="D68" s="107">
        <v>3641780.9</v>
      </c>
      <c r="E68" s="107">
        <v>3020698.28</v>
      </c>
      <c r="F68" s="107">
        <v>5970025.62</v>
      </c>
      <c r="G68" s="107">
        <f>SUM(D68:F68)</f>
        <v>12632504.8</v>
      </c>
      <c r="H68" s="107">
        <v>9019009</v>
      </c>
      <c r="I68" s="121">
        <f>G68+H68</f>
        <v>21651513.8</v>
      </c>
    </row>
    <row r="69" spans="2:9" ht="12.75">
      <c r="B69" s="13">
        <v>332</v>
      </c>
      <c r="C69" s="133" t="s">
        <v>69</v>
      </c>
      <c r="D69" s="107">
        <v>42487.1</v>
      </c>
      <c r="E69" s="107">
        <v>221322.7</v>
      </c>
      <c r="F69" s="107">
        <v>262590.45</v>
      </c>
      <c r="G69" s="107">
        <f>SUM(D69:F69)</f>
        <v>526400.25</v>
      </c>
      <c r="H69" s="107">
        <v>0</v>
      </c>
      <c r="I69" s="121">
        <f>G69+H69</f>
        <v>526400.25</v>
      </c>
    </row>
    <row r="70" spans="2:9" ht="12.75">
      <c r="B70" s="13">
        <v>339</v>
      </c>
      <c r="C70" s="133" t="s">
        <v>70</v>
      </c>
      <c r="D70" s="107"/>
      <c r="E70" s="107">
        <v>0</v>
      </c>
      <c r="F70" s="107">
        <v>0</v>
      </c>
      <c r="G70" s="107">
        <f>SUM(D70:F70)</f>
        <v>0</v>
      </c>
      <c r="H70" s="107">
        <v>0</v>
      </c>
      <c r="I70" s="121">
        <f>G70+H70</f>
        <v>0</v>
      </c>
    </row>
    <row r="71" spans="2:9" ht="12.75">
      <c r="B71" s="100">
        <v>33</v>
      </c>
      <c r="C71" s="135" t="s">
        <v>22</v>
      </c>
      <c r="D71" s="98">
        <f aca="true" t="shared" si="20" ref="D71:I71">SUM(D68:D70)</f>
        <v>3684268</v>
      </c>
      <c r="E71" s="98">
        <f t="shared" si="20"/>
        <v>3242020.98</v>
      </c>
      <c r="F71" s="98">
        <f t="shared" si="20"/>
        <v>6232616.07</v>
      </c>
      <c r="G71" s="98">
        <f t="shared" si="20"/>
        <v>13158905.05</v>
      </c>
      <c r="H71" s="98">
        <f t="shared" si="20"/>
        <v>9019009</v>
      </c>
      <c r="I71" s="122">
        <f t="shared" si="20"/>
        <v>22177914.05</v>
      </c>
    </row>
    <row r="72" spans="2:9" ht="12.75">
      <c r="B72" s="13">
        <v>340</v>
      </c>
      <c r="C72" s="133" t="s">
        <v>71</v>
      </c>
      <c r="D72" s="107">
        <v>597222.16</v>
      </c>
      <c r="E72" s="107">
        <v>649109.25</v>
      </c>
      <c r="F72" s="107">
        <v>596584.83</v>
      </c>
      <c r="G72" s="107">
        <f aca="true" t="shared" si="21" ref="G72:G77">SUM(D72:F72)</f>
        <v>1842916.2400000002</v>
      </c>
      <c r="H72" s="107">
        <v>2813509</v>
      </c>
      <c r="I72" s="121">
        <f aca="true" t="shared" si="22" ref="I72:I77">G72+H72</f>
        <v>4656425.24</v>
      </c>
    </row>
    <row r="73" spans="2:9" ht="12.75">
      <c r="B73" s="13">
        <v>341</v>
      </c>
      <c r="C73" s="133" t="s">
        <v>72</v>
      </c>
      <c r="D73" s="107"/>
      <c r="E73" s="107">
        <v>0</v>
      </c>
      <c r="F73" s="107">
        <v>0</v>
      </c>
      <c r="G73" s="107">
        <f t="shared" si="21"/>
        <v>0</v>
      </c>
      <c r="H73" s="107">
        <v>0</v>
      </c>
      <c r="I73" s="121">
        <f t="shared" si="22"/>
        <v>0</v>
      </c>
    </row>
    <row r="74" spans="2:9" ht="12.75">
      <c r="B74" s="13">
        <v>342</v>
      </c>
      <c r="C74" s="133" t="s">
        <v>73</v>
      </c>
      <c r="D74" s="107"/>
      <c r="E74" s="107">
        <v>0</v>
      </c>
      <c r="F74" s="107">
        <v>2500</v>
      </c>
      <c r="G74" s="107">
        <f t="shared" si="21"/>
        <v>2500</v>
      </c>
      <c r="H74" s="107">
        <v>0</v>
      </c>
      <c r="I74" s="121">
        <f t="shared" si="22"/>
        <v>2500</v>
      </c>
    </row>
    <row r="75" spans="2:9" ht="12.75">
      <c r="B75" s="13">
        <v>343</v>
      </c>
      <c r="C75" s="133" t="s">
        <v>74</v>
      </c>
      <c r="D75" s="107">
        <v>220707.65</v>
      </c>
      <c r="E75" s="107">
        <v>537594.45</v>
      </c>
      <c r="F75" s="107">
        <v>313611.35</v>
      </c>
      <c r="G75" s="107">
        <f t="shared" si="21"/>
        <v>1071913.45</v>
      </c>
      <c r="H75" s="107">
        <v>361281</v>
      </c>
      <c r="I75" s="121">
        <f t="shared" si="22"/>
        <v>1433194.45</v>
      </c>
    </row>
    <row r="76" spans="2:9" ht="12.75">
      <c r="B76" s="13">
        <v>344</v>
      </c>
      <c r="C76" s="133" t="s">
        <v>75</v>
      </c>
      <c r="D76" s="107"/>
      <c r="E76" s="107">
        <v>47270.19</v>
      </c>
      <c r="F76" s="107">
        <v>297955.61</v>
      </c>
      <c r="G76" s="107">
        <f t="shared" si="21"/>
        <v>345225.8</v>
      </c>
      <c r="H76" s="107">
        <v>1067044</v>
      </c>
      <c r="I76" s="121">
        <f t="shared" si="22"/>
        <v>1412269.8</v>
      </c>
    </row>
    <row r="77" spans="2:9" ht="12.75">
      <c r="B77" s="13">
        <v>349</v>
      </c>
      <c r="C77" s="133" t="s">
        <v>76</v>
      </c>
      <c r="D77" s="107"/>
      <c r="E77" s="107">
        <v>0</v>
      </c>
      <c r="F77" s="107">
        <v>0</v>
      </c>
      <c r="G77" s="107">
        <f t="shared" si="21"/>
        <v>0</v>
      </c>
      <c r="H77" s="107">
        <v>1301765</v>
      </c>
      <c r="I77" s="121">
        <f t="shared" si="22"/>
        <v>1301765</v>
      </c>
    </row>
    <row r="78" spans="2:9" ht="12.75">
      <c r="B78" s="100">
        <v>34</v>
      </c>
      <c r="C78" s="135" t="s">
        <v>77</v>
      </c>
      <c r="D78" s="98">
        <f aca="true" t="shared" si="23" ref="D78:I78">SUM(D72:D77)</f>
        <v>817929.81</v>
      </c>
      <c r="E78" s="98">
        <f t="shared" si="23"/>
        <v>1233973.89</v>
      </c>
      <c r="F78" s="98">
        <f t="shared" si="23"/>
        <v>1210651.79</v>
      </c>
      <c r="G78" s="98">
        <f t="shared" si="23"/>
        <v>3262555.49</v>
      </c>
      <c r="H78" s="98">
        <f t="shared" si="23"/>
        <v>5543599</v>
      </c>
      <c r="I78" s="122">
        <f t="shared" si="23"/>
        <v>8806154.49</v>
      </c>
    </row>
    <row r="79" spans="2:9" ht="12.75">
      <c r="B79" s="13">
        <v>350</v>
      </c>
      <c r="C79" s="133" t="s">
        <v>909</v>
      </c>
      <c r="D79" s="107"/>
      <c r="E79" s="107">
        <v>0</v>
      </c>
      <c r="F79" s="107">
        <v>0</v>
      </c>
      <c r="G79" s="107">
        <f>SUM(D79:F79)</f>
        <v>0</v>
      </c>
      <c r="H79" s="107">
        <v>2428391</v>
      </c>
      <c r="I79" s="121">
        <f>G79+H79</f>
        <v>2428391</v>
      </c>
    </row>
    <row r="80" spans="2:9" ht="12.75">
      <c r="B80" s="13">
        <v>351</v>
      </c>
      <c r="C80" s="133" t="s">
        <v>910</v>
      </c>
      <c r="D80" s="107">
        <v>107741.95</v>
      </c>
      <c r="E80" s="107">
        <v>100805.1</v>
      </c>
      <c r="F80" s="107">
        <v>473976.48</v>
      </c>
      <c r="G80" s="107">
        <f aca="true" t="shared" si="24" ref="G80:G89">SUM(D80:F80)</f>
        <v>682523.53</v>
      </c>
      <c r="H80" s="107">
        <v>877809</v>
      </c>
      <c r="I80" s="121">
        <f>G80+H80</f>
        <v>1560332.53</v>
      </c>
    </row>
    <row r="81" spans="2:9" ht="12.75">
      <c r="B81" s="100">
        <v>35</v>
      </c>
      <c r="C81" s="135" t="s">
        <v>78</v>
      </c>
      <c r="D81" s="98">
        <f aca="true" t="shared" si="25" ref="D81:I81">SUM(D79:D80)</f>
        <v>107741.95</v>
      </c>
      <c r="E81" s="98">
        <f t="shared" si="25"/>
        <v>100805.1</v>
      </c>
      <c r="F81" s="98">
        <f t="shared" si="25"/>
        <v>473976.48</v>
      </c>
      <c r="G81" s="98">
        <f t="shared" si="25"/>
        <v>682523.53</v>
      </c>
      <c r="H81" s="98">
        <f t="shared" si="25"/>
        <v>3306200</v>
      </c>
      <c r="I81" s="122">
        <f t="shared" si="25"/>
        <v>3988723.5300000003</v>
      </c>
    </row>
    <row r="82" spans="2:9" ht="12.75">
      <c r="B82" s="13">
        <v>360</v>
      </c>
      <c r="C82" s="133" t="s">
        <v>79</v>
      </c>
      <c r="D82" s="107">
        <v>153410</v>
      </c>
      <c r="E82" s="107">
        <v>148758.5</v>
      </c>
      <c r="F82" s="107">
        <v>155642.5</v>
      </c>
      <c r="G82" s="107">
        <f t="shared" si="24"/>
        <v>457811</v>
      </c>
      <c r="H82" s="107">
        <v>9348085</v>
      </c>
      <c r="I82" s="121">
        <f aca="true" t="shared" si="26" ref="I82:I89">G82+H82</f>
        <v>9805896</v>
      </c>
    </row>
    <row r="83" spans="2:9" ht="12.75">
      <c r="B83" s="13">
        <v>361</v>
      </c>
      <c r="C83" s="133" t="s">
        <v>80</v>
      </c>
      <c r="D83" s="107">
        <v>264004.25</v>
      </c>
      <c r="E83" s="107">
        <v>1540090.6</v>
      </c>
      <c r="F83" s="107">
        <v>618588.3</v>
      </c>
      <c r="G83" s="107">
        <f t="shared" si="24"/>
        <v>2422683.1500000004</v>
      </c>
      <c r="H83" s="107">
        <v>31871744</v>
      </c>
      <c r="I83" s="121">
        <f t="shared" si="26"/>
        <v>34294427.15</v>
      </c>
    </row>
    <row r="84" spans="2:9" ht="12.75">
      <c r="B84" s="13">
        <v>362</v>
      </c>
      <c r="C84" s="133" t="s">
        <v>81</v>
      </c>
      <c r="D84" s="107"/>
      <c r="E84" s="107">
        <v>0</v>
      </c>
      <c r="F84" s="107">
        <v>80922</v>
      </c>
      <c r="G84" s="107">
        <f t="shared" si="24"/>
        <v>80922</v>
      </c>
      <c r="H84" s="107">
        <v>1647461</v>
      </c>
      <c r="I84" s="121">
        <f t="shared" si="26"/>
        <v>1728383</v>
      </c>
    </row>
    <row r="85" spans="2:9" ht="12.75">
      <c r="B85" s="13">
        <v>363</v>
      </c>
      <c r="C85" s="133" t="s">
        <v>82</v>
      </c>
      <c r="D85" s="107">
        <v>3387610.4</v>
      </c>
      <c r="E85" s="107">
        <v>3317797.42</v>
      </c>
      <c r="F85" s="107">
        <v>6164020.38</v>
      </c>
      <c r="G85" s="107">
        <f t="shared" si="24"/>
        <v>12869428.2</v>
      </c>
      <c r="H85" s="107">
        <v>142144307</v>
      </c>
      <c r="I85" s="121">
        <f t="shared" si="26"/>
        <v>155013735.2</v>
      </c>
    </row>
    <row r="86" spans="2:9" ht="12.75">
      <c r="B86" s="13">
        <v>364</v>
      </c>
      <c r="C86" s="133" t="s">
        <v>84</v>
      </c>
      <c r="D86" s="107"/>
      <c r="E86" s="107">
        <v>0</v>
      </c>
      <c r="F86" s="107">
        <v>0</v>
      </c>
      <c r="G86" s="107">
        <f t="shared" si="24"/>
        <v>0</v>
      </c>
      <c r="H86" s="107">
        <v>0</v>
      </c>
      <c r="I86" s="121">
        <f t="shared" si="26"/>
        <v>0</v>
      </c>
    </row>
    <row r="87" spans="2:9" ht="12.75">
      <c r="B87" s="13">
        <v>365</v>
      </c>
      <c r="C87" s="133" t="s">
        <v>83</v>
      </c>
      <c r="D87" s="107"/>
      <c r="E87" s="107">
        <v>0</v>
      </c>
      <c r="F87" s="107">
        <v>0</v>
      </c>
      <c r="G87" s="107">
        <f t="shared" si="24"/>
        <v>0</v>
      </c>
      <c r="H87" s="107">
        <v>0</v>
      </c>
      <c r="I87" s="121">
        <f t="shared" si="26"/>
        <v>0</v>
      </c>
    </row>
    <row r="88" spans="2:9" ht="12.75">
      <c r="B88" s="13">
        <v>366</v>
      </c>
      <c r="C88" s="133" t="s">
        <v>85</v>
      </c>
      <c r="D88" s="107">
        <v>22355</v>
      </c>
      <c r="E88" s="107">
        <v>281462.85</v>
      </c>
      <c r="F88" s="107">
        <v>1363914.75</v>
      </c>
      <c r="G88" s="107">
        <f t="shared" si="24"/>
        <v>1667732.6</v>
      </c>
      <c r="H88" s="107">
        <v>4981496</v>
      </c>
      <c r="I88" s="121">
        <f t="shared" si="26"/>
        <v>6649228.6</v>
      </c>
    </row>
    <row r="89" spans="2:9" ht="12.75">
      <c r="B89" s="13">
        <v>369</v>
      </c>
      <c r="C89" s="133" t="s">
        <v>86</v>
      </c>
      <c r="D89" s="107"/>
      <c r="E89" s="107">
        <v>0</v>
      </c>
      <c r="F89" s="107"/>
      <c r="G89" s="107">
        <f t="shared" si="24"/>
        <v>0</v>
      </c>
      <c r="H89" s="107">
        <v>0</v>
      </c>
      <c r="I89" s="121">
        <f t="shared" si="26"/>
        <v>0</v>
      </c>
    </row>
    <row r="90" spans="2:9" ht="12.75">
      <c r="B90" s="100">
        <v>36</v>
      </c>
      <c r="C90" s="135" t="s">
        <v>87</v>
      </c>
      <c r="D90" s="98">
        <f aca="true" t="shared" si="27" ref="D90:I90">SUM(D82:D89)</f>
        <v>3827379.65</v>
      </c>
      <c r="E90" s="98">
        <f t="shared" si="27"/>
        <v>5288109.369999999</v>
      </c>
      <c r="F90" s="98">
        <f t="shared" si="27"/>
        <v>8383087.93</v>
      </c>
      <c r="G90" s="98">
        <f t="shared" si="27"/>
        <v>17498576.95</v>
      </c>
      <c r="H90" s="98">
        <f t="shared" si="27"/>
        <v>189993093</v>
      </c>
      <c r="I90" s="122">
        <f t="shared" si="27"/>
        <v>207491669.95</v>
      </c>
    </row>
    <row r="91" spans="2:9" ht="12.75">
      <c r="B91" s="13">
        <v>370</v>
      </c>
      <c r="C91" s="133" t="s">
        <v>9</v>
      </c>
      <c r="D91" s="107"/>
      <c r="E91" s="107"/>
      <c r="F91" s="107"/>
      <c r="G91" s="107">
        <f>SUM(D91:F91)</f>
        <v>0</v>
      </c>
      <c r="H91" s="107">
        <v>28430592</v>
      </c>
      <c r="I91" s="121">
        <f>G91+H91</f>
        <v>28430592</v>
      </c>
    </row>
    <row r="92" spans="2:9" ht="12.75">
      <c r="B92" s="100">
        <v>37</v>
      </c>
      <c r="C92" s="135" t="s">
        <v>9</v>
      </c>
      <c r="D92" s="98">
        <f aca="true" t="shared" si="28" ref="D92:I92">SUM(D91:D91)</f>
        <v>0</v>
      </c>
      <c r="E92" s="98">
        <f t="shared" si="28"/>
        <v>0</v>
      </c>
      <c r="F92" s="98">
        <f t="shared" si="28"/>
        <v>0</v>
      </c>
      <c r="G92" s="98">
        <f t="shared" si="28"/>
        <v>0</v>
      </c>
      <c r="H92" s="98">
        <f t="shared" si="28"/>
        <v>28430592</v>
      </c>
      <c r="I92" s="122">
        <f t="shared" si="28"/>
        <v>28430592</v>
      </c>
    </row>
    <row r="93" spans="2:9" ht="12.75">
      <c r="B93" s="13">
        <v>380</v>
      </c>
      <c r="C93" s="133" t="s">
        <v>921</v>
      </c>
      <c r="D93" s="107">
        <v>709445.65</v>
      </c>
      <c r="E93" s="107">
        <v>1934538</v>
      </c>
      <c r="F93" s="107">
        <v>0</v>
      </c>
      <c r="G93" s="107">
        <f aca="true" t="shared" si="29" ref="G93:G99">SUM(D93:F93)</f>
        <v>2643983.65</v>
      </c>
      <c r="H93" s="107">
        <v>0</v>
      </c>
      <c r="I93" s="121">
        <f aca="true" t="shared" si="30" ref="I93:I99">G93+H93</f>
        <v>2643983.65</v>
      </c>
    </row>
    <row r="94" spans="2:9" ht="12.75">
      <c r="B94" s="13">
        <v>381</v>
      </c>
      <c r="C94" s="133" t="s">
        <v>922</v>
      </c>
      <c r="D94" s="107">
        <v>142293.58</v>
      </c>
      <c r="E94" s="107">
        <v>0</v>
      </c>
      <c r="F94" s="107">
        <v>0</v>
      </c>
      <c r="G94" s="107">
        <f t="shared" si="29"/>
        <v>142293.58</v>
      </c>
      <c r="H94" s="107">
        <v>0</v>
      </c>
      <c r="I94" s="121">
        <f t="shared" si="30"/>
        <v>142293.58</v>
      </c>
    </row>
    <row r="95" spans="2:9" ht="12.75">
      <c r="B95" s="13">
        <v>383</v>
      </c>
      <c r="C95" s="133" t="s">
        <v>88</v>
      </c>
      <c r="D95" s="107"/>
      <c r="E95" s="107">
        <v>0</v>
      </c>
      <c r="F95" s="107">
        <v>372772.3</v>
      </c>
      <c r="G95" s="107">
        <f t="shared" si="29"/>
        <v>372772.3</v>
      </c>
      <c r="H95" s="107">
        <v>9727164</v>
      </c>
      <c r="I95" s="121">
        <f t="shared" si="30"/>
        <v>10099936.3</v>
      </c>
    </row>
    <row r="96" spans="2:9" ht="12.75">
      <c r="B96" s="13">
        <v>384</v>
      </c>
      <c r="C96" s="133" t="s">
        <v>923</v>
      </c>
      <c r="D96" s="107">
        <v>192906.5</v>
      </c>
      <c r="E96" s="107">
        <v>70687</v>
      </c>
      <c r="F96" s="107">
        <v>0</v>
      </c>
      <c r="G96" s="107">
        <f t="shared" si="29"/>
        <v>263593.5</v>
      </c>
      <c r="H96" s="107">
        <v>0</v>
      </c>
      <c r="I96" s="121">
        <f t="shared" si="30"/>
        <v>263593.5</v>
      </c>
    </row>
    <row r="97" spans="2:9" ht="12.75">
      <c r="B97" s="13">
        <v>386</v>
      </c>
      <c r="C97" s="133" t="s">
        <v>924</v>
      </c>
      <c r="D97" s="107">
        <v>16247.8</v>
      </c>
      <c r="E97" s="107">
        <v>0</v>
      </c>
      <c r="F97" s="107">
        <v>0</v>
      </c>
      <c r="G97" s="107">
        <f t="shared" si="29"/>
        <v>16247.8</v>
      </c>
      <c r="H97" s="107">
        <v>0</v>
      </c>
      <c r="I97" s="121">
        <f t="shared" si="30"/>
        <v>16247.8</v>
      </c>
    </row>
    <row r="98" spans="2:9" ht="12.75">
      <c r="B98" s="13">
        <v>387</v>
      </c>
      <c r="C98" s="133" t="s">
        <v>911</v>
      </c>
      <c r="D98" s="107"/>
      <c r="E98" s="107">
        <v>0</v>
      </c>
      <c r="F98" s="107">
        <v>0</v>
      </c>
      <c r="G98" s="107">
        <f t="shared" si="29"/>
        <v>0</v>
      </c>
      <c r="H98" s="107">
        <v>2666608</v>
      </c>
      <c r="I98" s="121">
        <f t="shared" si="30"/>
        <v>2666608</v>
      </c>
    </row>
    <row r="99" spans="2:9" ht="12.75">
      <c r="B99" s="13">
        <v>389</v>
      </c>
      <c r="C99" s="133" t="s">
        <v>89</v>
      </c>
      <c r="D99" s="107"/>
      <c r="E99" s="107">
        <v>0</v>
      </c>
      <c r="F99" s="107">
        <v>0</v>
      </c>
      <c r="G99" s="107">
        <f t="shared" si="29"/>
        <v>0</v>
      </c>
      <c r="H99" s="107">
        <v>507341</v>
      </c>
      <c r="I99" s="121">
        <f t="shared" si="30"/>
        <v>507341</v>
      </c>
    </row>
    <row r="100" spans="2:9" ht="12.75">
      <c r="B100" s="100">
        <v>38</v>
      </c>
      <c r="C100" s="135" t="s">
        <v>90</v>
      </c>
      <c r="D100" s="98">
        <f aca="true" t="shared" si="31" ref="D100:I100">SUM(D93:D99)</f>
        <v>1060893.53</v>
      </c>
      <c r="E100" s="98">
        <f t="shared" si="31"/>
        <v>2005225</v>
      </c>
      <c r="F100" s="98">
        <f t="shared" si="31"/>
        <v>372772.3</v>
      </c>
      <c r="G100" s="98">
        <f t="shared" si="31"/>
        <v>3438890.8299999996</v>
      </c>
      <c r="H100" s="98">
        <f t="shared" si="31"/>
        <v>12901113</v>
      </c>
      <c r="I100" s="98">
        <f t="shared" si="31"/>
        <v>16340003.830000002</v>
      </c>
    </row>
    <row r="101" spans="2:9" ht="12.75">
      <c r="B101" s="13">
        <v>390</v>
      </c>
      <c r="C101" s="133" t="s">
        <v>92</v>
      </c>
      <c r="D101" s="107">
        <v>23211.1</v>
      </c>
      <c r="E101" s="107">
        <v>10007.5</v>
      </c>
      <c r="F101" s="107">
        <v>74138.75</v>
      </c>
      <c r="G101" s="107">
        <f aca="true" t="shared" si="32" ref="G101:G108">SUM(D101:F101)</f>
        <v>107357.35</v>
      </c>
      <c r="H101" s="107">
        <v>136182</v>
      </c>
      <c r="I101" s="169">
        <f aca="true" t="shared" si="33" ref="I101:I108">G101+H101</f>
        <v>243539.35</v>
      </c>
    </row>
    <row r="102" spans="2:9" ht="12.75">
      <c r="B102" s="13">
        <v>391</v>
      </c>
      <c r="C102" s="133" t="s">
        <v>354</v>
      </c>
      <c r="D102" s="107">
        <v>4580498.3</v>
      </c>
      <c r="E102" s="107">
        <v>2840443.25</v>
      </c>
      <c r="F102" s="107">
        <v>5463026.17</v>
      </c>
      <c r="G102" s="107">
        <f t="shared" si="32"/>
        <v>12883967.719999999</v>
      </c>
      <c r="H102" s="107">
        <v>1685631</v>
      </c>
      <c r="I102" s="107">
        <f t="shared" si="33"/>
        <v>14569598.719999999</v>
      </c>
    </row>
    <row r="103" spans="2:9" ht="12.75">
      <c r="B103" s="13">
        <v>392</v>
      </c>
      <c r="C103" s="133" t="s">
        <v>93</v>
      </c>
      <c r="D103" s="107">
        <v>861712.75</v>
      </c>
      <c r="E103" s="107">
        <v>555597.85</v>
      </c>
      <c r="F103" s="107">
        <v>0</v>
      </c>
      <c r="G103" s="107">
        <f t="shared" si="32"/>
        <v>1417310.6</v>
      </c>
      <c r="H103" s="107">
        <v>502723</v>
      </c>
      <c r="I103" s="107">
        <f t="shared" si="33"/>
        <v>1920033.6</v>
      </c>
    </row>
    <row r="104" spans="2:9" ht="12.75">
      <c r="B104" s="13">
        <v>393</v>
      </c>
      <c r="C104" s="133" t="s">
        <v>94</v>
      </c>
      <c r="D104" s="107">
        <v>211630.36</v>
      </c>
      <c r="E104" s="107">
        <v>200292.35</v>
      </c>
      <c r="F104" s="107">
        <v>93254.13</v>
      </c>
      <c r="G104" s="107">
        <f t="shared" si="32"/>
        <v>505176.83999999997</v>
      </c>
      <c r="H104" s="107">
        <v>0</v>
      </c>
      <c r="I104" s="107">
        <f t="shared" si="33"/>
        <v>505176.83999999997</v>
      </c>
    </row>
    <row r="105" spans="2:9" ht="12.75">
      <c r="B105" s="13">
        <v>394</v>
      </c>
      <c r="C105" s="133" t="s">
        <v>95</v>
      </c>
      <c r="D105" s="107">
        <v>260590.5</v>
      </c>
      <c r="E105" s="107">
        <v>613768.9</v>
      </c>
      <c r="F105" s="107">
        <v>862677.59</v>
      </c>
      <c r="G105" s="107">
        <f t="shared" si="32"/>
        <v>1737036.99</v>
      </c>
      <c r="H105" s="107">
        <v>1125756</v>
      </c>
      <c r="I105" s="107">
        <f t="shared" si="33"/>
        <v>2862792.99</v>
      </c>
    </row>
    <row r="106" spans="2:9" ht="12.75">
      <c r="B106" s="13">
        <v>395</v>
      </c>
      <c r="C106" s="133" t="s">
        <v>912</v>
      </c>
      <c r="D106" s="107"/>
      <c r="E106" s="107">
        <v>0</v>
      </c>
      <c r="F106" s="107"/>
      <c r="G106" s="107">
        <f t="shared" si="32"/>
        <v>0</v>
      </c>
      <c r="H106" s="107">
        <v>0</v>
      </c>
      <c r="I106" s="107">
        <f t="shared" si="33"/>
        <v>0</v>
      </c>
    </row>
    <row r="107" spans="2:9" ht="12.75">
      <c r="B107" s="13">
        <v>398</v>
      </c>
      <c r="C107" s="133" t="s">
        <v>96</v>
      </c>
      <c r="D107" s="107"/>
      <c r="E107" s="107">
        <v>379945.3</v>
      </c>
      <c r="F107" s="107"/>
      <c r="G107" s="107">
        <f t="shared" si="32"/>
        <v>379945.3</v>
      </c>
      <c r="H107" s="107">
        <v>7229848</v>
      </c>
      <c r="I107" s="107">
        <f t="shared" si="33"/>
        <v>7609793.3</v>
      </c>
    </row>
    <row r="108" spans="2:9" ht="12.75">
      <c r="B108" s="13">
        <v>399</v>
      </c>
      <c r="C108" s="133" t="s">
        <v>97</v>
      </c>
      <c r="D108" s="107"/>
      <c r="E108" s="107">
        <v>36633.6</v>
      </c>
      <c r="F108" s="107"/>
      <c r="G108" s="107">
        <f t="shared" si="32"/>
        <v>36633.6</v>
      </c>
      <c r="H108" s="107">
        <v>0</v>
      </c>
      <c r="I108" s="107">
        <f t="shared" si="33"/>
        <v>36633.6</v>
      </c>
    </row>
    <row r="109" spans="2:9" ht="12.75">
      <c r="B109" s="100">
        <v>39</v>
      </c>
      <c r="C109" s="135" t="s">
        <v>91</v>
      </c>
      <c r="D109" s="98">
        <f aca="true" t="shared" si="34" ref="D109:I109">SUM(D101:D108)</f>
        <v>5937643.01</v>
      </c>
      <c r="E109" s="98">
        <f t="shared" si="34"/>
        <v>4636688.75</v>
      </c>
      <c r="F109" s="98">
        <f t="shared" si="34"/>
        <v>6493096.64</v>
      </c>
      <c r="G109" s="98">
        <f t="shared" si="34"/>
        <v>17067428.4</v>
      </c>
      <c r="H109" s="98">
        <f t="shared" si="34"/>
        <v>10680140</v>
      </c>
      <c r="I109" s="98">
        <f t="shared" si="34"/>
        <v>27747568.400000002</v>
      </c>
    </row>
    <row r="110" spans="2:9" ht="12.75">
      <c r="B110" s="95">
        <v>3</v>
      </c>
      <c r="C110" s="132" t="s">
        <v>141</v>
      </c>
      <c r="D110" s="108">
        <f aca="true" t="shared" si="35" ref="D110:I110">D56+D67+D71+D78+D81+D90+D92+D100+D109</f>
        <v>47890654.79000001</v>
      </c>
      <c r="E110" s="108">
        <f t="shared" si="35"/>
        <v>48263316.620000005</v>
      </c>
      <c r="F110" s="108">
        <f t="shared" si="35"/>
        <v>66392069.62</v>
      </c>
      <c r="G110" s="108">
        <f t="shared" si="35"/>
        <v>162546041.03</v>
      </c>
      <c r="H110" s="108">
        <f t="shared" si="35"/>
        <v>362583762</v>
      </c>
      <c r="I110" s="108">
        <f t="shared" si="35"/>
        <v>525129803.03</v>
      </c>
    </row>
    <row r="111" spans="2:9" ht="12.75">
      <c r="B111" s="104"/>
      <c r="C111" s="140"/>
      <c r="D111" s="113"/>
      <c r="E111" s="113"/>
      <c r="F111" s="113"/>
      <c r="G111" s="113"/>
      <c r="H111" s="113"/>
      <c r="I111" s="113"/>
    </row>
    <row r="112" spans="2:9" ht="12.75">
      <c r="B112" s="95">
        <v>4</v>
      </c>
      <c r="C112" s="132" t="s">
        <v>13</v>
      </c>
      <c r="D112" s="107"/>
      <c r="E112" s="107"/>
      <c r="F112" s="107"/>
      <c r="G112" s="107"/>
      <c r="H112" s="107"/>
      <c r="I112" s="107"/>
    </row>
    <row r="113" spans="2:9" ht="12.75">
      <c r="B113" s="13">
        <v>400</v>
      </c>
      <c r="C113" s="133" t="s">
        <v>98</v>
      </c>
      <c r="D113" s="107">
        <v>19443136.25</v>
      </c>
      <c r="E113" s="107">
        <v>25480339.81</v>
      </c>
      <c r="F113" s="107">
        <v>32538169.66</v>
      </c>
      <c r="G113" s="107">
        <f>SUM(D113:F113)</f>
        <v>77461645.72</v>
      </c>
      <c r="H113" s="107">
        <v>83896378</v>
      </c>
      <c r="I113" s="107">
        <f>G113+H113</f>
        <v>161358023.72</v>
      </c>
    </row>
    <row r="114" spans="2:9" ht="12.75">
      <c r="B114" s="13">
        <v>401</v>
      </c>
      <c r="C114" s="133" t="s">
        <v>99</v>
      </c>
      <c r="D114" s="107">
        <v>1513499.15</v>
      </c>
      <c r="E114" s="107">
        <v>2159767.95</v>
      </c>
      <c r="F114" s="107">
        <v>2649923.25</v>
      </c>
      <c r="G114" s="107">
        <f>SUM(D114:F114)</f>
        <v>6323190.35</v>
      </c>
      <c r="H114" s="107">
        <v>12438032</v>
      </c>
      <c r="I114" s="107">
        <f>G114+H114</f>
        <v>18761222.35</v>
      </c>
    </row>
    <row r="115" spans="2:9" ht="12.75">
      <c r="B115" s="13">
        <v>402</v>
      </c>
      <c r="C115" s="133" t="s">
        <v>100</v>
      </c>
      <c r="D115" s="107"/>
      <c r="E115" s="107">
        <v>0</v>
      </c>
      <c r="F115" s="107">
        <v>0</v>
      </c>
      <c r="G115" s="107">
        <f>SUM(D115:F115)</f>
        <v>0</v>
      </c>
      <c r="H115" s="107">
        <v>3008412</v>
      </c>
      <c r="I115" s="107">
        <f>G115+H115</f>
        <v>3008412</v>
      </c>
    </row>
    <row r="116" spans="2:9" ht="12.75">
      <c r="B116" s="13">
        <v>403</v>
      </c>
      <c r="C116" s="133" t="s">
        <v>11</v>
      </c>
      <c r="D116" s="107">
        <v>102891</v>
      </c>
      <c r="E116" s="107">
        <v>517159.45</v>
      </c>
      <c r="F116" s="107">
        <v>932920.5</v>
      </c>
      <c r="G116" s="107">
        <f>SUM(D116:F116)</f>
        <v>1552970.95</v>
      </c>
      <c r="H116" s="107">
        <v>10733182</v>
      </c>
      <c r="I116" s="107">
        <f>G116+H116</f>
        <v>12286152.95</v>
      </c>
    </row>
    <row r="117" spans="2:9" ht="12.75">
      <c r="B117" s="100">
        <v>40</v>
      </c>
      <c r="C117" s="135" t="s">
        <v>203</v>
      </c>
      <c r="D117" s="98">
        <f aca="true" t="shared" si="36" ref="D117:I117">SUM(D113:D116)</f>
        <v>21059526.4</v>
      </c>
      <c r="E117" s="98">
        <f t="shared" si="36"/>
        <v>28157267.209999997</v>
      </c>
      <c r="F117" s="98">
        <f t="shared" si="36"/>
        <v>36121013.41</v>
      </c>
      <c r="G117" s="98">
        <f t="shared" si="36"/>
        <v>85337807.02</v>
      </c>
      <c r="H117" s="98">
        <f t="shared" si="36"/>
        <v>110076004</v>
      </c>
      <c r="I117" s="98">
        <f t="shared" si="36"/>
        <v>195413811.01999998</v>
      </c>
    </row>
    <row r="118" spans="2:9" ht="12.75">
      <c r="B118" s="13">
        <v>410</v>
      </c>
      <c r="C118" s="133" t="s">
        <v>101</v>
      </c>
      <c r="D118" s="107"/>
      <c r="E118" s="107">
        <v>0</v>
      </c>
      <c r="F118" s="107">
        <v>0</v>
      </c>
      <c r="G118" s="107">
        <f>SUM(D118:F118)</f>
        <v>0</v>
      </c>
      <c r="H118" s="107">
        <v>504121</v>
      </c>
      <c r="I118" s="107">
        <f>G118+H118</f>
        <v>504121</v>
      </c>
    </row>
    <row r="119" spans="2:9" ht="12.75">
      <c r="B119" s="13">
        <v>411</v>
      </c>
      <c r="C119" s="133" t="s">
        <v>102</v>
      </c>
      <c r="D119" s="107"/>
      <c r="E119" s="107">
        <v>0</v>
      </c>
      <c r="F119" s="107">
        <v>0</v>
      </c>
      <c r="G119" s="107">
        <f>SUM(D119:F119)</f>
        <v>0</v>
      </c>
      <c r="H119" s="107">
        <v>8173661</v>
      </c>
      <c r="I119" s="107">
        <f>G119+H119</f>
        <v>8173661</v>
      </c>
    </row>
    <row r="120" spans="2:9" ht="12.75">
      <c r="B120" s="13">
        <v>412</v>
      </c>
      <c r="C120" s="133" t="s">
        <v>103</v>
      </c>
      <c r="D120" s="107">
        <v>1125800.55</v>
      </c>
      <c r="E120" s="107">
        <v>599623.35</v>
      </c>
      <c r="F120" s="107">
        <v>299542.1</v>
      </c>
      <c r="G120" s="107">
        <f>SUM(D120:F120)</f>
        <v>2024966</v>
      </c>
      <c r="H120" s="107">
        <v>5348986</v>
      </c>
      <c r="I120" s="107">
        <f>G120+H120</f>
        <v>7373952</v>
      </c>
    </row>
    <row r="121" spans="2:9" ht="12.75">
      <c r="B121" s="13">
        <v>413</v>
      </c>
      <c r="C121" s="133" t="s">
        <v>104</v>
      </c>
      <c r="D121" s="107"/>
      <c r="E121" s="107">
        <v>0</v>
      </c>
      <c r="F121" s="107">
        <v>0</v>
      </c>
      <c r="G121" s="107">
        <f>SUM(D121:F121)</f>
        <v>0</v>
      </c>
      <c r="H121" s="107">
        <v>2116870</v>
      </c>
      <c r="I121" s="107">
        <f>G121+H121</f>
        <v>2116870</v>
      </c>
    </row>
    <row r="122" spans="2:9" ht="12.75">
      <c r="B122" s="100">
        <v>41</v>
      </c>
      <c r="C122" s="135" t="s">
        <v>105</v>
      </c>
      <c r="D122" s="98">
        <f aca="true" t="shared" si="37" ref="D122:I122">SUM(D118:D121)</f>
        <v>1125800.55</v>
      </c>
      <c r="E122" s="98">
        <f t="shared" si="37"/>
        <v>599623.35</v>
      </c>
      <c r="F122" s="98">
        <f t="shared" si="37"/>
        <v>299542.1</v>
      </c>
      <c r="G122" s="98">
        <f t="shared" si="37"/>
        <v>2024966</v>
      </c>
      <c r="H122" s="98">
        <f t="shared" si="37"/>
        <v>16143638</v>
      </c>
      <c r="I122" s="98">
        <f t="shared" si="37"/>
        <v>18168604</v>
      </c>
    </row>
    <row r="123" spans="2:9" ht="12.75">
      <c r="B123" s="13">
        <v>420</v>
      </c>
      <c r="C123" s="133" t="s">
        <v>106</v>
      </c>
      <c r="D123" s="107">
        <v>225996.5</v>
      </c>
      <c r="E123" s="107">
        <v>375494.35</v>
      </c>
      <c r="F123" s="107">
        <v>499136</v>
      </c>
      <c r="G123" s="107">
        <f aca="true" t="shared" si="38" ref="G123:G131">SUM(D123:F123)</f>
        <v>1100626.85</v>
      </c>
      <c r="H123" s="107">
        <v>800526</v>
      </c>
      <c r="I123" s="107">
        <f aca="true" t="shared" si="39" ref="I123:I131">G123+H123</f>
        <v>1901152.85</v>
      </c>
    </row>
    <row r="124" spans="2:9" ht="12.75">
      <c r="B124" s="13">
        <v>421</v>
      </c>
      <c r="C124" s="133" t="s">
        <v>107</v>
      </c>
      <c r="D124" s="107">
        <v>399845.95</v>
      </c>
      <c r="E124" s="107">
        <v>328972.21</v>
      </c>
      <c r="F124" s="107">
        <v>1102406.22</v>
      </c>
      <c r="G124" s="107">
        <f t="shared" si="38"/>
        <v>1831224.38</v>
      </c>
      <c r="H124" s="107">
        <v>8292767</v>
      </c>
      <c r="I124" s="107">
        <f t="shared" si="39"/>
        <v>10123991.379999999</v>
      </c>
    </row>
    <row r="125" spans="2:9" ht="12.75">
      <c r="B125" s="13">
        <v>422</v>
      </c>
      <c r="C125" s="133" t="s">
        <v>108</v>
      </c>
      <c r="D125" s="107">
        <v>251562.88</v>
      </c>
      <c r="E125" s="107">
        <v>0</v>
      </c>
      <c r="F125" s="107">
        <v>0</v>
      </c>
      <c r="G125" s="107">
        <f t="shared" si="38"/>
        <v>251562.88</v>
      </c>
      <c r="H125" s="107">
        <v>21506072</v>
      </c>
      <c r="I125" s="107">
        <f t="shared" si="39"/>
        <v>21757634.88</v>
      </c>
    </row>
    <row r="126" spans="2:9" ht="12.75">
      <c r="B126" s="13">
        <v>423</v>
      </c>
      <c r="C126" s="133" t="s">
        <v>109</v>
      </c>
      <c r="D126" s="107"/>
      <c r="E126" s="107">
        <v>4210</v>
      </c>
      <c r="F126" s="107">
        <v>0</v>
      </c>
      <c r="G126" s="107">
        <f t="shared" si="38"/>
        <v>4210</v>
      </c>
      <c r="H126" s="107">
        <v>937191</v>
      </c>
      <c r="I126" s="107">
        <f t="shared" si="39"/>
        <v>941401</v>
      </c>
    </row>
    <row r="127" spans="2:9" ht="12.75">
      <c r="B127" s="13">
        <v>424</v>
      </c>
      <c r="C127" s="133" t="s">
        <v>110</v>
      </c>
      <c r="D127" s="107">
        <v>5055109.53</v>
      </c>
      <c r="E127" s="107">
        <v>4099963.43</v>
      </c>
      <c r="F127" s="107">
        <v>5505627.05</v>
      </c>
      <c r="G127" s="107">
        <f t="shared" si="38"/>
        <v>14660700.010000002</v>
      </c>
      <c r="H127" s="107">
        <v>4397145</v>
      </c>
      <c r="I127" s="107">
        <f t="shared" si="39"/>
        <v>19057845.01</v>
      </c>
    </row>
    <row r="128" spans="2:9" ht="12.75">
      <c r="B128" s="13">
        <v>425</v>
      </c>
      <c r="C128" s="133" t="s">
        <v>111</v>
      </c>
      <c r="D128" s="107">
        <v>1487788.08</v>
      </c>
      <c r="E128" s="107">
        <v>650194.78</v>
      </c>
      <c r="F128" s="107">
        <v>1103006.56</v>
      </c>
      <c r="G128" s="107">
        <f t="shared" si="38"/>
        <v>3240989.4200000004</v>
      </c>
      <c r="H128" s="107">
        <v>2170958</v>
      </c>
      <c r="I128" s="107">
        <f t="shared" si="39"/>
        <v>5411947.42</v>
      </c>
    </row>
    <row r="129" spans="2:9" ht="12.75">
      <c r="B129" s="13">
        <v>426</v>
      </c>
      <c r="C129" s="133" t="s">
        <v>112</v>
      </c>
      <c r="D129" s="107">
        <v>294430.67</v>
      </c>
      <c r="E129" s="107">
        <v>254810.66</v>
      </c>
      <c r="F129" s="107">
        <v>581742.02</v>
      </c>
      <c r="G129" s="107">
        <f t="shared" si="38"/>
        <v>1130983.35</v>
      </c>
      <c r="H129" s="107">
        <v>17693866</v>
      </c>
      <c r="I129" s="107">
        <f t="shared" si="39"/>
        <v>18824849.35</v>
      </c>
    </row>
    <row r="130" spans="2:9" ht="12.75">
      <c r="B130" s="13">
        <v>427</v>
      </c>
      <c r="C130" s="133" t="s">
        <v>113</v>
      </c>
      <c r="D130" s="107">
        <v>7800</v>
      </c>
      <c r="E130" s="107">
        <v>0</v>
      </c>
      <c r="F130" s="107">
        <v>35240.25</v>
      </c>
      <c r="G130" s="107">
        <f t="shared" si="38"/>
        <v>43040.25</v>
      </c>
      <c r="H130" s="107">
        <v>2401004</v>
      </c>
      <c r="I130" s="107">
        <f t="shared" si="39"/>
        <v>2444044.25</v>
      </c>
    </row>
    <row r="131" spans="2:9" ht="12.75">
      <c r="B131" s="13">
        <v>429</v>
      </c>
      <c r="C131" s="133" t="s">
        <v>114</v>
      </c>
      <c r="D131" s="107"/>
      <c r="E131" s="107">
        <v>0</v>
      </c>
      <c r="F131" s="107">
        <v>1671.6</v>
      </c>
      <c r="G131" s="107">
        <f t="shared" si="38"/>
        <v>1671.6</v>
      </c>
      <c r="H131" s="107">
        <v>63592</v>
      </c>
      <c r="I131" s="107">
        <f t="shared" si="39"/>
        <v>65263.6</v>
      </c>
    </row>
    <row r="132" spans="2:9" ht="12.75">
      <c r="B132" s="100">
        <v>42</v>
      </c>
      <c r="C132" s="135" t="s">
        <v>12</v>
      </c>
      <c r="D132" s="98">
        <f aca="true" t="shared" si="40" ref="D132:I132">SUM(D123:D131)</f>
        <v>7722533.61</v>
      </c>
      <c r="E132" s="98">
        <f t="shared" si="40"/>
        <v>5713645.430000001</v>
      </c>
      <c r="F132" s="98">
        <f t="shared" si="40"/>
        <v>8828829.7</v>
      </c>
      <c r="G132" s="98">
        <f t="shared" si="40"/>
        <v>22265008.740000006</v>
      </c>
      <c r="H132" s="98">
        <f t="shared" si="40"/>
        <v>58263121</v>
      </c>
      <c r="I132" s="98">
        <f t="shared" si="40"/>
        <v>80528129.74000001</v>
      </c>
    </row>
    <row r="133" spans="2:9" ht="12.75">
      <c r="B133" s="13">
        <v>430</v>
      </c>
      <c r="C133" s="133" t="s">
        <v>116</v>
      </c>
      <c r="D133" s="107"/>
      <c r="E133" s="107">
        <v>789</v>
      </c>
      <c r="F133" s="107">
        <v>0</v>
      </c>
      <c r="G133" s="107">
        <f>SUM(D133:F133)</f>
        <v>789</v>
      </c>
      <c r="H133" s="107">
        <v>48290</v>
      </c>
      <c r="I133" s="107">
        <f>G133+H133</f>
        <v>49079</v>
      </c>
    </row>
    <row r="134" spans="2:9" ht="12.75">
      <c r="B134" s="13">
        <v>431</v>
      </c>
      <c r="C134" s="133" t="s">
        <v>119</v>
      </c>
      <c r="D134" s="107">
        <v>124943.65</v>
      </c>
      <c r="E134" s="107">
        <v>0</v>
      </c>
      <c r="F134" s="107">
        <v>75058</v>
      </c>
      <c r="G134" s="107">
        <f>SUM(D134:F134)</f>
        <v>200001.65</v>
      </c>
      <c r="H134" s="107">
        <v>87299</v>
      </c>
      <c r="I134" s="107">
        <f>G134+H134</f>
        <v>287300.65</v>
      </c>
    </row>
    <row r="135" spans="2:9" ht="12.75">
      <c r="B135" s="13">
        <v>432</v>
      </c>
      <c r="C135" s="133" t="s">
        <v>117</v>
      </c>
      <c r="D135" s="107"/>
      <c r="E135" s="107">
        <v>0</v>
      </c>
      <c r="F135" s="107">
        <v>180677.5</v>
      </c>
      <c r="G135" s="107">
        <f>SUM(D135:F135)</f>
        <v>180677.5</v>
      </c>
      <c r="H135" s="107">
        <v>0</v>
      </c>
      <c r="I135" s="107">
        <f>G135+H135</f>
        <v>180677.5</v>
      </c>
    </row>
    <row r="136" spans="2:9" ht="12.75">
      <c r="B136" s="13">
        <v>439</v>
      </c>
      <c r="C136" s="133" t="s">
        <v>118</v>
      </c>
      <c r="D136" s="107">
        <v>50879.55</v>
      </c>
      <c r="E136" s="107">
        <v>0</v>
      </c>
      <c r="F136" s="107">
        <v>0</v>
      </c>
      <c r="G136" s="107">
        <f>SUM(D136:F136)</f>
        <v>50879.55</v>
      </c>
      <c r="H136" s="107">
        <v>0</v>
      </c>
      <c r="I136" s="107">
        <f>G136+H136</f>
        <v>50879.55</v>
      </c>
    </row>
    <row r="137" spans="2:9" ht="12.75">
      <c r="B137" s="100">
        <v>43</v>
      </c>
      <c r="C137" s="135" t="s">
        <v>115</v>
      </c>
      <c r="D137" s="98">
        <f aca="true" t="shared" si="41" ref="D137:I137">SUM(D133:D136)</f>
        <v>175823.2</v>
      </c>
      <c r="E137" s="98">
        <f t="shared" si="41"/>
        <v>789</v>
      </c>
      <c r="F137" s="98">
        <f t="shared" si="41"/>
        <v>255735.5</v>
      </c>
      <c r="G137" s="98">
        <f t="shared" si="41"/>
        <v>432347.7</v>
      </c>
      <c r="H137" s="98">
        <f t="shared" si="41"/>
        <v>135589</v>
      </c>
      <c r="I137" s="98">
        <f t="shared" si="41"/>
        <v>567936.7000000001</v>
      </c>
    </row>
    <row r="138" spans="2:9" ht="12.75">
      <c r="B138" s="13">
        <v>440</v>
      </c>
      <c r="C138" s="133" t="s">
        <v>120</v>
      </c>
      <c r="D138" s="107">
        <v>9060.6</v>
      </c>
      <c r="E138" s="107">
        <v>189558.54</v>
      </c>
      <c r="F138" s="107">
        <v>90881.91</v>
      </c>
      <c r="G138" s="107">
        <f aca="true" t="shared" si="42" ref="G138:G147">SUM(D138:F138)</f>
        <v>289501.05000000005</v>
      </c>
      <c r="H138" s="107">
        <v>6678318</v>
      </c>
      <c r="I138" s="107">
        <f aca="true" t="shared" si="43" ref="I138:I147">G138+H138</f>
        <v>6967819.05</v>
      </c>
    </row>
    <row r="139" spans="2:9" ht="12.75">
      <c r="B139" s="13">
        <v>441</v>
      </c>
      <c r="C139" s="133" t="s">
        <v>128</v>
      </c>
      <c r="D139" s="107"/>
      <c r="E139" s="107">
        <v>156485</v>
      </c>
      <c r="F139" s="107">
        <v>1405681.3</v>
      </c>
      <c r="G139" s="107">
        <f t="shared" si="42"/>
        <v>1562166.3</v>
      </c>
      <c r="H139" s="107">
        <v>0</v>
      </c>
      <c r="I139" s="107">
        <f t="shared" si="43"/>
        <v>1562166.3</v>
      </c>
    </row>
    <row r="140" spans="2:9" ht="12.75">
      <c r="B140" s="13">
        <v>442</v>
      </c>
      <c r="C140" s="133" t="s">
        <v>121</v>
      </c>
      <c r="D140" s="107">
        <v>107140</v>
      </c>
      <c r="E140" s="107">
        <v>0</v>
      </c>
      <c r="F140" s="107">
        <v>65751.55</v>
      </c>
      <c r="G140" s="107">
        <f t="shared" si="42"/>
        <v>172891.55</v>
      </c>
      <c r="H140" s="107">
        <v>1733734</v>
      </c>
      <c r="I140" s="107">
        <f t="shared" si="43"/>
        <v>1906625.55</v>
      </c>
    </row>
    <row r="141" spans="2:9" ht="12.75">
      <c r="B141" s="13">
        <v>443</v>
      </c>
      <c r="C141" s="133" t="s">
        <v>122</v>
      </c>
      <c r="D141" s="107">
        <v>726034.6</v>
      </c>
      <c r="E141" s="107">
        <v>1242209.95</v>
      </c>
      <c r="F141" s="107">
        <v>1009529.3</v>
      </c>
      <c r="G141" s="107">
        <f t="shared" si="42"/>
        <v>2977773.8499999996</v>
      </c>
      <c r="H141" s="107">
        <v>1131866</v>
      </c>
      <c r="I141" s="107">
        <f t="shared" si="43"/>
        <v>4109639.8499999996</v>
      </c>
    </row>
    <row r="142" spans="2:9" ht="12.75">
      <c r="B142" s="13">
        <v>444</v>
      </c>
      <c r="C142" s="133" t="s">
        <v>129</v>
      </c>
      <c r="D142" s="107"/>
      <c r="E142" s="107">
        <v>0</v>
      </c>
      <c r="F142" s="107">
        <v>238873.55</v>
      </c>
      <c r="G142" s="107">
        <f t="shared" si="42"/>
        <v>238873.55</v>
      </c>
      <c r="H142" s="107">
        <v>1067044</v>
      </c>
      <c r="I142" s="107">
        <f t="shared" si="43"/>
        <v>1305917.55</v>
      </c>
    </row>
    <row r="143" spans="2:9" ht="12.75">
      <c r="B143" s="13">
        <v>445</v>
      </c>
      <c r="C143" s="133" t="s">
        <v>123</v>
      </c>
      <c r="D143" s="107"/>
      <c r="E143" s="107">
        <v>2932.5</v>
      </c>
      <c r="F143" s="107">
        <v>0</v>
      </c>
      <c r="G143" s="107">
        <f t="shared" si="42"/>
        <v>2932.5</v>
      </c>
      <c r="H143" s="107">
        <v>8964</v>
      </c>
      <c r="I143" s="107">
        <f t="shared" si="43"/>
        <v>11896.5</v>
      </c>
    </row>
    <row r="144" spans="2:9" ht="12.75">
      <c r="B144" s="13">
        <v>446</v>
      </c>
      <c r="C144" s="133" t="s">
        <v>124</v>
      </c>
      <c r="D144" s="107">
        <v>848071</v>
      </c>
      <c r="E144" s="107">
        <v>935720</v>
      </c>
      <c r="F144" s="107">
        <v>200000</v>
      </c>
      <c r="G144" s="107">
        <f t="shared" si="42"/>
        <v>1983791</v>
      </c>
      <c r="H144" s="107">
        <v>2304394</v>
      </c>
      <c r="I144" s="107">
        <f t="shared" si="43"/>
        <v>4288185</v>
      </c>
    </row>
    <row r="145" spans="2:9" ht="12.75">
      <c r="B145" s="13">
        <v>447</v>
      </c>
      <c r="C145" s="133" t="s">
        <v>125</v>
      </c>
      <c r="D145" s="107">
        <v>417760.65</v>
      </c>
      <c r="E145" s="107">
        <v>545820.7</v>
      </c>
      <c r="F145" s="107">
        <v>319752.15</v>
      </c>
      <c r="G145" s="107">
        <f t="shared" si="42"/>
        <v>1283333.5</v>
      </c>
      <c r="H145" s="107">
        <v>301803</v>
      </c>
      <c r="I145" s="107">
        <f t="shared" si="43"/>
        <v>1585136.5</v>
      </c>
    </row>
    <row r="146" spans="2:9" ht="12.75">
      <c r="B146" s="13">
        <v>448</v>
      </c>
      <c r="C146" s="133" t="s">
        <v>126</v>
      </c>
      <c r="D146" s="107"/>
      <c r="E146" s="107">
        <v>0</v>
      </c>
      <c r="F146" s="107">
        <v>0</v>
      </c>
      <c r="G146" s="107">
        <f t="shared" si="42"/>
        <v>0</v>
      </c>
      <c r="H146" s="107">
        <v>0</v>
      </c>
      <c r="I146" s="107">
        <f t="shared" si="43"/>
        <v>0</v>
      </c>
    </row>
    <row r="147" spans="2:9" ht="12.75">
      <c r="B147" s="13">
        <v>449</v>
      </c>
      <c r="C147" s="133" t="s">
        <v>127</v>
      </c>
      <c r="D147" s="107"/>
      <c r="E147" s="107">
        <v>0</v>
      </c>
      <c r="F147" s="107">
        <v>0</v>
      </c>
      <c r="G147" s="107">
        <f t="shared" si="42"/>
        <v>0</v>
      </c>
      <c r="H147" s="107">
        <v>0</v>
      </c>
      <c r="I147" s="107">
        <f t="shared" si="43"/>
        <v>0</v>
      </c>
    </row>
    <row r="148" spans="2:9" ht="12.75">
      <c r="B148" s="100">
        <v>44</v>
      </c>
      <c r="C148" s="135" t="s">
        <v>23</v>
      </c>
      <c r="D148" s="98">
        <f aca="true" t="shared" si="44" ref="D148:I148">SUM(D138:D147)</f>
        <v>2108066.85</v>
      </c>
      <c r="E148" s="98">
        <f t="shared" si="44"/>
        <v>3072726.6900000004</v>
      </c>
      <c r="F148" s="98">
        <f t="shared" si="44"/>
        <v>3330469.76</v>
      </c>
      <c r="G148" s="98">
        <f t="shared" si="44"/>
        <v>8511263.3</v>
      </c>
      <c r="H148" s="98">
        <f t="shared" si="44"/>
        <v>13226123</v>
      </c>
      <c r="I148" s="98">
        <f t="shared" si="44"/>
        <v>21737386.3</v>
      </c>
    </row>
    <row r="149" spans="2:9" ht="12.75">
      <c r="B149" s="13">
        <v>450</v>
      </c>
      <c r="C149" s="133" t="s">
        <v>131</v>
      </c>
      <c r="D149" s="107"/>
      <c r="E149" s="107">
        <v>78504.05</v>
      </c>
      <c r="F149" s="107">
        <v>0</v>
      </c>
      <c r="G149" s="107">
        <f>SUM(D149:F149)</f>
        <v>78504.05</v>
      </c>
      <c r="H149" s="107">
        <v>2518950</v>
      </c>
      <c r="I149" s="107">
        <f>G149+H149</f>
        <v>2597454.05</v>
      </c>
    </row>
    <row r="150" spans="2:9" ht="12.75">
      <c r="B150" s="13">
        <v>451</v>
      </c>
      <c r="C150" s="133" t="s">
        <v>132</v>
      </c>
      <c r="D150" s="107"/>
      <c r="E150" s="107">
        <v>19275.95</v>
      </c>
      <c r="F150" s="107">
        <v>1361400.2</v>
      </c>
      <c r="G150" s="107">
        <f>SUM(D150:F150)</f>
        <v>1380676.15</v>
      </c>
      <c r="H150" s="107">
        <v>12409694</v>
      </c>
      <c r="I150" s="107">
        <f>G150+H150</f>
        <v>13790370.15</v>
      </c>
    </row>
    <row r="151" spans="2:9" ht="12.75">
      <c r="B151" s="100">
        <v>45</v>
      </c>
      <c r="C151" s="135" t="s">
        <v>130</v>
      </c>
      <c r="D151" s="98">
        <f aca="true" t="shared" si="45" ref="D151:I151">SUM(D149:D150)</f>
        <v>0</v>
      </c>
      <c r="E151" s="98">
        <f t="shared" si="45"/>
        <v>97780</v>
      </c>
      <c r="F151" s="98">
        <f t="shared" si="45"/>
        <v>1361400.2</v>
      </c>
      <c r="G151" s="98">
        <f t="shared" si="45"/>
        <v>1459180.2</v>
      </c>
      <c r="H151" s="98">
        <f t="shared" si="45"/>
        <v>14928644</v>
      </c>
      <c r="I151" s="98">
        <f t="shared" si="45"/>
        <v>16387824.2</v>
      </c>
    </row>
    <row r="152" spans="2:9" ht="12.75">
      <c r="B152" s="13">
        <v>460</v>
      </c>
      <c r="C152" s="133" t="s">
        <v>134</v>
      </c>
      <c r="D152" s="107">
        <v>1400446.5</v>
      </c>
      <c r="E152" s="107">
        <v>214373.05</v>
      </c>
      <c r="F152" s="107">
        <v>1996014.6</v>
      </c>
      <c r="G152" s="107">
        <f>SUM(D152:F152)</f>
        <v>3610834.1500000004</v>
      </c>
      <c r="H152" s="107">
        <v>15072820</v>
      </c>
      <c r="I152" s="107">
        <f>G152+H152</f>
        <v>18683654.15</v>
      </c>
    </row>
    <row r="153" spans="2:9" ht="12.75">
      <c r="B153" s="13">
        <v>461</v>
      </c>
      <c r="C153" s="133" t="s">
        <v>135</v>
      </c>
      <c r="D153" s="107">
        <v>917753.1</v>
      </c>
      <c r="E153" s="107">
        <v>168365.45</v>
      </c>
      <c r="F153" s="107">
        <v>1473966.05</v>
      </c>
      <c r="G153" s="107">
        <f>SUM(D153:F153)</f>
        <v>2560084.6</v>
      </c>
      <c r="H153" s="107">
        <v>17925260</v>
      </c>
      <c r="I153" s="107">
        <f>G153+H153</f>
        <v>20485344.6</v>
      </c>
    </row>
    <row r="154" spans="2:9" ht="12.75">
      <c r="B154" s="13">
        <v>462</v>
      </c>
      <c r="C154" s="133" t="s">
        <v>81</v>
      </c>
      <c r="D154" s="107">
        <v>662420.72</v>
      </c>
      <c r="E154" s="107">
        <v>149042.51</v>
      </c>
      <c r="F154" s="107">
        <v>188536.77</v>
      </c>
      <c r="G154" s="107">
        <f>SUM(D154:F154)</f>
        <v>1000000</v>
      </c>
      <c r="H154" s="107">
        <v>70311378</v>
      </c>
      <c r="I154" s="107">
        <f>G154+H154</f>
        <v>71311378</v>
      </c>
    </row>
    <row r="155" spans="2:9" ht="12.75">
      <c r="B155" s="13">
        <v>463</v>
      </c>
      <c r="C155" s="133" t="s">
        <v>136</v>
      </c>
      <c r="D155" s="107">
        <v>2423440.32</v>
      </c>
      <c r="E155" s="107">
        <v>1456099.05</v>
      </c>
      <c r="F155" s="107">
        <v>853706.25</v>
      </c>
      <c r="G155" s="107">
        <f>SUM(D155:F155)</f>
        <v>4733245.62</v>
      </c>
      <c r="H155" s="107">
        <v>15327001</v>
      </c>
      <c r="I155" s="107">
        <f>G155+H155</f>
        <v>20060246.62</v>
      </c>
    </row>
    <row r="156" spans="2:9" ht="12.75">
      <c r="B156" s="13">
        <v>469</v>
      </c>
      <c r="C156" s="133" t="s">
        <v>137</v>
      </c>
      <c r="D156" s="107">
        <v>11413.45</v>
      </c>
      <c r="E156" s="107">
        <v>12860.2</v>
      </c>
      <c r="F156" s="107">
        <v>15331.65</v>
      </c>
      <c r="G156" s="107">
        <f>SUM(D156:F156)</f>
        <v>39605.3</v>
      </c>
      <c r="H156" s="107">
        <v>31355</v>
      </c>
      <c r="I156" s="107">
        <f>G156+H156</f>
        <v>70960.3</v>
      </c>
    </row>
    <row r="157" spans="2:9" ht="12.75">
      <c r="B157" s="100">
        <v>46</v>
      </c>
      <c r="C157" s="135" t="s">
        <v>133</v>
      </c>
      <c r="D157" s="98">
        <f aca="true" t="shared" si="46" ref="D157:I157">SUM(D152:D156)</f>
        <v>5415474.090000001</v>
      </c>
      <c r="E157" s="98">
        <f t="shared" si="46"/>
        <v>2000740.26</v>
      </c>
      <c r="F157" s="98">
        <f t="shared" si="46"/>
        <v>4527555.32</v>
      </c>
      <c r="G157" s="98">
        <f t="shared" si="46"/>
        <v>11943769.670000002</v>
      </c>
      <c r="H157" s="98">
        <f t="shared" si="46"/>
        <v>118667814</v>
      </c>
      <c r="I157" s="98">
        <f t="shared" si="46"/>
        <v>130611583.67</v>
      </c>
    </row>
    <row r="158" spans="2:9" ht="12.75">
      <c r="B158" s="13">
        <v>470</v>
      </c>
      <c r="C158" s="133" t="s">
        <v>9</v>
      </c>
      <c r="D158" s="107"/>
      <c r="E158" s="107"/>
      <c r="F158" s="107"/>
      <c r="G158" s="107">
        <f>SUM(D158:F158)</f>
        <v>0</v>
      </c>
      <c r="H158" s="107">
        <v>28430592</v>
      </c>
      <c r="I158" s="107">
        <f>G158+H158</f>
        <v>28430592</v>
      </c>
    </row>
    <row r="159" spans="2:9" ht="12.75">
      <c r="B159" s="100">
        <v>47</v>
      </c>
      <c r="C159" s="135" t="s">
        <v>9</v>
      </c>
      <c r="D159" s="98">
        <f aca="true" t="shared" si="47" ref="D159:I159">SUM(D158:D158)</f>
        <v>0</v>
      </c>
      <c r="E159" s="98">
        <f t="shared" si="47"/>
        <v>0</v>
      </c>
      <c r="F159" s="98">
        <f t="shared" si="47"/>
        <v>0</v>
      </c>
      <c r="G159" s="98">
        <f t="shared" si="47"/>
        <v>0</v>
      </c>
      <c r="H159" s="98">
        <f t="shared" si="47"/>
        <v>28430592</v>
      </c>
      <c r="I159" s="98">
        <f t="shared" si="47"/>
        <v>28430592</v>
      </c>
    </row>
    <row r="160" spans="2:9" ht="12.75">
      <c r="B160" s="13">
        <v>480</v>
      </c>
      <c r="C160" s="133" t="s">
        <v>139</v>
      </c>
      <c r="D160" s="107"/>
      <c r="E160" s="107">
        <v>2814935.5</v>
      </c>
      <c r="F160" s="107">
        <v>0</v>
      </c>
      <c r="G160" s="107">
        <f>SUM(D160:F160)</f>
        <v>2814935.5</v>
      </c>
      <c r="H160" s="107">
        <v>0</v>
      </c>
      <c r="I160" s="107">
        <f aca="true" t="shared" si="48" ref="I160:I168">G160+H160</f>
        <v>2814935.5</v>
      </c>
    </row>
    <row r="161" spans="2:9" ht="12.75">
      <c r="B161" s="13">
        <v>481</v>
      </c>
      <c r="C161" s="133" t="s">
        <v>913</v>
      </c>
      <c r="D161" s="107"/>
      <c r="E161" s="107">
        <v>0</v>
      </c>
      <c r="F161" s="107">
        <v>0</v>
      </c>
      <c r="G161" s="107">
        <f aca="true" t="shared" si="49" ref="G161:G168">SUM(D161:F161)</f>
        <v>0</v>
      </c>
      <c r="H161" s="107">
        <v>0</v>
      </c>
      <c r="I161" s="107">
        <f t="shared" si="48"/>
        <v>0</v>
      </c>
    </row>
    <row r="162" spans="2:9" ht="12.75">
      <c r="B162" s="13">
        <v>482</v>
      </c>
      <c r="C162" s="133" t="s">
        <v>914</v>
      </c>
      <c r="D162" s="107">
        <v>51578.55</v>
      </c>
      <c r="E162" s="107">
        <v>4000000</v>
      </c>
      <c r="F162" s="107">
        <v>4313155.55</v>
      </c>
      <c r="G162" s="107">
        <f t="shared" si="49"/>
        <v>8364734.1</v>
      </c>
      <c r="H162" s="107">
        <v>0</v>
      </c>
      <c r="I162" s="107">
        <f t="shared" si="48"/>
        <v>8364734.1</v>
      </c>
    </row>
    <row r="163" spans="2:9" ht="12.75">
      <c r="B163" s="13">
        <v>483</v>
      </c>
      <c r="C163" s="133" t="s">
        <v>915</v>
      </c>
      <c r="D163" s="107">
        <v>132523.65</v>
      </c>
      <c r="E163" s="107">
        <v>14643.18</v>
      </c>
      <c r="F163" s="107">
        <v>218585.25</v>
      </c>
      <c r="G163" s="107">
        <f t="shared" si="49"/>
        <v>365752.07999999996</v>
      </c>
      <c r="H163" s="107">
        <v>0</v>
      </c>
      <c r="I163" s="107">
        <f t="shared" si="48"/>
        <v>365752.07999999996</v>
      </c>
    </row>
    <row r="164" spans="2:9" ht="12.75">
      <c r="B164" s="13">
        <v>484</v>
      </c>
      <c r="C164" s="133" t="s">
        <v>916</v>
      </c>
      <c r="D164" s="107">
        <v>33831.2</v>
      </c>
      <c r="E164" s="107">
        <v>602900.39</v>
      </c>
      <c r="F164" s="107">
        <v>1114956.45</v>
      </c>
      <c r="G164" s="107">
        <f t="shared" si="49"/>
        <v>1751688.04</v>
      </c>
      <c r="H164" s="107"/>
      <c r="I164" s="107">
        <f t="shared" si="48"/>
        <v>1751688.04</v>
      </c>
    </row>
    <row r="165" spans="2:9" ht="12.75">
      <c r="B165" s="13">
        <v>485</v>
      </c>
      <c r="C165" s="133" t="s">
        <v>917</v>
      </c>
      <c r="D165" s="107"/>
      <c r="E165" s="107">
        <v>0</v>
      </c>
      <c r="F165" s="107">
        <v>0</v>
      </c>
      <c r="G165" s="107">
        <f t="shared" si="49"/>
        <v>0</v>
      </c>
      <c r="H165" s="107">
        <v>0</v>
      </c>
      <c r="I165" s="107">
        <f t="shared" si="48"/>
        <v>0</v>
      </c>
    </row>
    <row r="166" spans="2:9" ht="12.75">
      <c r="B166" s="13">
        <v>486</v>
      </c>
      <c r="C166" s="133" t="s">
        <v>918</v>
      </c>
      <c r="D166" s="107">
        <v>4765412.28</v>
      </c>
      <c r="E166" s="107">
        <v>66034.01</v>
      </c>
      <c r="F166" s="107">
        <v>0</v>
      </c>
      <c r="G166" s="107">
        <f t="shared" si="49"/>
        <v>4831446.29</v>
      </c>
      <c r="H166" s="107">
        <v>0</v>
      </c>
      <c r="I166" s="107">
        <f t="shared" si="48"/>
        <v>4831446.29</v>
      </c>
    </row>
    <row r="167" spans="2:9" ht="12.75">
      <c r="B167" s="13">
        <v>487</v>
      </c>
      <c r="C167" s="133" t="s">
        <v>919</v>
      </c>
      <c r="D167" s="107"/>
      <c r="E167" s="107">
        <v>0</v>
      </c>
      <c r="F167" s="107">
        <v>0</v>
      </c>
      <c r="G167" s="107">
        <f t="shared" si="49"/>
        <v>0</v>
      </c>
      <c r="H167" s="107">
        <v>0</v>
      </c>
      <c r="I167" s="107">
        <f t="shared" si="48"/>
        <v>0</v>
      </c>
    </row>
    <row r="168" spans="2:9" ht="12.75">
      <c r="B168" s="13">
        <v>489</v>
      </c>
      <c r="C168" s="133" t="s">
        <v>140</v>
      </c>
      <c r="D168" s="107"/>
      <c r="E168" s="107">
        <v>0</v>
      </c>
      <c r="F168" s="107">
        <v>0</v>
      </c>
      <c r="G168" s="107">
        <f t="shared" si="49"/>
        <v>0</v>
      </c>
      <c r="H168" s="107">
        <v>134365</v>
      </c>
      <c r="I168" s="107">
        <f t="shared" si="48"/>
        <v>134365</v>
      </c>
    </row>
    <row r="169" spans="2:9" ht="12.75">
      <c r="B169" s="100">
        <v>48</v>
      </c>
      <c r="C169" s="135" t="s">
        <v>138</v>
      </c>
      <c r="D169" s="98">
        <f aca="true" t="shared" si="50" ref="D169:I169">SUM(D160:D168)</f>
        <v>4983345.680000001</v>
      </c>
      <c r="E169" s="98">
        <f t="shared" si="50"/>
        <v>7498513.079999999</v>
      </c>
      <c r="F169" s="98">
        <f t="shared" si="50"/>
        <v>5646697.25</v>
      </c>
      <c r="G169" s="98">
        <f t="shared" si="50"/>
        <v>18128556.009999998</v>
      </c>
      <c r="H169" s="98">
        <f t="shared" si="50"/>
        <v>134365</v>
      </c>
      <c r="I169" s="98">
        <f t="shared" si="50"/>
        <v>18262921.009999998</v>
      </c>
    </row>
    <row r="170" spans="2:9" ht="12.75">
      <c r="B170" s="13">
        <v>490</v>
      </c>
      <c r="C170" s="133" t="s">
        <v>92</v>
      </c>
      <c r="D170" s="107">
        <v>23211.1</v>
      </c>
      <c r="E170" s="107">
        <v>10007.5</v>
      </c>
      <c r="F170" s="107">
        <v>74138.75</v>
      </c>
      <c r="G170" s="107">
        <f>SUM(D170:F170)</f>
        <v>107357.35</v>
      </c>
      <c r="H170" s="107">
        <v>136182</v>
      </c>
      <c r="I170" s="107">
        <f aca="true" t="shared" si="51" ref="I170:I177">G170+H170</f>
        <v>243539.35</v>
      </c>
    </row>
    <row r="171" spans="2:9" ht="12.75">
      <c r="B171" s="13">
        <v>491</v>
      </c>
      <c r="C171" s="133" t="s">
        <v>354</v>
      </c>
      <c r="D171" s="107">
        <v>4580498.3</v>
      </c>
      <c r="E171" s="107">
        <v>2840443.25</v>
      </c>
      <c r="F171" s="107">
        <v>5463026.17</v>
      </c>
      <c r="G171" s="107">
        <f aca="true" t="shared" si="52" ref="G171:G177">SUM(D171:F171)</f>
        <v>12883967.719999999</v>
      </c>
      <c r="H171" s="107">
        <v>1685631</v>
      </c>
      <c r="I171" s="107">
        <f t="shared" si="51"/>
        <v>14569598.719999999</v>
      </c>
    </row>
    <row r="172" spans="2:9" ht="12.75">
      <c r="B172" s="13">
        <v>492</v>
      </c>
      <c r="C172" s="133" t="s">
        <v>93</v>
      </c>
      <c r="D172" s="107">
        <v>861712.75</v>
      </c>
      <c r="E172" s="107">
        <v>555597.85</v>
      </c>
      <c r="F172" s="107">
        <v>0</v>
      </c>
      <c r="G172" s="107">
        <f t="shared" si="52"/>
        <v>1417310.6</v>
      </c>
      <c r="H172" s="107">
        <v>502723</v>
      </c>
      <c r="I172" s="107">
        <f t="shared" si="51"/>
        <v>1920033.6</v>
      </c>
    </row>
    <row r="173" spans="2:9" ht="12.75">
      <c r="B173" s="13">
        <v>493</v>
      </c>
      <c r="C173" s="133" t="s">
        <v>94</v>
      </c>
      <c r="D173" s="107">
        <v>211630.36</v>
      </c>
      <c r="E173" s="107">
        <v>200292.35</v>
      </c>
      <c r="F173" s="107">
        <v>93254.13</v>
      </c>
      <c r="G173" s="107">
        <f t="shared" si="52"/>
        <v>505176.83999999997</v>
      </c>
      <c r="H173" s="107">
        <v>0</v>
      </c>
      <c r="I173" s="107">
        <f t="shared" si="51"/>
        <v>505176.83999999997</v>
      </c>
    </row>
    <row r="174" spans="2:9" ht="12.75">
      <c r="B174" s="13">
        <v>494</v>
      </c>
      <c r="C174" s="133" t="s">
        <v>95</v>
      </c>
      <c r="D174" s="107">
        <v>260590.5</v>
      </c>
      <c r="E174" s="107">
        <v>613768.9</v>
      </c>
      <c r="F174" s="107">
        <v>862677.59</v>
      </c>
      <c r="G174" s="107">
        <f t="shared" si="52"/>
        <v>1737036.99</v>
      </c>
      <c r="H174" s="107">
        <v>1125756</v>
      </c>
      <c r="I174" s="107">
        <f t="shared" si="51"/>
        <v>2862792.99</v>
      </c>
    </row>
    <row r="175" spans="2:9" ht="12.75">
      <c r="B175" s="13">
        <v>495</v>
      </c>
      <c r="C175" s="133" t="s">
        <v>920</v>
      </c>
      <c r="D175" s="107"/>
      <c r="E175" s="107">
        <v>0</v>
      </c>
      <c r="F175" s="107">
        <v>0</v>
      </c>
      <c r="G175" s="107">
        <f t="shared" si="52"/>
        <v>0</v>
      </c>
      <c r="H175" s="107">
        <v>0</v>
      </c>
      <c r="I175" s="107">
        <f t="shared" si="51"/>
        <v>0</v>
      </c>
    </row>
    <row r="176" spans="2:9" ht="12.75">
      <c r="B176" s="13">
        <v>498</v>
      </c>
      <c r="C176" s="133" t="s">
        <v>96</v>
      </c>
      <c r="D176" s="107"/>
      <c r="E176" s="107">
        <v>379945.3</v>
      </c>
      <c r="F176" s="107">
        <v>0</v>
      </c>
      <c r="G176" s="107">
        <f t="shared" si="52"/>
        <v>379945.3</v>
      </c>
      <c r="H176" s="107">
        <v>7229848</v>
      </c>
      <c r="I176" s="107">
        <f t="shared" si="51"/>
        <v>7609793.3</v>
      </c>
    </row>
    <row r="177" spans="2:9" ht="12.75">
      <c r="B177" s="13">
        <v>499</v>
      </c>
      <c r="C177" s="133" t="s">
        <v>97</v>
      </c>
      <c r="D177" s="107"/>
      <c r="E177" s="107">
        <v>36633.6</v>
      </c>
      <c r="F177" s="107">
        <v>0</v>
      </c>
      <c r="G177" s="107">
        <f t="shared" si="52"/>
        <v>36633.6</v>
      </c>
      <c r="H177" s="107">
        <v>0</v>
      </c>
      <c r="I177" s="107">
        <f t="shared" si="51"/>
        <v>36633.6</v>
      </c>
    </row>
    <row r="178" spans="2:9" ht="12.75">
      <c r="B178" s="100">
        <v>49</v>
      </c>
      <c r="C178" s="135" t="s">
        <v>10</v>
      </c>
      <c r="D178" s="98">
        <f aca="true" t="shared" si="53" ref="D178:I178">SUM(D170:D177)</f>
        <v>5937643.01</v>
      </c>
      <c r="E178" s="98">
        <f t="shared" si="53"/>
        <v>4636688.75</v>
      </c>
      <c r="F178" s="98">
        <f t="shared" si="53"/>
        <v>6493096.64</v>
      </c>
      <c r="G178" s="98">
        <f t="shared" si="53"/>
        <v>17067428.4</v>
      </c>
      <c r="H178" s="98">
        <f t="shared" si="53"/>
        <v>10680140</v>
      </c>
      <c r="I178" s="98">
        <f t="shared" si="53"/>
        <v>27747568.400000002</v>
      </c>
    </row>
    <row r="179" spans="2:9" ht="12.75">
      <c r="B179" s="95">
        <v>4</v>
      </c>
      <c r="C179" s="132" t="s">
        <v>142</v>
      </c>
      <c r="D179" s="108">
        <f aca="true" t="shared" si="54" ref="D179:I179">D117+D122+D132+D137+D148+D151+D157+D159+D169+D178</f>
        <v>48528213.39</v>
      </c>
      <c r="E179" s="108">
        <f t="shared" si="54"/>
        <v>51777773.769999996</v>
      </c>
      <c r="F179" s="108">
        <f t="shared" si="54"/>
        <v>66864339.879999995</v>
      </c>
      <c r="G179" s="108">
        <f t="shared" si="54"/>
        <v>167170327.04000002</v>
      </c>
      <c r="H179" s="108">
        <f t="shared" si="54"/>
        <v>370686030</v>
      </c>
      <c r="I179" s="108">
        <f t="shared" si="54"/>
        <v>537856357.04</v>
      </c>
    </row>
    <row r="180" spans="2:9" ht="12.75">
      <c r="B180" s="105"/>
      <c r="C180" s="141"/>
      <c r="D180" s="114"/>
      <c r="E180" s="114"/>
      <c r="F180" s="114"/>
      <c r="G180" s="114"/>
      <c r="H180" s="114"/>
      <c r="I180" s="114"/>
    </row>
    <row r="181" spans="2:9" ht="12.75">
      <c r="B181" s="13">
        <v>9000</v>
      </c>
      <c r="C181" s="133" t="s">
        <v>143</v>
      </c>
      <c r="D181" s="107">
        <v>637558.6</v>
      </c>
      <c r="E181" s="107">
        <v>3514457.15</v>
      </c>
      <c r="F181" s="107">
        <v>472270.26</v>
      </c>
      <c r="G181" s="107">
        <f>SUM(D181:F181)</f>
        <v>4624286.01</v>
      </c>
      <c r="H181" s="107">
        <v>8102268</v>
      </c>
      <c r="I181" s="107">
        <f>G181+H181</f>
        <v>12726554.01</v>
      </c>
    </row>
    <row r="182" spans="2:9" ht="12.75">
      <c r="B182" s="13">
        <v>9001</v>
      </c>
      <c r="C182" s="133" t="s">
        <v>144</v>
      </c>
      <c r="D182" s="107">
        <v>0</v>
      </c>
      <c r="E182" s="107">
        <v>0</v>
      </c>
      <c r="F182" s="107">
        <v>0</v>
      </c>
      <c r="G182" s="107">
        <f>SUM(D182:F182)</f>
        <v>0</v>
      </c>
      <c r="H182" s="107">
        <v>0</v>
      </c>
      <c r="I182" s="107">
        <f>G182+H182</f>
        <v>0</v>
      </c>
    </row>
    <row r="183" spans="2:9" ht="14.25" customHeight="1" thickBot="1">
      <c r="B183" s="21"/>
      <c r="C183" s="137" t="s">
        <v>6</v>
      </c>
      <c r="D183" s="110">
        <f>IF(D110+D181=D179+D182,D110+D181-D179-D182,Meldungen!A5)</f>
        <v>7.450580596923828E-09</v>
      </c>
      <c r="E183" s="110">
        <f>IF(E110+E181=E179+E182,E110+E181-E179-E182,Meldungen!B5)</f>
        <v>7.450580596923828E-09</v>
      </c>
      <c r="F183" s="110">
        <f>IF(F110+F181=F179+F182,F110+F181-F179-F182,Meldungen!C5)</f>
        <v>0</v>
      </c>
      <c r="G183" s="110">
        <f>IF(G110+G181=G179+G182,G110+G181-G179-G182,Meldungen!D5)</f>
        <v>-2.9802322387695312E-08</v>
      </c>
      <c r="H183" s="110">
        <f>IF(H110+H181=H179+H182,H110+H181-H179-H182,Meldungen!F5)</f>
        <v>0</v>
      </c>
      <c r="I183" s="110">
        <f>IF(I110+I181=I179+I182,I110+I181-I179-I182,Meldungen!G5)</f>
        <v>0</v>
      </c>
    </row>
    <row r="184" spans="2:9" ht="13.5" thickBot="1">
      <c r="B184" s="24"/>
      <c r="C184" s="118"/>
      <c r="D184" s="25"/>
      <c r="E184" s="25"/>
      <c r="F184" s="125"/>
      <c r="G184" s="125"/>
      <c r="H184" s="125"/>
      <c r="I184" s="125"/>
    </row>
    <row r="185" spans="2:9" ht="12.75">
      <c r="B185" s="173" t="s">
        <v>942</v>
      </c>
      <c r="C185" s="138"/>
      <c r="D185" s="176"/>
      <c r="E185" s="176"/>
      <c r="F185" s="176"/>
      <c r="G185" s="127"/>
      <c r="H185" s="176"/>
      <c r="I185" s="177"/>
    </row>
    <row r="186" spans="2:9" ht="12.75">
      <c r="B186" s="129">
        <v>5</v>
      </c>
      <c r="C186" s="139" t="s">
        <v>14</v>
      </c>
      <c r="D186" s="130"/>
      <c r="E186" s="130"/>
      <c r="F186" s="130"/>
      <c r="G186" s="130"/>
      <c r="H186" s="130"/>
      <c r="I186" s="130"/>
    </row>
    <row r="187" spans="2:9" ht="12.75">
      <c r="B187" s="13">
        <v>500</v>
      </c>
      <c r="C187" s="133" t="s">
        <v>145</v>
      </c>
      <c r="D187" s="107">
        <f>261000</f>
        <v>261000</v>
      </c>
      <c r="E187" s="107">
        <v>0</v>
      </c>
      <c r="F187" s="107">
        <v>0</v>
      </c>
      <c r="G187" s="107">
        <f aca="true" t="shared" si="55" ref="G187:G194">SUM(D187:F187)</f>
        <v>261000</v>
      </c>
      <c r="H187" s="107">
        <v>0</v>
      </c>
      <c r="I187" s="107">
        <f aca="true" t="shared" si="56" ref="I187:I194">G187+H187</f>
        <v>261000</v>
      </c>
    </row>
    <row r="188" spans="2:9" ht="12.75">
      <c r="B188" s="13">
        <v>501</v>
      </c>
      <c r="C188" s="133" t="s">
        <v>146</v>
      </c>
      <c r="D188" s="107">
        <f>84957.8+554936.3+98919.4+41737.3+27240.35+15380.3+26263.7+32752.45+351200.95+62996.9+415244.4+48515.05+124249.3+644300.3+1969+148420.45+22036.8+130376.3</f>
        <v>2831497.05</v>
      </c>
      <c r="E188" s="107">
        <v>62499.65</v>
      </c>
      <c r="F188" s="107">
        <v>2194490.4</v>
      </c>
      <c r="G188" s="107">
        <f t="shared" si="55"/>
        <v>5088487.1</v>
      </c>
      <c r="H188" s="107">
        <v>3161808</v>
      </c>
      <c r="I188" s="107">
        <f t="shared" si="56"/>
        <v>8250295.1</v>
      </c>
    </row>
    <row r="189" spans="2:9" ht="12.75">
      <c r="B189" s="13">
        <v>502</v>
      </c>
      <c r="C189" s="133" t="s">
        <v>147</v>
      </c>
      <c r="D189" s="107">
        <f>1180966.6+14484.65</f>
        <v>1195451.25</v>
      </c>
      <c r="E189" s="107">
        <v>2237379.6</v>
      </c>
      <c r="F189" s="107">
        <v>365843.85</v>
      </c>
      <c r="G189" s="107">
        <f t="shared" si="55"/>
        <v>3798674.7</v>
      </c>
      <c r="H189" s="107">
        <v>0</v>
      </c>
      <c r="I189" s="107">
        <f t="shared" si="56"/>
        <v>3798674.7</v>
      </c>
    </row>
    <row r="190" spans="2:9" ht="12.75">
      <c r="B190" s="13">
        <v>503</v>
      </c>
      <c r="C190" s="133" t="s">
        <v>148</v>
      </c>
      <c r="D190" s="107">
        <f>10672.45+35547.94+1250+396540.77+28190+40584.02+54365.58+64249.73+269380.19+4590.6+133579.4+3189.19+137929.75+30597.64+1250+494200.74+11224.55+44567.5+44626.52+78733.75+128367.55+178038.5</f>
        <v>2191676.37</v>
      </c>
      <c r="E190" s="107">
        <v>0</v>
      </c>
      <c r="F190" s="107">
        <v>1457125.18</v>
      </c>
      <c r="G190" s="107">
        <f t="shared" si="55"/>
        <v>3648801.55</v>
      </c>
      <c r="H190" s="107">
        <v>31523</v>
      </c>
      <c r="I190" s="107">
        <f t="shared" si="56"/>
        <v>3680324.55</v>
      </c>
    </row>
    <row r="191" spans="2:9" ht="12.75">
      <c r="B191" s="13">
        <v>504</v>
      </c>
      <c r="C191" s="133" t="s">
        <v>149</v>
      </c>
      <c r="D191" s="107">
        <f>219715.75+205737.55+13445.35+10635</f>
        <v>449533.64999999997</v>
      </c>
      <c r="E191" s="107">
        <v>355623.5</v>
      </c>
      <c r="F191" s="107">
        <v>337324.8</v>
      </c>
      <c r="G191" s="107">
        <f t="shared" si="55"/>
        <v>1142481.95</v>
      </c>
      <c r="H191" s="107">
        <v>6037478</v>
      </c>
      <c r="I191" s="107">
        <f t="shared" si="56"/>
        <v>7179959.95</v>
      </c>
    </row>
    <row r="192" spans="2:9" ht="12.75">
      <c r="B192" s="13">
        <v>505</v>
      </c>
      <c r="C192" s="133" t="s">
        <v>150</v>
      </c>
      <c r="D192" s="107"/>
      <c r="E192" s="107">
        <v>0</v>
      </c>
      <c r="F192" s="107">
        <v>0</v>
      </c>
      <c r="G192" s="107">
        <f t="shared" si="55"/>
        <v>0</v>
      </c>
      <c r="H192" s="107">
        <v>803222</v>
      </c>
      <c r="I192" s="107">
        <f t="shared" si="56"/>
        <v>803222</v>
      </c>
    </row>
    <row r="193" spans="2:9" ht="12.75">
      <c r="B193" s="13">
        <v>506</v>
      </c>
      <c r="C193" s="133" t="s">
        <v>151</v>
      </c>
      <c r="D193" s="107">
        <f>127089.9+51300</f>
        <v>178389.9</v>
      </c>
      <c r="E193" s="107">
        <v>372841.55</v>
      </c>
      <c r="F193" s="107">
        <v>833910.25</v>
      </c>
      <c r="G193" s="107">
        <f t="shared" si="55"/>
        <v>1385141.7</v>
      </c>
      <c r="H193" s="107">
        <v>1467356</v>
      </c>
      <c r="I193" s="107">
        <f t="shared" si="56"/>
        <v>2852497.7</v>
      </c>
    </row>
    <row r="194" spans="2:9" ht="12.75">
      <c r="B194" s="13">
        <v>509</v>
      </c>
      <c r="C194" s="133" t="s">
        <v>152</v>
      </c>
      <c r="D194" s="107"/>
      <c r="E194" s="107">
        <v>0</v>
      </c>
      <c r="F194" s="107"/>
      <c r="G194" s="107">
        <f t="shared" si="55"/>
        <v>0</v>
      </c>
      <c r="H194" s="107">
        <v>26262</v>
      </c>
      <c r="I194" s="107">
        <f t="shared" si="56"/>
        <v>26262</v>
      </c>
    </row>
    <row r="195" spans="2:9" ht="12.75">
      <c r="B195" s="100">
        <v>50</v>
      </c>
      <c r="C195" s="135" t="s">
        <v>153</v>
      </c>
      <c r="D195" s="98">
        <f aca="true" t="shared" si="57" ref="D195:I195">SUM(D187:D194)</f>
        <v>7107548.220000001</v>
      </c>
      <c r="E195" s="98">
        <f t="shared" si="57"/>
        <v>3028344.3</v>
      </c>
      <c r="F195" s="98">
        <f t="shared" si="57"/>
        <v>5188694.4799999995</v>
      </c>
      <c r="G195" s="98">
        <f t="shared" si="57"/>
        <v>15324587</v>
      </c>
      <c r="H195" s="98">
        <f t="shared" si="57"/>
        <v>11527649</v>
      </c>
      <c r="I195" s="98">
        <f t="shared" si="57"/>
        <v>26852236</v>
      </c>
    </row>
    <row r="196" spans="2:9" ht="12.75">
      <c r="B196" s="13">
        <v>510</v>
      </c>
      <c r="C196" s="133" t="s">
        <v>145</v>
      </c>
      <c r="D196" s="107"/>
      <c r="E196" s="107"/>
      <c r="F196" s="107"/>
      <c r="G196" s="107">
        <f>SUM(D196:F196)</f>
        <v>0</v>
      </c>
      <c r="H196" s="107"/>
      <c r="I196" s="107">
        <f aca="true" t="shared" si="58" ref="I196:I203">G196+H196</f>
        <v>0</v>
      </c>
    </row>
    <row r="197" spans="2:9" ht="12.75">
      <c r="B197" s="13">
        <v>511</v>
      </c>
      <c r="C197" s="133" t="s">
        <v>146</v>
      </c>
      <c r="D197" s="107"/>
      <c r="E197" s="107"/>
      <c r="F197" s="107"/>
      <c r="G197" s="107">
        <f aca="true" t="shared" si="59" ref="G197:G203">SUM(D197:F197)</f>
        <v>0</v>
      </c>
      <c r="H197" s="107"/>
      <c r="I197" s="107">
        <f t="shared" si="58"/>
        <v>0</v>
      </c>
    </row>
    <row r="198" spans="2:9" ht="12.75">
      <c r="B198" s="13">
        <v>512</v>
      </c>
      <c r="C198" s="133" t="s">
        <v>147</v>
      </c>
      <c r="D198" s="107"/>
      <c r="E198" s="107"/>
      <c r="F198" s="107"/>
      <c r="G198" s="107">
        <f t="shared" si="59"/>
        <v>0</v>
      </c>
      <c r="H198" s="107"/>
      <c r="I198" s="107">
        <f t="shared" si="58"/>
        <v>0</v>
      </c>
    </row>
    <row r="199" spans="2:9" ht="12.75">
      <c r="B199" s="13">
        <v>513</v>
      </c>
      <c r="C199" s="133" t="s">
        <v>148</v>
      </c>
      <c r="D199" s="107"/>
      <c r="E199" s="107"/>
      <c r="F199" s="107"/>
      <c r="G199" s="107">
        <f t="shared" si="59"/>
        <v>0</v>
      </c>
      <c r="H199" s="107"/>
      <c r="I199" s="107">
        <f t="shared" si="58"/>
        <v>0</v>
      </c>
    </row>
    <row r="200" spans="2:9" ht="12.75">
      <c r="B200" s="13">
        <v>514</v>
      </c>
      <c r="C200" s="133" t="s">
        <v>149</v>
      </c>
      <c r="D200" s="107"/>
      <c r="E200" s="107"/>
      <c r="F200" s="107"/>
      <c r="G200" s="107">
        <f t="shared" si="59"/>
        <v>0</v>
      </c>
      <c r="H200" s="107"/>
      <c r="I200" s="107">
        <f t="shared" si="58"/>
        <v>0</v>
      </c>
    </row>
    <row r="201" spans="2:9" ht="12.75">
      <c r="B201" s="13">
        <v>515</v>
      </c>
      <c r="C201" s="133" t="s">
        <v>150</v>
      </c>
      <c r="D201" s="107"/>
      <c r="E201" s="107"/>
      <c r="F201" s="107"/>
      <c r="G201" s="107">
        <f t="shared" si="59"/>
        <v>0</v>
      </c>
      <c r="H201" s="107"/>
      <c r="I201" s="107">
        <f t="shared" si="58"/>
        <v>0</v>
      </c>
    </row>
    <row r="202" spans="2:9" ht="12.75">
      <c r="B202" s="13">
        <v>516</v>
      </c>
      <c r="C202" s="133" t="s">
        <v>151</v>
      </c>
      <c r="D202" s="107"/>
      <c r="E202" s="107"/>
      <c r="F202" s="107"/>
      <c r="G202" s="107">
        <f t="shared" si="59"/>
        <v>0</v>
      </c>
      <c r="H202" s="107"/>
      <c r="I202" s="107">
        <f t="shared" si="58"/>
        <v>0</v>
      </c>
    </row>
    <row r="203" spans="2:9" ht="12.75">
      <c r="B203" s="13">
        <v>519</v>
      </c>
      <c r="C203" s="133" t="s">
        <v>152</v>
      </c>
      <c r="D203" s="107"/>
      <c r="E203" s="107"/>
      <c r="F203" s="107"/>
      <c r="G203" s="107">
        <f t="shared" si="59"/>
        <v>0</v>
      </c>
      <c r="H203" s="107"/>
      <c r="I203" s="107">
        <f t="shared" si="58"/>
        <v>0</v>
      </c>
    </row>
    <row r="204" spans="2:9" ht="12.75">
      <c r="B204" s="100">
        <v>51</v>
      </c>
      <c r="C204" s="135" t="s">
        <v>154</v>
      </c>
      <c r="D204" s="98">
        <f aca="true" t="shared" si="60" ref="D204:I204">SUM(D196:D203)</f>
        <v>0</v>
      </c>
      <c r="E204" s="98">
        <f t="shared" si="60"/>
        <v>0</v>
      </c>
      <c r="F204" s="98">
        <f t="shared" si="60"/>
        <v>0</v>
      </c>
      <c r="G204" s="98">
        <f t="shared" si="60"/>
        <v>0</v>
      </c>
      <c r="H204" s="98">
        <f t="shared" si="60"/>
        <v>0</v>
      </c>
      <c r="I204" s="98">
        <f t="shared" si="60"/>
        <v>0</v>
      </c>
    </row>
    <row r="205" spans="2:9" ht="12.75">
      <c r="B205" s="13">
        <v>520</v>
      </c>
      <c r="C205" s="133" t="s">
        <v>155</v>
      </c>
      <c r="D205" s="107"/>
      <c r="E205" s="107">
        <v>0</v>
      </c>
      <c r="F205" s="107">
        <v>0</v>
      </c>
      <c r="G205" s="107">
        <f>SUM(D205:F205)</f>
        <v>0</v>
      </c>
      <c r="H205" s="107">
        <v>783883</v>
      </c>
      <c r="I205" s="107">
        <f>G205+H205</f>
        <v>783883</v>
      </c>
    </row>
    <row r="206" spans="2:9" ht="12.75">
      <c r="B206" s="13">
        <v>521</v>
      </c>
      <c r="C206" s="133" t="s">
        <v>156</v>
      </c>
      <c r="D206" s="107"/>
      <c r="E206" s="107">
        <v>0</v>
      </c>
      <c r="F206" s="107">
        <v>0</v>
      </c>
      <c r="G206" s="107">
        <f>SUM(D206:F206)</f>
        <v>0</v>
      </c>
      <c r="H206" s="107">
        <v>0</v>
      </c>
      <c r="I206" s="107">
        <f>G206+H206</f>
        <v>0</v>
      </c>
    </row>
    <row r="207" spans="2:9" ht="12.75">
      <c r="B207" s="13">
        <v>529</v>
      </c>
      <c r="C207" s="133" t="s">
        <v>157</v>
      </c>
      <c r="D207" s="107">
        <f>87892.8+16981.62+41079.76+76806.35+1851.85+52083.5+62623.3+33000</f>
        <v>372319.18</v>
      </c>
      <c r="E207" s="107">
        <v>328031.7</v>
      </c>
      <c r="F207" s="107">
        <v>63289.5</v>
      </c>
      <c r="G207" s="107">
        <f>SUM(D207:F207)</f>
        <v>763640.38</v>
      </c>
      <c r="H207" s="107">
        <v>493420</v>
      </c>
      <c r="I207" s="107">
        <f>G207+H207</f>
        <v>1257060.38</v>
      </c>
    </row>
    <row r="208" spans="2:9" ht="12.75">
      <c r="B208" s="100">
        <v>52</v>
      </c>
      <c r="C208" s="135" t="s">
        <v>34</v>
      </c>
      <c r="D208" s="98">
        <f aca="true" t="shared" si="61" ref="D208:I208">SUM(D205:D207)</f>
        <v>372319.18</v>
      </c>
      <c r="E208" s="98">
        <f t="shared" si="61"/>
        <v>328031.7</v>
      </c>
      <c r="F208" s="98">
        <f t="shared" si="61"/>
        <v>63289.5</v>
      </c>
      <c r="G208" s="98">
        <f t="shared" si="61"/>
        <v>763640.38</v>
      </c>
      <c r="H208" s="98">
        <f t="shared" si="61"/>
        <v>1277303</v>
      </c>
      <c r="I208" s="98">
        <f t="shared" si="61"/>
        <v>2040943.38</v>
      </c>
    </row>
    <row r="209" spans="2:9" ht="12.75">
      <c r="B209" s="13">
        <v>540</v>
      </c>
      <c r="C209" s="133" t="s">
        <v>158</v>
      </c>
      <c r="D209" s="107"/>
      <c r="E209" s="107"/>
      <c r="F209" s="107"/>
      <c r="G209" s="107">
        <f>SUM(D209:F209)</f>
        <v>0</v>
      </c>
      <c r="H209" s="107">
        <v>0</v>
      </c>
      <c r="I209" s="107">
        <f aca="true" t="shared" si="62" ref="I209:I217">G209+H209</f>
        <v>0</v>
      </c>
    </row>
    <row r="210" spans="2:9" ht="12.75">
      <c r="B210" s="13">
        <v>541</v>
      </c>
      <c r="C210" s="133" t="s">
        <v>159</v>
      </c>
      <c r="D210" s="107"/>
      <c r="E210" s="107"/>
      <c r="F210" s="107"/>
      <c r="G210" s="107">
        <f aca="true" t="shared" si="63" ref="G210:G217">SUM(D210:F210)</f>
        <v>0</v>
      </c>
      <c r="H210" s="107">
        <v>0</v>
      </c>
      <c r="I210" s="107">
        <f t="shared" si="62"/>
        <v>0</v>
      </c>
    </row>
    <row r="211" spans="2:9" ht="12.75">
      <c r="B211" s="13">
        <v>542</v>
      </c>
      <c r="C211" s="133" t="s">
        <v>160</v>
      </c>
      <c r="D211" s="107"/>
      <c r="E211" s="107"/>
      <c r="F211" s="107"/>
      <c r="G211" s="107">
        <f t="shared" si="63"/>
        <v>0</v>
      </c>
      <c r="H211" s="107">
        <v>70000</v>
      </c>
      <c r="I211" s="107">
        <f t="shared" si="62"/>
        <v>70000</v>
      </c>
    </row>
    <row r="212" spans="2:9" ht="12.75">
      <c r="B212" s="13">
        <v>543</v>
      </c>
      <c r="C212" s="133" t="s">
        <v>161</v>
      </c>
      <c r="D212" s="107"/>
      <c r="E212" s="107"/>
      <c r="F212" s="107"/>
      <c r="G212" s="107">
        <f t="shared" si="63"/>
        <v>0</v>
      </c>
      <c r="H212" s="107">
        <v>0</v>
      </c>
      <c r="I212" s="107">
        <f t="shared" si="62"/>
        <v>0</v>
      </c>
    </row>
    <row r="213" spans="2:9" ht="12.75">
      <c r="B213" s="13">
        <v>544</v>
      </c>
      <c r="C213" s="133" t="s">
        <v>162</v>
      </c>
      <c r="D213" s="107"/>
      <c r="E213" s="107"/>
      <c r="F213" s="107"/>
      <c r="G213" s="107">
        <f t="shared" si="63"/>
        <v>0</v>
      </c>
      <c r="H213" s="107">
        <v>0</v>
      </c>
      <c r="I213" s="107">
        <f t="shared" si="62"/>
        <v>0</v>
      </c>
    </row>
    <row r="214" spans="2:9" ht="12.75">
      <c r="B214" s="13">
        <v>545</v>
      </c>
      <c r="C214" s="133" t="s">
        <v>164</v>
      </c>
      <c r="D214" s="107"/>
      <c r="E214" s="107"/>
      <c r="F214" s="107"/>
      <c r="G214" s="107">
        <f t="shared" si="63"/>
        <v>0</v>
      </c>
      <c r="H214" s="107">
        <v>0</v>
      </c>
      <c r="I214" s="107">
        <f t="shared" si="62"/>
        <v>0</v>
      </c>
    </row>
    <row r="215" spans="2:9" ht="12.75">
      <c r="B215" s="13">
        <v>546</v>
      </c>
      <c r="C215" s="133" t="s">
        <v>163</v>
      </c>
      <c r="D215" s="107"/>
      <c r="E215" s="107"/>
      <c r="F215" s="107"/>
      <c r="G215" s="107">
        <f t="shared" si="63"/>
        <v>0</v>
      </c>
      <c r="H215" s="107">
        <v>0</v>
      </c>
      <c r="I215" s="107">
        <f t="shared" si="62"/>
        <v>0</v>
      </c>
    </row>
    <row r="216" spans="2:9" ht="12.75">
      <c r="B216" s="13">
        <v>547</v>
      </c>
      <c r="C216" s="133" t="s">
        <v>165</v>
      </c>
      <c r="D216" s="107"/>
      <c r="E216" s="107"/>
      <c r="F216" s="107"/>
      <c r="G216" s="107">
        <f t="shared" si="63"/>
        <v>0</v>
      </c>
      <c r="H216" s="107">
        <v>0</v>
      </c>
      <c r="I216" s="107">
        <f t="shared" si="62"/>
        <v>0</v>
      </c>
    </row>
    <row r="217" spans="2:9" ht="12.75">
      <c r="B217" s="13">
        <v>548</v>
      </c>
      <c r="C217" s="133" t="s">
        <v>166</v>
      </c>
      <c r="D217" s="107"/>
      <c r="E217" s="107"/>
      <c r="F217" s="107"/>
      <c r="G217" s="107">
        <f t="shared" si="63"/>
        <v>0</v>
      </c>
      <c r="H217" s="107">
        <v>0</v>
      </c>
      <c r="I217" s="107">
        <f t="shared" si="62"/>
        <v>0</v>
      </c>
    </row>
    <row r="218" spans="2:9" ht="12.75">
      <c r="B218" s="100">
        <v>54</v>
      </c>
      <c r="C218" s="135" t="s">
        <v>35</v>
      </c>
      <c r="D218" s="98">
        <f aca="true" t="shared" si="64" ref="D218:I218">SUM(D209:D217)</f>
        <v>0</v>
      </c>
      <c r="E218" s="98">
        <f t="shared" si="64"/>
        <v>0</v>
      </c>
      <c r="F218" s="98">
        <f t="shared" si="64"/>
        <v>0</v>
      </c>
      <c r="G218" s="98">
        <f t="shared" si="64"/>
        <v>0</v>
      </c>
      <c r="H218" s="98">
        <f t="shared" si="64"/>
        <v>70000</v>
      </c>
      <c r="I218" s="98">
        <f t="shared" si="64"/>
        <v>70000</v>
      </c>
    </row>
    <row r="219" spans="2:9" ht="12.75">
      <c r="B219" s="13">
        <v>550</v>
      </c>
      <c r="C219" s="133" t="s">
        <v>158</v>
      </c>
      <c r="D219" s="107"/>
      <c r="E219" s="107"/>
      <c r="F219" s="107"/>
      <c r="G219" s="107">
        <f>SUM(D219:F219)</f>
        <v>0</v>
      </c>
      <c r="H219" s="107">
        <v>0</v>
      </c>
      <c r="I219" s="107">
        <f aca="true" t="shared" si="65" ref="I219:I227">G219+H219</f>
        <v>0</v>
      </c>
    </row>
    <row r="220" spans="2:9" ht="12.75">
      <c r="B220" s="13">
        <v>551</v>
      </c>
      <c r="C220" s="133" t="s">
        <v>159</v>
      </c>
      <c r="D220" s="107"/>
      <c r="E220" s="107"/>
      <c r="F220" s="107"/>
      <c r="G220" s="107">
        <f aca="true" t="shared" si="66" ref="G220:G227">SUM(D220:F220)</f>
        <v>0</v>
      </c>
      <c r="H220" s="107">
        <v>0</v>
      </c>
      <c r="I220" s="107">
        <f t="shared" si="65"/>
        <v>0</v>
      </c>
    </row>
    <row r="221" spans="2:9" ht="12.75">
      <c r="B221" s="13">
        <v>552</v>
      </c>
      <c r="C221" s="133" t="s">
        <v>160</v>
      </c>
      <c r="D221" s="107"/>
      <c r="E221" s="107"/>
      <c r="F221" s="107"/>
      <c r="G221" s="107">
        <f t="shared" si="66"/>
        <v>0</v>
      </c>
      <c r="H221" s="107">
        <v>0</v>
      </c>
      <c r="I221" s="107">
        <f t="shared" si="65"/>
        <v>0</v>
      </c>
    </row>
    <row r="222" spans="2:9" ht="12.75">
      <c r="B222" s="13">
        <v>553</v>
      </c>
      <c r="C222" s="133" t="s">
        <v>161</v>
      </c>
      <c r="D222" s="107"/>
      <c r="E222" s="107"/>
      <c r="F222" s="107"/>
      <c r="G222" s="107">
        <f t="shared" si="66"/>
        <v>0</v>
      </c>
      <c r="H222" s="107">
        <v>0</v>
      </c>
      <c r="I222" s="107">
        <f t="shared" si="65"/>
        <v>0</v>
      </c>
    </row>
    <row r="223" spans="2:9" ht="12.75">
      <c r="B223" s="13">
        <v>554</v>
      </c>
      <c r="C223" s="133" t="s">
        <v>162</v>
      </c>
      <c r="D223" s="107"/>
      <c r="E223" s="107"/>
      <c r="F223" s="107"/>
      <c r="G223" s="107">
        <f t="shared" si="66"/>
        <v>0</v>
      </c>
      <c r="H223" s="107">
        <v>40000</v>
      </c>
      <c r="I223" s="107">
        <f t="shared" si="65"/>
        <v>40000</v>
      </c>
    </row>
    <row r="224" spans="2:9" ht="12.75">
      <c r="B224" s="13">
        <v>555</v>
      </c>
      <c r="C224" s="133" t="s">
        <v>164</v>
      </c>
      <c r="D224" s="107"/>
      <c r="E224" s="107"/>
      <c r="F224" s="107"/>
      <c r="G224" s="107">
        <f t="shared" si="66"/>
        <v>0</v>
      </c>
      <c r="H224" s="107">
        <v>0</v>
      </c>
      <c r="I224" s="107">
        <f t="shared" si="65"/>
        <v>0</v>
      </c>
    </row>
    <row r="225" spans="2:9" ht="12.75">
      <c r="B225" s="13">
        <v>556</v>
      </c>
      <c r="C225" s="133" t="s">
        <v>163</v>
      </c>
      <c r="D225" s="107"/>
      <c r="E225" s="107"/>
      <c r="F225" s="107"/>
      <c r="G225" s="107">
        <f t="shared" si="66"/>
        <v>0</v>
      </c>
      <c r="H225" s="107">
        <v>0</v>
      </c>
      <c r="I225" s="107">
        <f t="shared" si="65"/>
        <v>0</v>
      </c>
    </row>
    <row r="226" spans="2:9" ht="12.75">
      <c r="B226" s="13">
        <v>557</v>
      </c>
      <c r="C226" s="133" t="s">
        <v>165</v>
      </c>
      <c r="D226" s="107"/>
      <c r="E226" s="107"/>
      <c r="F226" s="107"/>
      <c r="G226" s="107">
        <f t="shared" si="66"/>
        <v>0</v>
      </c>
      <c r="H226" s="107">
        <v>0</v>
      </c>
      <c r="I226" s="107">
        <f t="shared" si="65"/>
        <v>0</v>
      </c>
    </row>
    <row r="227" spans="2:9" ht="12.75">
      <c r="B227" s="13">
        <v>558</v>
      </c>
      <c r="C227" s="133" t="s">
        <v>166</v>
      </c>
      <c r="D227" s="107"/>
      <c r="E227" s="107"/>
      <c r="F227" s="107"/>
      <c r="G227" s="107">
        <f t="shared" si="66"/>
        <v>0</v>
      </c>
      <c r="H227" s="107">
        <v>0</v>
      </c>
      <c r="I227" s="107">
        <f t="shared" si="65"/>
        <v>0</v>
      </c>
    </row>
    <row r="228" spans="2:9" ht="12.75">
      <c r="B228" s="100">
        <v>55</v>
      </c>
      <c r="C228" s="135" t="s">
        <v>167</v>
      </c>
      <c r="D228" s="98">
        <f aca="true" t="shared" si="67" ref="D228:I228">SUM(D219:D227)</f>
        <v>0</v>
      </c>
      <c r="E228" s="98">
        <f t="shared" si="67"/>
        <v>0</v>
      </c>
      <c r="F228" s="98">
        <f t="shared" si="67"/>
        <v>0</v>
      </c>
      <c r="G228" s="98">
        <f t="shared" si="67"/>
        <v>0</v>
      </c>
      <c r="H228" s="98">
        <f t="shared" si="67"/>
        <v>40000</v>
      </c>
      <c r="I228" s="98">
        <f t="shared" si="67"/>
        <v>40000</v>
      </c>
    </row>
    <row r="229" spans="2:9" ht="12.75">
      <c r="B229" s="13">
        <v>560</v>
      </c>
      <c r="C229" s="133" t="s">
        <v>158</v>
      </c>
      <c r="D229" s="107"/>
      <c r="E229" s="107">
        <v>0</v>
      </c>
      <c r="F229" s="107"/>
      <c r="G229" s="107">
        <f>SUM(D229:F229)</f>
        <v>0</v>
      </c>
      <c r="H229" s="107">
        <v>0</v>
      </c>
      <c r="I229" s="107">
        <f aca="true" t="shared" si="68" ref="I229:I237">G229+H229</f>
        <v>0</v>
      </c>
    </row>
    <row r="230" spans="2:9" ht="12.75">
      <c r="B230" s="13">
        <v>561</v>
      </c>
      <c r="C230" s="133" t="s">
        <v>159</v>
      </c>
      <c r="D230" s="107">
        <f>171507.95</f>
        <v>171507.95</v>
      </c>
      <c r="E230" s="107">
        <v>51311.9</v>
      </c>
      <c r="F230" s="107">
        <v>406378.4</v>
      </c>
      <c r="G230" s="107">
        <f aca="true" t="shared" si="69" ref="G230:G237">SUM(D230:F230)</f>
        <v>629198.25</v>
      </c>
      <c r="H230" s="107">
        <v>3242223</v>
      </c>
      <c r="I230" s="107">
        <f t="shared" si="68"/>
        <v>3871421.25</v>
      </c>
    </row>
    <row r="231" spans="2:9" ht="12.75">
      <c r="B231" s="13">
        <v>562</v>
      </c>
      <c r="C231" s="133" t="s">
        <v>160</v>
      </c>
      <c r="D231" s="107"/>
      <c r="E231" s="107">
        <v>0</v>
      </c>
      <c r="F231" s="107"/>
      <c r="G231" s="107">
        <f t="shared" si="69"/>
        <v>0</v>
      </c>
      <c r="H231" s="107">
        <v>6831786</v>
      </c>
      <c r="I231" s="107">
        <f t="shared" si="68"/>
        <v>6831786</v>
      </c>
    </row>
    <row r="232" spans="2:9" ht="12.75">
      <c r="B232" s="13">
        <v>563</v>
      </c>
      <c r="C232" s="133" t="s">
        <v>161</v>
      </c>
      <c r="D232" s="107"/>
      <c r="E232" s="107">
        <v>0</v>
      </c>
      <c r="F232" s="107"/>
      <c r="G232" s="107">
        <f t="shared" si="69"/>
        <v>0</v>
      </c>
      <c r="H232" s="107">
        <v>0</v>
      </c>
      <c r="I232" s="107">
        <f t="shared" si="68"/>
        <v>0</v>
      </c>
    </row>
    <row r="233" spans="2:9" ht="12.75">
      <c r="B233" s="13">
        <v>564</v>
      </c>
      <c r="C233" s="133" t="s">
        <v>162</v>
      </c>
      <c r="D233" s="107"/>
      <c r="E233" s="107">
        <v>0</v>
      </c>
      <c r="F233" s="107"/>
      <c r="G233" s="107">
        <f t="shared" si="69"/>
        <v>0</v>
      </c>
      <c r="H233" s="107">
        <v>505504</v>
      </c>
      <c r="I233" s="107">
        <f t="shared" si="68"/>
        <v>505504</v>
      </c>
    </row>
    <row r="234" spans="2:9" ht="12.75">
      <c r="B234" s="13">
        <v>565</v>
      </c>
      <c r="C234" s="133" t="s">
        <v>164</v>
      </c>
      <c r="D234" s="107"/>
      <c r="E234" s="107">
        <v>0</v>
      </c>
      <c r="F234" s="107"/>
      <c r="G234" s="107">
        <f t="shared" si="69"/>
        <v>0</v>
      </c>
      <c r="H234" s="107">
        <v>133544</v>
      </c>
      <c r="I234" s="107">
        <f t="shared" si="68"/>
        <v>133544</v>
      </c>
    </row>
    <row r="235" spans="2:9" ht="12.75">
      <c r="B235" s="13">
        <v>566</v>
      </c>
      <c r="C235" s="133" t="s">
        <v>163</v>
      </c>
      <c r="D235" s="107"/>
      <c r="E235" s="107">
        <v>0</v>
      </c>
      <c r="F235" s="107"/>
      <c r="G235" s="107">
        <f t="shared" si="69"/>
        <v>0</v>
      </c>
      <c r="H235" s="107">
        <v>2211206</v>
      </c>
      <c r="I235" s="107">
        <f t="shared" si="68"/>
        <v>2211206</v>
      </c>
    </row>
    <row r="236" spans="2:9" ht="12.75">
      <c r="B236" s="13">
        <v>567</v>
      </c>
      <c r="C236" s="133" t="s">
        <v>165</v>
      </c>
      <c r="D236" s="107"/>
      <c r="E236" s="107">
        <v>0</v>
      </c>
      <c r="F236" s="107"/>
      <c r="G236" s="107">
        <f t="shared" si="69"/>
        <v>0</v>
      </c>
      <c r="H236" s="107">
        <v>693544</v>
      </c>
      <c r="I236" s="107">
        <f t="shared" si="68"/>
        <v>693544</v>
      </c>
    </row>
    <row r="237" spans="2:9" ht="12.75">
      <c r="B237" s="13">
        <v>568</v>
      </c>
      <c r="C237" s="133" t="s">
        <v>166</v>
      </c>
      <c r="D237" s="107"/>
      <c r="E237" s="107">
        <v>0</v>
      </c>
      <c r="F237" s="107"/>
      <c r="G237" s="107">
        <f t="shared" si="69"/>
        <v>0</v>
      </c>
      <c r="H237" s="107">
        <v>0</v>
      </c>
      <c r="I237" s="107">
        <f t="shared" si="68"/>
        <v>0</v>
      </c>
    </row>
    <row r="238" spans="2:9" ht="12.75">
      <c r="B238" s="100">
        <v>56</v>
      </c>
      <c r="C238" s="135" t="s">
        <v>168</v>
      </c>
      <c r="D238" s="98">
        <f aca="true" t="shared" si="70" ref="D238:I238">SUM(D229:D237)</f>
        <v>171507.95</v>
      </c>
      <c r="E238" s="98">
        <f t="shared" si="70"/>
        <v>51311.9</v>
      </c>
      <c r="F238" s="98">
        <f t="shared" si="70"/>
        <v>406378.4</v>
      </c>
      <c r="G238" s="98">
        <f t="shared" si="70"/>
        <v>629198.25</v>
      </c>
      <c r="H238" s="98">
        <f t="shared" si="70"/>
        <v>13617807</v>
      </c>
      <c r="I238" s="98">
        <f t="shared" si="70"/>
        <v>14247005.25</v>
      </c>
    </row>
    <row r="239" spans="2:9" ht="12.75">
      <c r="B239" s="13">
        <v>570</v>
      </c>
      <c r="C239" s="133" t="s">
        <v>158</v>
      </c>
      <c r="D239" s="107"/>
      <c r="E239" s="107"/>
      <c r="F239" s="107"/>
      <c r="G239" s="107">
        <f>SUM(D239:F239)</f>
        <v>0</v>
      </c>
      <c r="H239" s="107">
        <v>0</v>
      </c>
      <c r="I239" s="107">
        <f aca="true" t="shared" si="71" ref="I239:I247">G239+H239</f>
        <v>0</v>
      </c>
    </row>
    <row r="240" spans="2:9" ht="12.75">
      <c r="B240" s="13">
        <v>571</v>
      </c>
      <c r="C240" s="133" t="s">
        <v>159</v>
      </c>
      <c r="D240" s="107"/>
      <c r="E240" s="107"/>
      <c r="F240" s="107"/>
      <c r="G240" s="107">
        <f aca="true" t="shared" si="72" ref="G240:G247">SUM(D240:F240)</f>
        <v>0</v>
      </c>
      <c r="H240" s="107">
        <v>0</v>
      </c>
      <c r="I240" s="107">
        <f t="shared" si="71"/>
        <v>0</v>
      </c>
    </row>
    <row r="241" spans="2:9" ht="12.75">
      <c r="B241" s="13">
        <v>572</v>
      </c>
      <c r="C241" s="133" t="s">
        <v>160</v>
      </c>
      <c r="D241" s="107"/>
      <c r="E241" s="107"/>
      <c r="F241" s="107"/>
      <c r="G241" s="107">
        <f t="shared" si="72"/>
        <v>0</v>
      </c>
      <c r="H241" s="107">
        <v>3322449</v>
      </c>
      <c r="I241" s="107">
        <f t="shared" si="71"/>
        <v>3322449</v>
      </c>
    </row>
    <row r="242" spans="2:9" ht="12.75">
      <c r="B242" s="13">
        <v>573</v>
      </c>
      <c r="C242" s="133" t="s">
        <v>161</v>
      </c>
      <c r="D242" s="107"/>
      <c r="E242" s="107"/>
      <c r="F242" s="107"/>
      <c r="G242" s="107">
        <f t="shared" si="72"/>
        <v>0</v>
      </c>
      <c r="H242" s="107">
        <v>0</v>
      </c>
      <c r="I242" s="107">
        <f t="shared" si="71"/>
        <v>0</v>
      </c>
    </row>
    <row r="243" spans="2:9" ht="12.75">
      <c r="B243" s="13">
        <v>574</v>
      </c>
      <c r="C243" s="133" t="s">
        <v>162</v>
      </c>
      <c r="D243" s="107"/>
      <c r="E243" s="107"/>
      <c r="F243" s="107"/>
      <c r="G243" s="107">
        <f t="shared" si="72"/>
        <v>0</v>
      </c>
      <c r="H243" s="107">
        <v>0</v>
      </c>
      <c r="I243" s="107">
        <f t="shared" si="71"/>
        <v>0</v>
      </c>
    </row>
    <row r="244" spans="2:9" ht="12.75">
      <c r="B244" s="13">
        <v>575</v>
      </c>
      <c r="C244" s="133" t="s">
        <v>164</v>
      </c>
      <c r="D244" s="107"/>
      <c r="E244" s="107"/>
      <c r="F244" s="107"/>
      <c r="G244" s="107">
        <f t="shared" si="72"/>
        <v>0</v>
      </c>
      <c r="H244" s="107">
        <v>0</v>
      </c>
      <c r="I244" s="107">
        <f t="shared" si="71"/>
        <v>0</v>
      </c>
    </row>
    <row r="245" spans="2:9" ht="12.75">
      <c r="B245" s="13">
        <v>576</v>
      </c>
      <c r="C245" s="133" t="s">
        <v>163</v>
      </c>
      <c r="D245" s="107"/>
      <c r="E245" s="107"/>
      <c r="F245" s="107"/>
      <c r="G245" s="107">
        <f t="shared" si="72"/>
        <v>0</v>
      </c>
      <c r="H245" s="107">
        <v>0</v>
      </c>
      <c r="I245" s="107">
        <f t="shared" si="71"/>
        <v>0</v>
      </c>
    </row>
    <row r="246" spans="2:9" ht="12.75">
      <c r="B246" s="13">
        <v>577</v>
      </c>
      <c r="C246" s="133" t="s">
        <v>165</v>
      </c>
      <c r="D246" s="107"/>
      <c r="E246" s="107"/>
      <c r="F246" s="107"/>
      <c r="G246" s="107">
        <f t="shared" si="72"/>
        <v>0</v>
      </c>
      <c r="H246" s="107">
        <v>284889</v>
      </c>
      <c r="I246" s="107">
        <f t="shared" si="71"/>
        <v>284889</v>
      </c>
    </row>
    <row r="247" spans="2:9" ht="12.75">
      <c r="B247" s="13">
        <v>578</v>
      </c>
      <c r="C247" s="133" t="s">
        <v>166</v>
      </c>
      <c r="D247" s="107"/>
      <c r="E247" s="107"/>
      <c r="F247" s="107"/>
      <c r="G247" s="107">
        <f t="shared" si="72"/>
        <v>0</v>
      </c>
      <c r="H247" s="107">
        <v>0</v>
      </c>
      <c r="I247" s="107">
        <f t="shared" si="71"/>
        <v>0</v>
      </c>
    </row>
    <row r="248" spans="2:9" ht="12.75">
      <c r="B248" s="100">
        <v>57</v>
      </c>
      <c r="C248" s="135" t="s">
        <v>169</v>
      </c>
      <c r="D248" s="98">
        <f aca="true" t="shared" si="73" ref="D248:I248">SUM(D239:D247)</f>
        <v>0</v>
      </c>
      <c r="E248" s="98">
        <f t="shared" si="73"/>
        <v>0</v>
      </c>
      <c r="F248" s="98">
        <f t="shared" si="73"/>
        <v>0</v>
      </c>
      <c r="G248" s="98">
        <f t="shared" si="73"/>
        <v>0</v>
      </c>
      <c r="H248" s="98">
        <f t="shared" si="73"/>
        <v>3607338</v>
      </c>
      <c r="I248" s="98">
        <f t="shared" si="73"/>
        <v>3607338</v>
      </c>
    </row>
    <row r="249" spans="2:9" ht="12.75">
      <c r="B249" s="13">
        <v>580</v>
      </c>
      <c r="C249" s="133" t="s">
        <v>925</v>
      </c>
      <c r="D249" s="107"/>
      <c r="E249" s="107"/>
      <c r="F249" s="107"/>
      <c r="G249" s="107">
        <f aca="true" t="shared" si="74" ref="G249:G254">SUM(D249:F249)</f>
        <v>0</v>
      </c>
      <c r="H249" s="107"/>
      <c r="I249" s="107">
        <f>G249+H249</f>
        <v>0</v>
      </c>
    </row>
    <row r="250" spans="2:9" ht="12.75">
      <c r="B250" s="13">
        <v>582</v>
      </c>
      <c r="C250" s="133" t="s">
        <v>926</v>
      </c>
      <c r="D250" s="107"/>
      <c r="E250" s="107"/>
      <c r="F250" s="107"/>
      <c r="G250" s="107">
        <f t="shared" si="74"/>
        <v>0</v>
      </c>
      <c r="H250" s="107"/>
      <c r="I250" s="107">
        <f>G250+H250</f>
        <v>0</v>
      </c>
    </row>
    <row r="251" spans="2:9" ht="12.75">
      <c r="B251" s="13">
        <v>584</v>
      </c>
      <c r="C251" s="133" t="s">
        <v>927</v>
      </c>
      <c r="D251" s="107"/>
      <c r="E251" s="107"/>
      <c r="F251" s="107"/>
      <c r="G251" s="107">
        <f t="shared" si="74"/>
        <v>0</v>
      </c>
      <c r="H251" s="107"/>
      <c r="I251" s="107">
        <f>G251+H251</f>
        <v>0</v>
      </c>
    </row>
    <row r="252" spans="2:9" ht="12.75">
      <c r="B252" s="13">
        <v>585</v>
      </c>
      <c r="C252" s="133" t="s">
        <v>929</v>
      </c>
      <c r="D252" s="107"/>
      <c r="E252" s="107"/>
      <c r="F252" s="107"/>
      <c r="G252" s="107">
        <f t="shared" si="74"/>
        <v>0</v>
      </c>
      <c r="H252" s="107"/>
      <c r="I252" s="107">
        <f>G252+H252</f>
        <v>0</v>
      </c>
    </row>
    <row r="253" spans="2:9" ht="12.75">
      <c r="B253" s="13">
        <v>586</v>
      </c>
      <c r="C253" s="133" t="s">
        <v>928</v>
      </c>
      <c r="D253" s="107"/>
      <c r="E253" s="107"/>
      <c r="F253" s="107"/>
      <c r="G253" s="107">
        <f t="shared" si="74"/>
        <v>0</v>
      </c>
      <c r="H253" s="107"/>
      <c r="I253" s="107">
        <f>G253+H253</f>
        <v>0</v>
      </c>
    </row>
    <row r="254" spans="2:9" ht="12.75">
      <c r="B254" s="13">
        <v>589</v>
      </c>
      <c r="C254" s="133" t="s">
        <v>170</v>
      </c>
      <c r="D254" s="107"/>
      <c r="E254" s="107"/>
      <c r="F254" s="107"/>
      <c r="G254" s="107">
        <f t="shared" si="74"/>
        <v>0</v>
      </c>
      <c r="H254" s="107"/>
      <c r="I254" s="107"/>
    </row>
    <row r="255" spans="2:9" ht="12.75">
      <c r="B255" s="100">
        <v>58</v>
      </c>
      <c r="C255" s="135" t="s">
        <v>171</v>
      </c>
      <c r="D255" s="98">
        <f aca="true" t="shared" si="75" ref="D255:I255">SUM(D249:D254)</f>
        <v>0</v>
      </c>
      <c r="E255" s="98">
        <f t="shared" si="75"/>
        <v>0</v>
      </c>
      <c r="F255" s="98">
        <f t="shared" si="75"/>
        <v>0</v>
      </c>
      <c r="G255" s="98">
        <f t="shared" si="75"/>
        <v>0</v>
      </c>
      <c r="H255" s="98">
        <f t="shared" si="75"/>
        <v>0</v>
      </c>
      <c r="I255" s="98">
        <f t="shared" si="75"/>
        <v>0</v>
      </c>
    </row>
    <row r="256" spans="2:9" ht="12.75">
      <c r="B256" s="95">
        <v>5</v>
      </c>
      <c r="C256" s="132" t="s">
        <v>172</v>
      </c>
      <c r="D256" s="108">
        <f aca="true" t="shared" si="76" ref="D256:I256">D195+D204+D208+D218+D228+D238+D248+D255</f>
        <v>7651375.350000001</v>
      </c>
      <c r="E256" s="108">
        <f t="shared" si="76"/>
        <v>3407687.9</v>
      </c>
      <c r="F256" s="108">
        <f t="shared" si="76"/>
        <v>5658362.38</v>
      </c>
      <c r="G256" s="108">
        <f t="shared" si="76"/>
        <v>16717425.63</v>
      </c>
      <c r="H256" s="108">
        <f t="shared" si="76"/>
        <v>30140097</v>
      </c>
      <c r="I256" s="108">
        <f t="shared" si="76"/>
        <v>46857522.629999995</v>
      </c>
    </row>
    <row r="257" spans="2:9" ht="12.75">
      <c r="B257" s="104"/>
      <c r="C257" s="140"/>
      <c r="D257" s="113"/>
      <c r="E257" s="113"/>
      <c r="F257" s="113"/>
      <c r="G257" s="113"/>
      <c r="H257" s="113"/>
      <c r="I257" s="113"/>
    </row>
    <row r="258" spans="2:9" ht="12.75">
      <c r="B258" s="95">
        <v>6</v>
      </c>
      <c r="C258" s="132" t="s">
        <v>16</v>
      </c>
      <c r="D258" s="112"/>
      <c r="E258" s="112"/>
      <c r="F258" s="112"/>
      <c r="G258" s="112"/>
      <c r="H258" s="112"/>
      <c r="I258" s="112"/>
    </row>
    <row r="259" spans="2:9" ht="12.75">
      <c r="B259" s="13">
        <v>600</v>
      </c>
      <c r="C259" s="133" t="s">
        <v>174</v>
      </c>
      <c r="D259" s="107"/>
      <c r="E259" s="107"/>
      <c r="F259" s="107"/>
      <c r="G259" s="107">
        <f>SUM(D259:F259)</f>
        <v>0</v>
      </c>
      <c r="H259" s="107"/>
      <c r="I259" s="107">
        <f aca="true" t="shared" si="77" ref="I259:I266">G259+H259</f>
        <v>0</v>
      </c>
    </row>
    <row r="260" spans="2:9" ht="12.75">
      <c r="B260" s="13">
        <v>601</v>
      </c>
      <c r="C260" s="133" t="s">
        <v>175</v>
      </c>
      <c r="D260" s="107"/>
      <c r="E260" s="107"/>
      <c r="F260" s="107"/>
      <c r="G260" s="107">
        <f aca="true" t="shared" si="78" ref="G260:G266">SUM(D260:F260)</f>
        <v>0</v>
      </c>
      <c r="H260" s="107"/>
      <c r="I260" s="107">
        <f t="shared" si="77"/>
        <v>0</v>
      </c>
    </row>
    <row r="261" spans="2:9" ht="12.75">
      <c r="B261" s="13">
        <v>602</v>
      </c>
      <c r="C261" s="133" t="s">
        <v>176</v>
      </c>
      <c r="D261" s="107"/>
      <c r="E261" s="107"/>
      <c r="F261" s="107"/>
      <c r="G261" s="107">
        <f t="shared" si="78"/>
        <v>0</v>
      </c>
      <c r="H261" s="107"/>
      <c r="I261" s="107">
        <f t="shared" si="77"/>
        <v>0</v>
      </c>
    </row>
    <row r="262" spans="2:9" ht="12.75">
      <c r="B262" s="13">
        <v>603</v>
      </c>
      <c r="C262" s="133" t="s">
        <v>177</v>
      </c>
      <c r="D262" s="107"/>
      <c r="E262" s="107"/>
      <c r="F262" s="107"/>
      <c r="G262" s="107">
        <f t="shared" si="78"/>
        <v>0</v>
      </c>
      <c r="H262" s="107"/>
      <c r="I262" s="107">
        <f t="shared" si="77"/>
        <v>0</v>
      </c>
    </row>
    <row r="263" spans="2:9" ht="12.75">
      <c r="B263" s="13">
        <v>604</v>
      </c>
      <c r="C263" s="133" t="s">
        <v>178</v>
      </c>
      <c r="D263" s="107"/>
      <c r="E263" s="107"/>
      <c r="F263" s="107"/>
      <c r="G263" s="107">
        <f t="shared" si="78"/>
        <v>0</v>
      </c>
      <c r="H263" s="107"/>
      <c r="I263" s="107">
        <f t="shared" si="77"/>
        <v>0</v>
      </c>
    </row>
    <row r="264" spans="2:9" ht="12.75">
      <c r="B264" s="13">
        <v>605</v>
      </c>
      <c r="C264" s="133" t="s">
        <v>179</v>
      </c>
      <c r="D264" s="107"/>
      <c r="E264" s="107"/>
      <c r="F264" s="107"/>
      <c r="G264" s="107">
        <f t="shared" si="78"/>
        <v>0</v>
      </c>
      <c r="H264" s="107"/>
      <c r="I264" s="107">
        <f t="shared" si="77"/>
        <v>0</v>
      </c>
    </row>
    <row r="265" spans="2:9" ht="12.75">
      <c r="B265" s="13">
        <v>606</v>
      </c>
      <c r="C265" s="133" t="s">
        <v>180</v>
      </c>
      <c r="D265" s="107"/>
      <c r="E265" s="107"/>
      <c r="F265" s="107"/>
      <c r="G265" s="107">
        <f t="shared" si="78"/>
        <v>0</v>
      </c>
      <c r="H265" s="107"/>
      <c r="I265" s="107">
        <f t="shared" si="77"/>
        <v>0</v>
      </c>
    </row>
    <row r="266" spans="2:9" ht="12.75">
      <c r="B266" s="13">
        <v>609</v>
      </c>
      <c r="C266" s="133" t="s">
        <v>181</v>
      </c>
      <c r="D266" s="107"/>
      <c r="E266" s="107"/>
      <c r="F266" s="107"/>
      <c r="G266" s="107">
        <f t="shared" si="78"/>
        <v>0</v>
      </c>
      <c r="H266" s="107"/>
      <c r="I266" s="107">
        <f t="shared" si="77"/>
        <v>0</v>
      </c>
    </row>
    <row r="267" spans="2:9" ht="12.75">
      <c r="B267" s="100">
        <v>60</v>
      </c>
      <c r="C267" s="135" t="s">
        <v>182</v>
      </c>
      <c r="D267" s="98">
        <f aca="true" t="shared" si="79" ref="D267:I267">SUM(D259:D266)</f>
        <v>0</v>
      </c>
      <c r="E267" s="98">
        <f t="shared" si="79"/>
        <v>0</v>
      </c>
      <c r="F267" s="98">
        <f t="shared" si="79"/>
        <v>0</v>
      </c>
      <c r="G267" s="98">
        <f t="shared" si="79"/>
        <v>0</v>
      </c>
      <c r="H267" s="98">
        <f t="shared" si="79"/>
        <v>0</v>
      </c>
      <c r="I267" s="98">
        <f t="shared" si="79"/>
        <v>0</v>
      </c>
    </row>
    <row r="268" spans="2:9" ht="12.75">
      <c r="B268" s="13">
        <v>610</v>
      </c>
      <c r="C268" s="133" t="s">
        <v>145</v>
      </c>
      <c r="D268" s="107"/>
      <c r="E268" s="107"/>
      <c r="F268" s="107"/>
      <c r="G268" s="107">
        <f>SUM(D268:F268)</f>
        <v>0</v>
      </c>
      <c r="H268" s="107"/>
      <c r="I268" s="107">
        <f aca="true" t="shared" si="80" ref="I268:I275">G268+H268</f>
        <v>0</v>
      </c>
    </row>
    <row r="269" spans="2:9" ht="12.75">
      <c r="B269" s="13">
        <v>611</v>
      </c>
      <c r="C269" s="133" t="s">
        <v>146</v>
      </c>
      <c r="D269" s="107"/>
      <c r="E269" s="107"/>
      <c r="F269" s="107"/>
      <c r="G269" s="107">
        <f aca="true" t="shared" si="81" ref="G269:G275">SUM(D269:F269)</f>
        <v>0</v>
      </c>
      <c r="H269" s="107"/>
      <c r="I269" s="107">
        <f t="shared" si="80"/>
        <v>0</v>
      </c>
    </row>
    <row r="270" spans="2:9" ht="12.75">
      <c r="B270" s="13">
        <v>612</v>
      </c>
      <c r="C270" s="133" t="s">
        <v>147</v>
      </c>
      <c r="D270" s="107"/>
      <c r="E270" s="107"/>
      <c r="F270" s="107"/>
      <c r="G270" s="107">
        <f t="shared" si="81"/>
        <v>0</v>
      </c>
      <c r="H270" s="107"/>
      <c r="I270" s="107">
        <f t="shared" si="80"/>
        <v>0</v>
      </c>
    </row>
    <row r="271" spans="2:9" ht="12.75">
      <c r="B271" s="13">
        <v>613</v>
      </c>
      <c r="C271" s="133" t="s">
        <v>183</v>
      </c>
      <c r="D271" s="107"/>
      <c r="E271" s="107"/>
      <c r="F271" s="107"/>
      <c r="G271" s="107">
        <f t="shared" si="81"/>
        <v>0</v>
      </c>
      <c r="H271" s="107"/>
      <c r="I271" s="107">
        <f t="shared" si="80"/>
        <v>0</v>
      </c>
    </row>
    <row r="272" spans="2:9" ht="12.75">
      <c r="B272" s="13">
        <v>614</v>
      </c>
      <c r="C272" s="133" t="s">
        <v>149</v>
      </c>
      <c r="D272" s="107"/>
      <c r="E272" s="107"/>
      <c r="F272" s="107"/>
      <c r="G272" s="107">
        <f t="shared" si="81"/>
        <v>0</v>
      </c>
      <c r="H272" s="107"/>
      <c r="I272" s="107">
        <f t="shared" si="80"/>
        <v>0</v>
      </c>
    </row>
    <row r="273" spans="2:9" ht="12.75">
      <c r="B273" s="13">
        <v>615</v>
      </c>
      <c r="C273" s="133" t="s">
        <v>150</v>
      </c>
      <c r="D273" s="107"/>
      <c r="E273" s="107"/>
      <c r="F273" s="107"/>
      <c r="G273" s="107">
        <f t="shared" si="81"/>
        <v>0</v>
      </c>
      <c r="H273" s="107"/>
      <c r="I273" s="107">
        <f t="shared" si="80"/>
        <v>0</v>
      </c>
    </row>
    <row r="274" spans="2:9" ht="12.75">
      <c r="B274" s="13">
        <v>616</v>
      </c>
      <c r="C274" s="133" t="s">
        <v>151</v>
      </c>
      <c r="D274" s="107"/>
      <c r="E274" s="107"/>
      <c r="F274" s="107"/>
      <c r="G274" s="107">
        <f t="shared" si="81"/>
        <v>0</v>
      </c>
      <c r="H274" s="107"/>
      <c r="I274" s="107">
        <f t="shared" si="80"/>
        <v>0</v>
      </c>
    </row>
    <row r="275" spans="2:9" ht="12.75">
      <c r="B275" s="13">
        <v>619</v>
      </c>
      <c r="C275" s="133" t="s">
        <v>184</v>
      </c>
      <c r="D275" s="107"/>
      <c r="E275" s="107"/>
      <c r="F275" s="107"/>
      <c r="G275" s="107">
        <f t="shared" si="81"/>
        <v>0</v>
      </c>
      <c r="H275" s="107"/>
      <c r="I275" s="107">
        <f t="shared" si="80"/>
        <v>0</v>
      </c>
    </row>
    <row r="276" spans="2:9" ht="12.75">
      <c r="B276" s="100">
        <v>61</v>
      </c>
      <c r="C276" s="135" t="s">
        <v>112</v>
      </c>
      <c r="D276" s="98">
        <f aca="true" t="shared" si="82" ref="D276:I276">SUM(D268:D275)</f>
        <v>0</v>
      </c>
      <c r="E276" s="98">
        <f t="shared" si="82"/>
        <v>0</v>
      </c>
      <c r="F276" s="98">
        <f t="shared" si="82"/>
        <v>0</v>
      </c>
      <c r="G276" s="98">
        <f t="shared" si="82"/>
        <v>0</v>
      </c>
      <c r="H276" s="98">
        <f t="shared" si="82"/>
        <v>0</v>
      </c>
      <c r="I276" s="98">
        <f t="shared" si="82"/>
        <v>0</v>
      </c>
    </row>
    <row r="277" spans="2:9" ht="12.75">
      <c r="B277" s="13">
        <v>620</v>
      </c>
      <c r="C277" s="133" t="s">
        <v>155</v>
      </c>
      <c r="D277" s="107"/>
      <c r="E277" s="107"/>
      <c r="F277" s="107"/>
      <c r="G277" s="107">
        <f>SUM(D277:F277)</f>
        <v>0</v>
      </c>
      <c r="H277" s="107"/>
      <c r="I277" s="107">
        <f>G277+H277</f>
        <v>0</v>
      </c>
    </row>
    <row r="278" spans="2:9" ht="12.75">
      <c r="B278" s="13">
        <v>621</v>
      </c>
      <c r="C278" s="133" t="s">
        <v>156</v>
      </c>
      <c r="D278" s="107"/>
      <c r="E278" s="107"/>
      <c r="F278" s="107"/>
      <c r="G278" s="107">
        <f>SUM(D278:F278)</f>
        <v>0</v>
      </c>
      <c r="H278" s="107"/>
      <c r="I278" s="107">
        <f>G278+H278</f>
        <v>0</v>
      </c>
    </row>
    <row r="279" spans="2:9" ht="12.75">
      <c r="B279" s="13">
        <v>629</v>
      </c>
      <c r="C279" s="133" t="s">
        <v>157</v>
      </c>
      <c r="D279" s="107"/>
      <c r="E279" s="107"/>
      <c r="F279" s="107"/>
      <c r="G279" s="107">
        <f>SUM(D279:F279)</f>
        <v>0</v>
      </c>
      <c r="H279" s="107"/>
      <c r="I279" s="107">
        <f>G279+H279</f>
        <v>0</v>
      </c>
    </row>
    <row r="280" spans="2:9" ht="12.75">
      <c r="B280" s="100">
        <v>62</v>
      </c>
      <c r="C280" s="135" t="s">
        <v>185</v>
      </c>
      <c r="D280" s="98">
        <f aca="true" t="shared" si="83" ref="D280:I280">SUM(D277:D279)</f>
        <v>0</v>
      </c>
      <c r="E280" s="98">
        <f t="shared" si="83"/>
        <v>0</v>
      </c>
      <c r="F280" s="98">
        <f t="shared" si="83"/>
        <v>0</v>
      </c>
      <c r="G280" s="98">
        <f t="shared" si="83"/>
        <v>0</v>
      </c>
      <c r="H280" s="98">
        <f t="shared" si="83"/>
        <v>0</v>
      </c>
      <c r="I280" s="98">
        <f t="shared" si="83"/>
        <v>0</v>
      </c>
    </row>
    <row r="281" spans="2:9" ht="12.75">
      <c r="B281" s="13">
        <v>630</v>
      </c>
      <c r="C281" s="133" t="s">
        <v>158</v>
      </c>
      <c r="D281" s="107">
        <f>470040.2+127000+450107+52660</f>
        <v>1099807.2</v>
      </c>
      <c r="E281" s="107">
        <v>18180.45</v>
      </c>
      <c r="F281" s="107"/>
      <c r="G281" s="107">
        <f aca="true" t="shared" si="84" ref="G281:G289">SUM(D281:F281)</f>
        <v>1117987.65</v>
      </c>
      <c r="H281" s="107">
        <v>8343276</v>
      </c>
      <c r="I281" s="107">
        <f aca="true" t="shared" si="85" ref="I281:I289">G281+H281</f>
        <v>9461263.65</v>
      </c>
    </row>
    <row r="282" spans="2:9" ht="12.75">
      <c r="B282" s="13">
        <v>631</v>
      </c>
      <c r="C282" s="133" t="s">
        <v>159</v>
      </c>
      <c r="D282" s="107">
        <f>135000+65000+402891.55+109207.8+102694.05+150239.6+116000+398339+26400+3220.7+104652+47880</f>
        <v>1661524.7</v>
      </c>
      <c r="E282" s="107">
        <v>1054983.25</v>
      </c>
      <c r="F282" s="107">
        <v>838405</v>
      </c>
      <c r="G282" s="107">
        <f t="shared" si="84"/>
        <v>3554912.95</v>
      </c>
      <c r="H282" s="107">
        <v>0</v>
      </c>
      <c r="I282" s="107">
        <f t="shared" si="85"/>
        <v>3554912.95</v>
      </c>
    </row>
    <row r="283" spans="2:9" ht="12.75">
      <c r="B283" s="13">
        <v>632</v>
      </c>
      <c r="C283" s="133" t="s">
        <v>160</v>
      </c>
      <c r="D283" s="107"/>
      <c r="E283" s="107">
        <v>0</v>
      </c>
      <c r="F283" s="107"/>
      <c r="G283" s="107">
        <f t="shared" si="84"/>
        <v>0</v>
      </c>
      <c r="H283" s="107">
        <v>220951</v>
      </c>
      <c r="I283" s="107">
        <f t="shared" si="85"/>
        <v>220951</v>
      </c>
    </row>
    <row r="284" spans="2:9" ht="12.75">
      <c r="B284" s="13">
        <v>633</v>
      </c>
      <c r="C284" s="133" t="s">
        <v>161</v>
      </c>
      <c r="D284" s="107"/>
      <c r="E284" s="107">
        <v>0</v>
      </c>
      <c r="F284" s="107"/>
      <c r="G284" s="107">
        <f t="shared" si="84"/>
        <v>0</v>
      </c>
      <c r="H284" s="107">
        <v>0</v>
      </c>
      <c r="I284" s="107">
        <f t="shared" si="85"/>
        <v>0</v>
      </c>
    </row>
    <row r="285" spans="2:9" ht="12.75">
      <c r="B285" s="13">
        <v>634</v>
      </c>
      <c r="C285" s="133" t="s">
        <v>162</v>
      </c>
      <c r="D285" s="107">
        <f>101673+85146</f>
        <v>186819</v>
      </c>
      <c r="E285" s="107">
        <v>0</v>
      </c>
      <c r="F285" s="107">
        <v>464476</v>
      </c>
      <c r="G285" s="107">
        <f t="shared" si="84"/>
        <v>651295</v>
      </c>
      <c r="H285" s="107">
        <v>0</v>
      </c>
      <c r="I285" s="107">
        <f t="shared" si="85"/>
        <v>651295</v>
      </c>
    </row>
    <row r="286" spans="2:9" ht="12.75">
      <c r="B286" s="13">
        <v>635</v>
      </c>
      <c r="C286" s="133" t="s">
        <v>164</v>
      </c>
      <c r="D286" s="107">
        <f>11484+11484</f>
        <v>22968</v>
      </c>
      <c r="E286" s="107">
        <v>75884.1</v>
      </c>
      <c r="F286" s="107">
        <v>935764.4</v>
      </c>
      <c r="G286" s="107">
        <f t="shared" si="84"/>
        <v>1034616.5</v>
      </c>
      <c r="H286" s="107">
        <v>0</v>
      </c>
      <c r="I286" s="107">
        <f t="shared" si="85"/>
        <v>1034616.5</v>
      </c>
    </row>
    <row r="287" spans="2:9" ht="12.75">
      <c r="B287" s="13">
        <v>636</v>
      </c>
      <c r="C287" s="133" t="s">
        <v>163</v>
      </c>
      <c r="D287" s="107"/>
      <c r="E287" s="107">
        <v>0</v>
      </c>
      <c r="F287" s="107">
        <v>0</v>
      </c>
      <c r="G287" s="107">
        <f t="shared" si="84"/>
        <v>0</v>
      </c>
      <c r="H287" s="107">
        <v>0</v>
      </c>
      <c r="I287" s="107">
        <f t="shared" si="85"/>
        <v>0</v>
      </c>
    </row>
    <row r="288" spans="2:9" ht="12.75">
      <c r="B288" s="13">
        <v>637</v>
      </c>
      <c r="C288" s="133" t="s">
        <v>165</v>
      </c>
      <c r="D288" s="107">
        <f>96539+96140.4</f>
        <v>192679.4</v>
      </c>
      <c r="E288" s="107">
        <v>7084.4</v>
      </c>
      <c r="F288" s="107">
        <v>264969.5</v>
      </c>
      <c r="G288" s="107">
        <f t="shared" si="84"/>
        <v>464733.3</v>
      </c>
      <c r="H288" s="107">
        <v>0</v>
      </c>
      <c r="I288" s="107">
        <f t="shared" si="85"/>
        <v>464733.3</v>
      </c>
    </row>
    <row r="289" spans="2:9" ht="12.75">
      <c r="B289" s="13">
        <v>638</v>
      </c>
      <c r="C289" s="133" t="s">
        <v>166</v>
      </c>
      <c r="D289" s="107"/>
      <c r="E289" s="107">
        <v>0</v>
      </c>
      <c r="F289" s="107"/>
      <c r="G289" s="107">
        <f t="shared" si="84"/>
        <v>0</v>
      </c>
      <c r="H289" s="107">
        <v>0</v>
      </c>
      <c r="I289" s="107">
        <f t="shared" si="85"/>
        <v>0</v>
      </c>
    </row>
    <row r="290" spans="2:9" ht="12.75">
      <c r="B290" s="100">
        <v>63</v>
      </c>
      <c r="C290" s="135" t="s">
        <v>186</v>
      </c>
      <c r="D290" s="98">
        <f aca="true" t="shared" si="86" ref="D290:I290">SUM(D281:D289)</f>
        <v>3163798.3</v>
      </c>
      <c r="E290" s="98">
        <f t="shared" si="86"/>
        <v>1156132.2</v>
      </c>
      <c r="F290" s="98">
        <f t="shared" si="86"/>
        <v>2503614.9</v>
      </c>
      <c r="G290" s="98">
        <f t="shared" si="86"/>
        <v>6823545.399999999</v>
      </c>
      <c r="H290" s="98">
        <f t="shared" si="86"/>
        <v>8564227</v>
      </c>
      <c r="I290" s="98">
        <f t="shared" si="86"/>
        <v>15387772.400000002</v>
      </c>
    </row>
    <row r="291" spans="2:9" ht="12.75">
      <c r="B291" s="13">
        <v>640</v>
      </c>
      <c r="C291" s="133" t="s">
        <v>158</v>
      </c>
      <c r="D291" s="107"/>
      <c r="E291" s="107"/>
      <c r="F291" s="107"/>
      <c r="G291" s="107">
        <f>SUM(D291:F291)</f>
        <v>0</v>
      </c>
      <c r="H291" s="107">
        <v>0</v>
      </c>
      <c r="I291" s="107">
        <f aca="true" t="shared" si="87" ref="I291:I299">G291+H291</f>
        <v>0</v>
      </c>
    </row>
    <row r="292" spans="2:9" ht="12.75">
      <c r="B292" s="13">
        <v>641</v>
      </c>
      <c r="C292" s="133" t="s">
        <v>159</v>
      </c>
      <c r="D292" s="107"/>
      <c r="E292" s="107"/>
      <c r="F292" s="107"/>
      <c r="G292" s="107">
        <f aca="true" t="shared" si="88" ref="G292:G299">SUM(D292:F292)</f>
        <v>0</v>
      </c>
      <c r="H292" s="107">
        <v>0</v>
      </c>
      <c r="I292" s="107">
        <f t="shared" si="87"/>
        <v>0</v>
      </c>
    </row>
    <row r="293" spans="2:9" ht="12.75">
      <c r="B293" s="13">
        <v>642</v>
      </c>
      <c r="C293" s="133" t="s">
        <v>160</v>
      </c>
      <c r="D293" s="107"/>
      <c r="E293" s="107"/>
      <c r="F293" s="107"/>
      <c r="G293" s="107">
        <f t="shared" si="88"/>
        <v>0</v>
      </c>
      <c r="H293" s="107">
        <v>90400</v>
      </c>
      <c r="I293" s="107">
        <f t="shared" si="87"/>
        <v>90400</v>
      </c>
    </row>
    <row r="294" spans="2:9" ht="12.75">
      <c r="B294" s="13">
        <v>643</v>
      </c>
      <c r="C294" s="133" t="s">
        <v>161</v>
      </c>
      <c r="D294" s="107"/>
      <c r="E294" s="107"/>
      <c r="F294" s="107"/>
      <c r="G294" s="107">
        <f t="shared" si="88"/>
        <v>0</v>
      </c>
      <c r="H294" s="107">
        <v>0</v>
      </c>
      <c r="I294" s="107">
        <f t="shared" si="87"/>
        <v>0</v>
      </c>
    </row>
    <row r="295" spans="2:9" ht="12.75">
      <c r="B295" s="13">
        <v>644</v>
      </c>
      <c r="C295" s="133" t="s">
        <v>162</v>
      </c>
      <c r="D295" s="107"/>
      <c r="E295" s="107"/>
      <c r="F295" s="107"/>
      <c r="G295" s="107">
        <f t="shared" si="88"/>
        <v>0</v>
      </c>
      <c r="H295" s="107">
        <v>0</v>
      </c>
      <c r="I295" s="107">
        <f t="shared" si="87"/>
        <v>0</v>
      </c>
    </row>
    <row r="296" spans="2:9" ht="12.75">
      <c r="B296" s="13">
        <v>645</v>
      </c>
      <c r="C296" s="133" t="s">
        <v>164</v>
      </c>
      <c r="D296" s="107"/>
      <c r="E296" s="107"/>
      <c r="F296" s="107"/>
      <c r="G296" s="107">
        <f t="shared" si="88"/>
        <v>0</v>
      </c>
      <c r="H296" s="107">
        <v>30400</v>
      </c>
      <c r="I296" s="107">
        <f t="shared" si="87"/>
        <v>30400</v>
      </c>
    </row>
    <row r="297" spans="2:9" ht="12.75">
      <c r="B297" s="13">
        <v>646</v>
      </c>
      <c r="C297" s="133" t="s">
        <v>163</v>
      </c>
      <c r="D297" s="107"/>
      <c r="E297" s="107"/>
      <c r="F297" s="107"/>
      <c r="G297" s="107">
        <f t="shared" si="88"/>
        <v>0</v>
      </c>
      <c r="H297" s="107">
        <v>0</v>
      </c>
      <c r="I297" s="107">
        <f t="shared" si="87"/>
        <v>0</v>
      </c>
    </row>
    <row r="298" spans="2:9" ht="12.75">
      <c r="B298" s="13">
        <v>647</v>
      </c>
      <c r="C298" s="133" t="s">
        <v>165</v>
      </c>
      <c r="D298" s="107"/>
      <c r="E298" s="107"/>
      <c r="F298" s="107"/>
      <c r="G298" s="107">
        <f t="shared" si="88"/>
        <v>0</v>
      </c>
      <c r="H298" s="107">
        <v>162001</v>
      </c>
      <c r="I298" s="107">
        <f t="shared" si="87"/>
        <v>162001</v>
      </c>
    </row>
    <row r="299" spans="2:9" ht="12.75">
      <c r="B299" s="13">
        <v>648</v>
      </c>
      <c r="C299" s="133" t="s">
        <v>166</v>
      </c>
      <c r="D299" s="107"/>
      <c r="E299" s="107"/>
      <c r="F299" s="107"/>
      <c r="G299" s="107">
        <f t="shared" si="88"/>
        <v>0</v>
      </c>
      <c r="H299" s="107">
        <v>0</v>
      </c>
      <c r="I299" s="107">
        <f t="shared" si="87"/>
        <v>0</v>
      </c>
    </row>
    <row r="300" spans="2:9" ht="12.75">
      <c r="B300" s="100">
        <v>64</v>
      </c>
      <c r="C300" s="135" t="s">
        <v>187</v>
      </c>
      <c r="D300" s="98">
        <f aca="true" t="shared" si="89" ref="D300:I300">SUM(D291:D299)</f>
        <v>0</v>
      </c>
      <c r="E300" s="98">
        <f t="shared" si="89"/>
        <v>0</v>
      </c>
      <c r="F300" s="98">
        <f t="shared" si="89"/>
        <v>0</v>
      </c>
      <c r="G300" s="98">
        <f t="shared" si="89"/>
        <v>0</v>
      </c>
      <c r="H300" s="98">
        <f t="shared" si="89"/>
        <v>282801</v>
      </c>
      <c r="I300" s="98">
        <f t="shared" si="89"/>
        <v>282801</v>
      </c>
    </row>
    <row r="301" spans="2:9" ht="12.75">
      <c r="B301" s="13">
        <v>650</v>
      </c>
      <c r="C301" s="133" t="s">
        <v>158</v>
      </c>
      <c r="D301" s="107"/>
      <c r="E301" s="107"/>
      <c r="F301" s="107"/>
      <c r="G301" s="107">
        <f>SUM(D301:F301)</f>
        <v>0</v>
      </c>
      <c r="H301" s="107"/>
      <c r="I301" s="107">
        <f aca="true" t="shared" si="90" ref="I301:I309">G301+H301</f>
        <v>0</v>
      </c>
    </row>
    <row r="302" spans="2:9" ht="12.75">
      <c r="B302" s="13">
        <v>651</v>
      </c>
      <c r="C302" s="133" t="s">
        <v>159</v>
      </c>
      <c r="D302" s="107"/>
      <c r="E302" s="107"/>
      <c r="F302" s="107"/>
      <c r="G302" s="107">
        <f aca="true" t="shared" si="91" ref="G302:G309">SUM(D302:F302)</f>
        <v>0</v>
      </c>
      <c r="H302" s="107"/>
      <c r="I302" s="107">
        <f t="shared" si="90"/>
        <v>0</v>
      </c>
    </row>
    <row r="303" spans="2:9" ht="12.75">
      <c r="B303" s="13">
        <v>652</v>
      </c>
      <c r="C303" s="133" t="s">
        <v>160</v>
      </c>
      <c r="D303" s="107"/>
      <c r="E303" s="107"/>
      <c r="F303" s="107"/>
      <c r="G303" s="107">
        <f t="shared" si="91"/>
        <v>0</v>
      </c>
      <c r="H303" s="107"/>
      <c r="I303" s="107">
        <f t="shared" si="90"/>
        <v>0</v>
      </c>
    </row>
    <row r="304" spans="2:9" ht="12.75">
      <c r="B304" s="13">
        <v>653</v>
      </c>
      <c r="C304" s="133" t="s">
        <v>161</v>
      </c>
      <c r="D304" s="107"/>
      <c r="E304" s="107"/>
      <c r="F304" s="107"/>
      <c r="G304" s="107">
        <f t="shared" si="91"/>
        <v>0</v>
      </c>
      <c r="H304" s="107"/>
      <c r="I304" s="107">
        <f t="shared" si="90"/>
        <v>0</v>
      </c>
    </row>
    <row r="305" spans="2:9" ht="12.75">
      <c r="B305" s="13">
        <v>654</v>
      </c>
      <c r="C305" s="133" t="s">
        <v>162</v>
      </c>
      <c r="D305" s="107"/>
      <c r="E305" s="107"/>
      <c r="F305" s="107"/>
      <c r="G305" s="107">
        <f t="shared" si="91"/>
        <v>0</v>
      </c>
      <c r="H305" s="107"/>
      <c r="I305" s="107">
        <f t="shared" si="90"/>
        <v>0</v>
      </c>
    </row>
    <row r="306" spans="2:9" ht="12.75">
      <c r="B306" s="13">
        <v>655</v>
      </c>
      <c r="C306" s="133" t="s">
        <v>164</v>
      </c>
      <c r="D306" s="107"/>
      <c r="E306" s="107"/>
      <c r="F306" s="107"/>
      <c r="G306" s="107">
        <f t="shared" si="91"/>
        <v>0</v>
      </c>
      <c r="H306" s="107"/>
      <c r="I306" s="107">
        <f t="shared" si="90"/>
        <v>0</v>
      </c>
    </row>
    <row r="307" spans="2:9" ht="12.75">
      <c r="B307" s="13">
        <v>656</v>
      </c>
      <c r="C307" s="133" t="s">
        <v>163</v>
      </c>
      <c r="D307" s="107"/>
      <c r="E307" s="107"/>
      <c r="F307" s="107"/>
      <c r="G307" s="107">
        <f t="shared" si="91"/>
        <v>0</v>
      </c>
      <c r="H307" s="107"/>
      <c r="I307" s="107">
        <f t="shared" si="90"/>
        <v>0</v>
      </c>
    </row>
    <row r="308" spans="2:9" ht="12.75">
      <c r="B308" s="13">
        <v>657</v>
      </c>
      <c r="C308" s="133" t="s">
        <v>165</v>
      </c>
      <c r="D308" s="107"/>
      <c r="E308" s="107"/>
      <c r="F308" s="107"/>
      <c r="G308" s="107">
        <f t="shared" si="91"/>
        <v>0</v>
      </c>
      <c r="H308" s="107"/>
      <c r="I308" s="107">
        <f t="shared" si="90"/>
        <v>0</v>
      </c>
    </row>
    <row r="309" spans="2:9" ht="12.75">
      <c r="B309" s="13">
        <v>658</v>
      </c>
      <c r="C309" s="133" t="s">
        <v>166</v>
      </c>
      <c r="D309" s="107"/>
      <c r="E309" s="107"/>
      <c r="F309" s="107"/>
      <c r="G309" s="107">
        <f t="shared" si="91"/>
        <v>0</v>
      </c>
      <c r="H309" s="107"/>
      <c r="I309" s="107">
        <f t="shared" si="90"/>
        <v>0</v>
      </c>
    </row>
    <row r="310" spans="2:9" ht="12.75">
      <c r="B310" s="100">
        <v>65</v>
      </c>
      <c r="C310" s="135" t="s">
        <v>188</v>
      </c>
      <c r="D310" s="98">
        <f aca="true" t="shared" si="92" ref="D310:I310">SUM(D301:D309)</f>
        <v>0</v>
      </c>
      <c r="E310" s="98">
        <f t="shared" si="92"/>
        <v>0</v>
      </c>
      <c r="F310" s="98">
        <f t="shared" si="92"/>
        <v>0</v>
      </c>
      <c r="G310" s="98">
        <f t="shared" si="92"/>
        <v>0</v>
      </c>
      <c r="H310" s="98">
        <f t="shared" si="92"/>
        <v>0</v>
      </c>
      <c r="I310" s="98">
        <f t="shared" si="92"/>
        <v>0</v>
      </c>
    </row>
    <row r="311" spans="2:9" ht="12.75">
      <c r="B311" s="13">
        <v>660</v>
      </c>
      <c r="C311" s="133" t="s">
        <v>158</v>
      </c>
      <c r="D311" s="107"/>
      <c r="E311" s="107"/>
      <c r="F311" s="107"/>
      <c r="G311" s="107">
        <f>SUM(D311:F311)</f>
        <v>0</v>
      </c>
      <c r="H311" s="107"/>
      <c r="I311" s="107">
        <f aca="true" t="shared" si="93" ref="I311:I319">G311+H311</f>
        <v>0</v>
      </c>
    </row>
    <row r="312" spans="2:9" ht="12.75">
      <c r="B312" s="13">
        <v>661</v>
      </c>
      <c r="C312" s="133" t="s">
        <v>159</v>
      </c>
      <c r="D312" s="107"/>
      <c r="E312" s="107"/>
      <c r="F312" s="107"/>
      <c r="G312" s="107">
        <f aca="true" t="shared" si="94" ref="G312:G319">SUM(D312:F312)</f>
        <v>0</v>
      </c>
      <c r="H312" s="107"/>
      <c r="I312" s="107">
        <f t="shared" si="93"/>
        <v>0</v>
      </c>
    </row>
    <row r="313" spans="2:9" ht="12.75">
      <c r="B313" s="13">
        <v>662</v>
      </c>
      <c r="C313" s="133" t="s">
        <v>160</v>
      </c>
      <c r="D313" s="107"/>
      <c r="E313" s="107"/>
      <c r="F313" s="107"/>
      <c r="G313" s="107">
        <f t="shared" si="94"/>
        <v>0</v>
      </c>
      <c r="H313" s="107"/>
      <c r="I313" s="107">
        <f t="shared" si="93"/>
        <v>0</v>
      </c>
    </row>
    <row r="314" spans="2:9" ht="12.75">
      <c r="B314" s="13">
        <v>663</v>
      </c>
      <c r="C314" s="133" t="s">
        <v>161</v>
      </c>
      <c r="D314" s="107"/>
      <c r="E314" s="107"/>
      <c r="F314" s="107"/>
      <c r="G314" s="107">
        <f t="shared" si="94"/>
        <v>0</v>
      </c>
      <c r="H314" s="107"/>
      <c r="I314" s="107">
        <f t="shared" si="93"/>
        <v>0</v>
      </c>
    </row>
    <row r="315" spans="2:9" ht="12.75">
      <c r="B315" s="13">
        <v>664</v>
      </c>
      <c r="C315" s="133" t="s">
        <v>162</v>
      </c>
      <c r="D315" s="107"/>
      <c r="E315" s="107"/>
      <c r="F315" s="107"/>
      <c r="G315" s="107">
        <f t="shared" si="94"/>
        <v>0</v>
      </c>
      <c r="H315" s="107"/>
      <c r="I315" s="107">
        <f t="shared" si="93"/>
        <v>0</v>
      </c>
    </row>
    <row r="316" spans="2:9" ht="12.75">
      <c r="B316" s="13">
        <v>665</v>
      </c>
      <c r="C316" s="133" t="s">
        <v>164</v>
      </c>
      <c r="D316" s="107"/>
      <c r="E316" s="107"/>
      <c r="F316" s="107"/>
      <c r="G316" s="107">
        <f t="shared" si="94"/>
        <v>0</v>
      </c>
      <c r="H316" s="107"/>
      <c r="I316" s="107">
        <f t="shared" si="93"/>
        <v>0</v>
      </c>
    </row>
    <row r="317" spans="2:9" ht="12.75">
      <c r="B317" s="13">
        <v>666</v>
      </c>
      <c r="C317" s="133" t="s">
        <v>163</v>
      </c>
      <c r="D317" s="107"/>
      <c r="E317" s="107"/>
      <c r="F317" s="107"/>
      <c r="G317" s="107">
        <f t="shared" si="94"/>
        <v>0</v>
      </c>
      <c r="H317" s="107"/>
      <c r="I317" s="107">
        <f t="shared" si="93"/>
        <v>0</v>
      </c>
    </row>
    <row r="318" spans="2:9" ht="12.75">
      <c r="B318" s="13">
        <v>667</v>
      </c>
      <c r="C318" s="133" t="s">
        <v>165</v>
      </c>
      <c r="D318" s="107"/>
      <c r="E318" s="107"/>
      <c r="F318" s="107"/>
      <c r="G318" s="107">
        <f t="shared" si="94"/>
        <v>0</v>
      </c>
      <c r="H318" s="107"/>
      <c r="I318" s="107">
        <f t="shared" si="93"/>
        <v>0</v>
      </c>
    </row>
    <row r="319" spans="2:9" ht="12.75">
      <c r="B319" s="13">
        <v>668</v>
      </c>
      <c r="C319" s="133" t="s">
        <v>166</v>
      </c>
      <c r="D319" s="107"/>
      <c r="E319" s="107"/>
      <c r="F319" s="107"/>
      <c r="G319" s="107">
        <f t="shared" si="94"/>
        <v>0</v>
      </c>
      <c r="H319" s="107"/>
      <c r="I319" s="107">
        <f t="shared" si="93"/>
        <v>0</v>
      </c>
    </row>
    <row r="320" spans="2:9" ht="12.75">
      <c r="B320" s="100">
        <v>66</v>
      </c>
      <c r="C320" s="135" t="s">
        <v>189</v>
      </c>
      <c r="D320" s="98">
        <f aca="true" t="shared" si="95" ref="D320:I320">SUM(D311:D319)</f>
        <v>0</v>
      </c>
      <c r="E320" s="98">
        <f t="shared" si="95"/>
        <v>0</v>
      </c>
      <c r="F320" s="98">
        <f t="shared" si="95"/>
        <v>0</v>
      </c>
      <c r="G320" s="98">
        <f t="shared" si="95"/>
        <v>0</v>
      </c>
      <c r="H320" s="98">
        <f t="shared" si="95"/>
        <v>0</v>
      </c>
      <c r="I320" s="98">
        <f t="shared" si="95"/>
        <v>0</v>
      </c>
    </row>
    <row r="321" spans="2:9" ht="12.75">
      <c r="B321" s="13">
        <v>670</v>
      </c>
      <c r="C321" s="133" t="s">
        <v>158</v>
      </c>
      <c r="D321" s="107"/>
      <c r="E321" s="107"/>
      <c r="F321" s="107"/>
      <c r="G321" s="107">
        <f>SUM(D321:F321)</f>
        <v>0</v>
      </c>
      <c r="H321" s="107">
        <v>3607338</v>
      </c>
      <c r="I321" s="107">
        <f aca="true" t="shared" si="96" ref="I321:I329">G321+H321</f>
        <v>3607338</v>
      </c>
    </row>
    <row r="322" spans="2:9" ht="12.75">
      <c r="B322" s="13">
        <v>671</v>
      </c>
      <c r="C322" s="133" t="s">
        <v>159</v>
      </c>
      <c r="D322" s="107"/>
      <c r="E322" s="107"/>
      <c r="F322" s="107"/>
      <c r="G322" s="107">
        <f aca="true" t="shared" si="97" ref="G322:G329">SUM(D322:F322)</f>
        <v>0</v>
      </c>
      <c r="H322" s="107">
        <v>0</v>
      </c>
      <c r="I322" s="107">
        <f t="shared" si="96"/>
        <v>0</v>
      </c>
    </row>
    <row r="323" spans="2:9" ht="12.75">
      <c r="B323" s="13">
        <v>672</v>
      </c>
      <c r="C323" s="133" t="s">
        <v>160</v>
      </c>
      <c r="D323" s="107"/>
      <c r="E323" s="107"/>
      <c r="F323" s="107"/>
      <c r="G323" s="107">
        <f t="shared" si="97"/>
        <v>0</v>
      </c>
      <c r="H323" s="107">
        <v>0</v>
      </c>
      <c r="I323" s="107">
        <f t="shared" si="96"/>
        <v>0</v>
      </c>
    </row>
    <row r="324" spans="2:9" ht="12.75">
      <c r="B324" s="13">
        <v>673</v>
      </c>
      <c r="C324" s="133" t="s">
        <v>161</v>
      </c>
      <c r="D324" s="107"/>
      <c r="E324" s="107"/>
      <c r="F324" s="107"/>
      <c r="G324" s="107">
        <f t="shared" si="97"/>
        <v>0</v>
      </c>
      <c r="H324" s="107">
        <v>0</v>
      </c>
      <c r="I324" s="107">
        <f t="shared" si="96"/>
        <v>0</v>
      </c>
    </row>
    <row r="325" spans="2:9" ht="12.75">
      <c r="B325" s="13">
        <v>674</v>
      </c>
      <c r="C325" s="133" t="s">
        <v>162</v>
      </c>
      <c r="D325" s="107"/>
      <c r="E325" s="107"/>
      <c r="F325" s="107"/>
      <c r="G325" s="107">
        <f t="shared" si="97"/>
        <v>0</v>
      </c>
      <c r="H325" s="107">
        <v>0</v>
      </c>
      <c r="I325" s="107">
        <f t="shared" si="96"/>
        <v>0</v>
      </c>
    </row>
    <row r="326" spans="2:9" ht="12.75">
      <c r="B326" s="13">
        <v>675</v>
      </c>
      <c r="C326" s="133" t="s">
        <v>164</v>
      </c>
      <c r="D326" s="107"/>
      <c r="E326" s="107"/>
      <c r="F326" s="107"/>
      <c r="G326" s="107">
        <f t="shared" si="97"/>
        <v>0</v>
      </c>
      <c r="H326" s="107">
        <v>0</v>
      </c>
      <c r="I326" s="107">
        <f t="shared" si="96"/>
        <v>0</v>
      </c>
    </row>
    <row r="327" spans="2:9" ht="12.75">
      <c r="B327" s="13">
        <v>676</v>
      </c>
      <c r="C327" s="133" t="s">
        <v>163</v>
      </c>
      <c r="D327" s="107"/>
      <c r="E327" s="107"/>
      <c r="F327" s="107"/>
      <c r="G327" s="107">
        <f t="shared" si="97"/>
        <v>0</v>
      </c>
      <c r="H327" s="107">
        <v>0</v>
      </c>
      <c r="I327" s="107">
        <f t="shared" si="96"/>
        <v>0</v>
      </c>
    </row>
    <row r="328" spans="2:9" ht="12.75">
      <c r="B328" s="13">
        <v>677</v>
      </c>
      <c r="C328" s="133" t="s">
        <v>165</v>
      </c>
      <c r="D328" s="107"/>
      <c r="E328" s="107"/>
      <c r="F328" s="107"/>
      <c r="G328" s="107">
        <f t="shared" si="97"/>
        <v>0</v>
      </c>
      <c r="H328" s="107">
        <v>0</v>
      </c>
      <c r="I328" s="107">
        <f t="shared" si="96"/>
        <v>0</v>
      </c>
    </row>
    <row r="329" spans="2:9" ht="12.75">
      <c r="B329" s="13">
        <v>678</v>
      </c>
      <c r="C329" s="133" t="s">
        <v>166</v>
      </c>
      <c r="D329" s="107"/>
      <c r="E329" s="107"/>
      <c r="F329" s="107"/>
      <c r="G329" s="107">
        <f t="shared" si="97"/>
        <v>0</v>
      </c>
      <c r="H329" s="107">
        <v>0</v>
      </c>
      <c r="I329" s="107">
        <f t="shared" si="96"/>
        <v>0</v>
      </c>
    </row>
    <row r="330" spans="2:9" ht="12.75">
      <c r="B330" s="100">
        <v>67</v>
      </c>
      <c r="C330" s="135" t="s">
        <v>190</v>
      </c>
      <c r="D330" s="98">
        <f aca="true" t="shared" si="98" ref="D330:I330">SUM(D321:D329)</f>
        <v>0</v>
      </c>
      <c r="E330" s="98">
        <f t="shared" si="98"/>
        <v>0</v>
      </c>
      <c r="F330" s="98">
        <f t="shared" si="98"/>
        <v>0</v>
      </c>
      <c r="G330" s="98">
        <f t="shared" si="98"/>
        <v>0</v>
      </c>
      <c r="H330" s="98">
        <f t="shared" si="98"/>
        <v>3607338</v>
      </c>
      <c r="I330" s="98">
        <f t="shared" si="98"/>
        <v>3607338</v>
      </c>
    </row>
    <row r="331" spans="2:9" ht="12.75">
      <c r="B331" s="13">
        <v>680</v>
      </c>
      <c r="C331" s="133" t="s">
        <v>930</v>
      </c>
      <c r="D331" s="107"/>
      <c r="E331" s="107"/>
      <c r="F331" s="107"/>
      <c r="G331" s="107">
        <f>SUM(D331:F331)</f>
        <v>0</v>
      </c>
      <c r="H331" s="107"/>
      <c r="I331" s="107">
        <f aca="true" t="shared" si="99" ref="I331:I337">G331+H331</f>
        <v>0</v>
      </c>
    </row>
    <row r="332" spans="2:9" ht="12.75">
      <c r="B332" s="13">
        <v>682</v>
      </c>
      <c r="C332" s="133" t="s">
        <v>936</v>
      </c>
      <c r="D332" s="107"/>
      <c r="E332" s="107"/>
      <c r="F332" s="107"/>
      <c r="G332" s="107">
        <f aca="true" t="shared" si="100" ref="G332:G337">SUM(D332:F332)</f>
        <v>0</v>
      </c>
      <c r="H332" s="107"/>
      <c r="I332" s="107">
        <f t="shared" si="99"/>
        <v>0</v>
      </c>
    </row>
    <row r="333" spans="2:9" ht="12.75">
      <c r="B333" s="13">
        <v>683</v>
      </c>
      <c r="C333" s="133" t="s">
        <v>931</v>
      </c>
      <c r="D333" s="107"/>
      <c r="E333" s="107"/>
      <c r="F333" s="107"/>
      <c r="G333" s="107">
        <f t="shared" si="100"/>
        <v>0</v>
      </c>
      <c r="H333" s="107"/>
      <c r="I333" s="107">
        <f t="shared" si="99"/>
        <v>0</v>
      </c>
    </row>
    <row r="334" spans="2:9" ht="12.75">
      <c r="B334" s="13">
        <v>684</v>
      </c>
      <c r="C334" s="133" t="s">
        <v>932</v>
      </c>
      <c r="D334" s="107"/>
      <c r="E334" s="107"/>
      <c r="F334" s="107"/>
      <c r="G334" s="107">
        <f t="shared" si="100"/>
        <v>0</v>
      </c>
      <c r="H334" s="107"/>
      <c r="I334" s="107">
        <f t="shared" si="99"/>
        <v>0</v>
      </c>
    </row>
    <row r="335" spans="2:9" ht="12.75">
      <c r="B335" s="13">
        <v>685</v>
      </c>
      <c r="C335" s="133" t="s">
        <v>933</v>
      </c>
      <c r="D335" s="107"/>
      <c r="E335" s="107"/>
      <c r="F335" s="107"/>
      <c r="G335" s="107">
        <f t="shared" si="100"/>
        <v>0</v>
      </c>
      <c r="H335" s="107"/>
      <c r="I335" s="107">
        <f t="shared" si="99"/>
        <v>0</v>
      </c>
    </row>
    <row r="336" spans="2:9" ht="12.75">
      <c r="B336" s="13">
        <v>686</v>
      </c>
      <c r="C336" s="133" t="s">
        <v>934</v>
      </c>
      <c r="D336" s="107"/>
      <c r="E336" s="107"/>
      <c r="F336" s="107"/>
      <c r="G336" s="107">
        <f t="shared" si="100"/>
        <v>0</v>
      </c>
      <c r="H336" s="107"/>
      <c r="I336" s="107">
        <f t="shared" si="99"/>
        <v>0</v>
      </c>
    </row>
    <row r="337" spans="2:9" ht="12.75">
      <c r="B337" s="13">
        <v>689</v>
      </c>
      <c r="C337" s="133" t="s">
        <v>935</v>
      </c>
      <c r="D337" s="107"/>
      <c r="E337" s="107"/>
      <c r="F337" s="107"/>
      <c r="G337" s="107">
        <f t="shared" si="100"/>
        <v>0</v>
      </c>
      <c r="H337" s="107"/>
      <c r="I337" s="107">
        <f t="shared" si="99"/>
        <v>0</v>
      </c>
    </row>
    <row r="338" spans="2:9" ht="12.75">
      <c r="B338" s="100">
        <v>68</v>
      </c>
      <c r="C338" s="135" t="s">
        <v>191</v>
      </c>
      <c r="D338" s="98">
        <f aca="true" t="shared" si="101" ref="D338:I338">SUM(D331:D337)</f>
        <v>0</v>
      </c>
      <c r="E338" s="98">
        <f t="shared" si="101"/>
        <v>0</v>
      </c>
      <c r="F338" s="98">
        <f t="shared" si="101"/>
        <v>0</v>
      </c>
      <c r="G338" s="98">
        <f t="shared" si="101"/>
        <v>0</v>
      </c>
      <c r="H338" s="98">
        <f t="shared" si="101"/>
        <v>0</v>
      </c>
      <c r="I338" s="98">
        <f t="shared" si="101"/>
        <v>0</v>
      </c>
    </row>
    <row r="339" spans="2:9" ht="12.75">
      <c r="B339" s="95">
        <v>6</v>
      </c>
      <c r="C339" s="132" t="s">
        <v>173</v>
      </c>
      <c r="D339" s="108">
        <f aca="true" t="shared" si="102" ref="D339:I339">D267+D276+D280+D290+D300+D310+D320+D330+D338</f>
        <v>3163798.3</v>
      </c>
      <c r="E339" s="108">
        <f t="shared" si="102"/>
        <v>1156132.2</v>
      </c>
      <c r="F339" s="108">
        <f t="shared" si="102"/>
        <v>2503614.9</v>
      </c>
      <c r="G339" s="108">
        <f t="shared" si="102"/>
        <v>6823545.399999999</v>
      </c>
      <c r="H339" s="108">
        <f t="shared" si="102"/>
        <v>12454366</v>
      </c>
      <c r="I339" s="108">
        <f t="shared" si="102"/>
        <v>19277911.400000002</v>
      </c>
    </row>
    <row r="340" spans="2:9" ht="12.75">
      <c r="B340" s="104"/>
      <c r="C340" s="140"/>
      <c r="D340" s="113"/>
      <c r="E340" s="113"/>
      <c r="F340" s="113"/>
      <c r="G340" s="113"/>
      <c r="H340" s="113"/>
      <c r="I340" s="113"/>
    </row>
    <row r="341" spans="2:9" ht="12.75">
      <c r="B341" s="104"/>
      <c r="C341" s="140"/>
      <c r="D341" s="113"/>
      <c r="E341" s="113"/>
      <c r="F341" s="113"/>
      <c r="G341" s="113"/>
      <c r="H341" s="113"/>
      <c r="I341" s="113"/>
    </row>
    <row r="342" spans="2:9" ht="12.75">
      <c r="B342" s="104"/>
      <c r="C342" s="140"/>
      <c r="D342" s="113"/>
      <c r="E342" s="113"/>
      <c r="F342" s="113"/>
      <c r="G342" s="113"/>
      <c r="H342" s="113"/>
      <c r="I342" s="113"/>
    </row>
    <row r="343" spans="2:9" ht="12.75">
      <c r="B343" s="13">
        <v>590</v>
      </c>
      <c r="C343" s="133" t="s">
        <v>192</v>
      </c>
      <c r="D343" s="107">
        <v>3163798.3</v>
      </c>
      <c r="E343" s="107">
        <v>1156132.2</v>
      </c>
      <c r="F343" s="107">
        <v>2503614.9</v>
      </c>
      <c r="G343" s="107">
        <f>SUM(D343:F343)</f>
        <v>6823545.4</v>
      </c>
      <c r="H343" s="107">
        <f>H267+H280+H290+H300+H310+H320+H338</f>
        <v>8847028</v>
      </c>
      <c r="I343" s="107">
        <f>G343+H343</f>
        <v>15670573.4</v>
      </c>
    </row>
    <row r="344" spans="2:9" ht="12.75">
      <c r="B344" s="13">
        <v>690</v>
      </c>
      <c r="C344" s="133" t="s">
        <v>197</v>
      </c>
      <c r="D344" s="107">
        <v>7651375.35</v>
      </c>
      <c r="E344" s="107">
        <v>3407687.9</v>
      </c>
      <c r="F344" s="107">
        <v>5658362.38</v>
      </c>
      <c r="G344" s="107">
        <f>SUM(D344:F344)</f>
        <v>16717425.629999999</v>
      </c>
      <c r="H344" s="107">
        <f>H195+H208+H218+H228+H238+H255</f>
        <v>26532759</v>
      </c>
      <c r="I344" s="107">
        <f>G344+H344</f>
        <v>43250184.629999995</v>
      </c>
    </row>
    <row r="345" spans="2:9" ht="15" customHeight="1" thickBot="1">
      <c r="B345" s="21"/>
      <c r="C345" s="137" t="s">
        <v>6</v>
      </c>
      <c r="D345" s="110">
        <f>IF(D256+D343=D339+D344,D256+D343-D339-D344,Meldungen!A6)</f>
        <v>9.313225746154785E-10</v>
      </c>
      <c r="E345" s="110">
        <f>IF(E256+E343=E339+E344,E256+E343-E339-E344,Meldungen!B6)</f>
        <v>-4.656612873077393E-10</v>
      </c>
      <c r="F345" s="110">
        <f>IF(F256+F343=F339+F344,F256+F343-F339-F344,Meldungen!C6)</f>
        <v>-9.313225746154785E-10</v>
      </c>
      <c r="G345" s="110">
        <f>IF(G256+G343=G339+G344,G256+G343-G339-G344,Meldungen!D6)</f>
        <v>3.725290298461914E-09</v>
      </c>
      <c r="H345" s="110">
        <f>IF(H256+H343=H339+H344,H256+H343-H339-H344,Meldungen!F6)</f>
        <v>0</v>
      </c>
      <c r="I345" s="110">
        <f>IF(I256+I343=I339+I344,I256+I343-I339-I344,Meldungen!G6)</f>
        <v>0</v>
      </c>
    </row>
    <row r="346" spans="2:9" ht="13.5" thickBot="1">
      <c r="B346" s="10"/>
      <c r="C346" s="10"/>
      <c r="D346" s="115"/>
      <c r="E346" s="115"/>
      <c r="F346" s="115"/>
      <c r="G346" s="115"/>
      <c r="H346" s="115"/>
      <c r="I346" s="115"/>
    </row>
    <row r="347" spans="2:9" ht="12.75">
      <c r="B347" s="11"/>
      <c r="C347" s="94" t="s">
        <v>196</v>
      </c>
      <c r="D347" s="116"/>
      <c r="E347" s="116"/>
      <c r="F347" s="116"/>
      <c r="G347" s="116"/>
      <c r="H347" s="116"/>
      <c r="I347" s="116"/>
    </row>
    <row r="348" spans="2:9" ht="12.75">
      <c r="B348" s="13">
        <v>2016</v>
      </c>
      <c r="C348" s="96" t="s">
        <v>201</v>
      </c>
      <c r="D348" s="107"/>
      <c r="E348" s="107"/>
      <c r="F348" s="107"/>
      <c r="G348" s="107">
        <f>SUM(D348:F348)</f>
        <v>0</v>
      </c>
      <c r="H348" s="107"/>
      <c r="I348" s="107"/>
    </row>
    <row r="349" spans="2:9" ht="12.75">
      <c r="B349" s="13">
        <v>4490</v>
      </c>
      <c r="C349" s="96" t="s">
        <v>230</v>
      </c>
      <c r="D349" s="107"/>
      <c r="E349" s="107"/>
      <c r="F349" s="107"/>
      <c r="G349" s="107">
        <f>SUM(D349:F349)</f>
        <v>0</v>
      </c>
      <c r="H349" s="107"/>
      <c r="I349" s="107"/>
    </row>
    <row r="350" spans="2:9" ht="12.75">
      <c r="B350" s="13"/>
      <c r="C350" s="96"/>
      <c r="D350" s="112"/>
      <c r="E350" s="112"/>
      <c r="F350" s="112"/>
      <c r="G350" s="112"/>
      <c r="H350" s="112"/>
      <c r="I350" s="112"/>
    </row>
    <row r="351" spans="2:9" ht="12.75">
      <c r="B351" s="13"/>
      <c r="C351" s="96" t="s">
        <v>945</v>
      </c>
      <c r="D351" s="103">
        <v>9917</v>
      </c>
      <c r="E351" s="103">
        <v>12080</v>
      </c>
      <c r="F351" s="103">
        <v>16451</v>
      </c>
      <c r="G351" s="103">
        <f>SUM(D351:F351)</f>
        <v>38448</v>
      </c>
      <c r="H351" s="103">
        <f>G351</f>
        <v>38448</v>
      </c>
      <c r="I351" s="103">
        <f>H351</f>
        <v>38448</v>
      </c>
    </row>
    <row r="352" spans="2:9" ht="13.5" thickBot="1">
      <c r="B352" s="21"/>
      <c r="C352" s="102" t="s">
        <v>24</v>
      </c>
      <c r="D352" s="117">
        <v>0.6</v>
      </c>
      <c r="E352" s="117">
        <v>0.6</v>
      </c>
      <c r="F352" s="117">
        <v>0.6</v>
      </c>
      <c r="G352" s="117">
        <f>(+D352+E352+F352)/3</f>
        <v>0.6</v>
      </c>
      <c r="H352" s="117">
        <v>0.54</v>
      </c>
      <c r="I352" s="117">
        <f>G352+H352</f>
        <v>1.1400000000000001</v>
      </c>
    </row>
    <row r="353" spans="2:9" ht="12.75">
      <c r="B353" s="10"/>
      <c r="C353" s="10"/>
      <c r="D353" s="10"/>
      <c r="E353" s="10"/>
      <c r="F353" s="10"/>
      <c r="G353" s="10"/>
      <c r="H353" s="10"/>
      <c r="I353" s="10"/>
    </row>
    <row r="354" spans="2:9" ht="13.5" thickBot="1">
      <c r="B354" s="10"/>
      <c r="C354" s="10"/>
      <c r="D354" s="10"/>
      <c r="E354" s="10"/>
      <c r="F354" s="10"/>
      <c r="G354" s="10"/>
      <c r="H354" s="10"/>
      <c r="I354" s="10"/>
    </row>
    <row r="355" spans="2:9" ht="12.75">
      <c r="B355" s="142" t="s">
        <v>943</v>
      </c>
      <c r="C355" s="142"/>
      <c r="D355" s="149"/>
      <c r="E355" s="149"/>
      <c r="F355" s="149"/>
      <c r="G355" s="111"/>
      <c r="H355" s="149"/>
      <c r="I355" s="153"/>
    </row>
    <row r="356" spans="2:9" ht="12.75">
      <c r="B356" s="146" t="s">
        <v>389</v>
      </c>
      <c r="C356" s="132" t="s">
        <v>403</v>
      </c>
      <c r="D356" s="150">
        <f>D357+D360+D371</f>
        <v>4749980.609999999</v>
      </c>
      <c r="E356" s="150">
        <f>E357+E360+E371</f>
        <v>4240807.65</v>
      </c>
      <c r="F356" s="150">
        <f>F357+F360+F371</f>
        <v>5544910.29</v>
      </c>
      <c r="G356" s="150">
        <f>SUM(D356:F356)</f>
        <v>14535698.55</v>
      </c>
      <c r="H356" s="150">
        <f>H357+H360+H371</f>
        <v>23233198.03</v>
      </c>
      <c r="I356" s="154">
        <f>SUM(G356:H356)</f>
        <v>37768896.58</v>
      </c>
    </row>
    <row r="357" spans="2:9" ht="12.75">
      <c r="B357" s="162" t="s">
        <v>390</v>
      </c>
      <c r="C357" s="163" t="s">
        <v>391</v>
      </c>
      <c r="D357" s="164">
        <f>SUM(D358:D359)</f>
        <v>899139.85</v>
      </c>
      <c r="E357" s="164">
        <f>SUM(E358:E359)</f>
        <v>789757.6000000001</v>
      </c>
      <c r="F357" s="164">
        <f>SUM(F358:F359)</f>
        <v>1075488.8</v>
      </c>
      <c r="G357" s="164">
        <f aca="true" t="shared" si="103" ref="G357:G418">SUM(D357:F357)</f>
        <v>2764386.25</v>
      </c>
      <c r="H357" s="164">
        <f>SUM(H358:H359)</f>
        <v>2177075.05</v>
      </c>
      <c r="I357" s="165">
        <f aca="true" t="shared" si="104" ref="I357:I418">SUM(G357:H357)</f>
        <v>4941461.3</v>
      </c>
    </row>
    <row r="358" spans="2:9" ht="12.75">
      <c r="B358" s="147" t="s">
        <v>404</v>
      </c>
      <c r="C358" s="133" t="s">
        <v>405</v>
      </c>
      <c r="D358" s="151">
        <f>148774.35-1504.45</f>
        <v>147269.9</v>
      </c>
      <c r="E358" s="151">
        <f>132262.95-6300</f>
        <v>125962.95000000001</v>
      </c>
      <c r="F358" s="151">
        <f>260599.2</f>
        <v>260599.2</v>
      </c>
      <c r="G358" s="151">
        <f t="shared" si="103"/>
        <v>533832.05</v>
      </c>
      <c r="H358" s="151">
        <f>627280.2-25350</f>
        <v>601930.2</v>
      </c>
      <c r="I358" s="155">
        <f t="shared" si="104"/>
        <v>1135762.25</v>
      </c>
    </row>
    <row r="359" spans="2:9" ht="12.75">
      <c r="B359" s="147" t="s">
        <v>406</v>
      </c>
      <c r="C359" s="133" t="s">
        <v>407</v>
      </c>
      <c r="D359" s="151">
        <f>763869.95-12000</f>
        <v>751869.95</v>
      </c>
      <c r="E359" s="151">
        <v>663794.65</v>
      </c>
      <c r="F359" s="151">
        <f>832972.15-18082.55</f>
        <v>814889.6</v>
      </c>
      <c r="G359" s="151">
        <f t="shared" si="103"/>
        <v>2230554.2</v>
      </c>
      <c r="H359" s="151">
        <f>1624449.25-49304.4</f>
        <v>1575144.85</v>
      </c>
      <c r="I359" s="155">
        <f t="shared" si="104"/>
        <v>3805699.0500000003</v>
      </c>
    </row>
    <row r="360" spans="2:9" ht="12.75">
      <c r="B360" s="162" t="s">
        <v>392</v>
      </c>
      <c r="C360" s="163" t="s">
        <v>393</v>
      </c>
      <c r="D360" s="164">
        <f>SUM(D361:D364)</f>
        <v>3850840.76</v>
      </c>
      <c r="E360" s="164">
        <f>SUM(E361:E364)</f>
        <v>3451050.05</v>
      </c>
      <c r="F360" s="164">
        <f>SUM(F361:F364)</f>
        <v>4469421.49</v>
      </c>
      <c r="G360" s="164">
        <f t="shared" si="103"/>
        <v>11771312.3</v>
      </c>
      <c r="H360" s="164">
        <f>SUM(H361:H364)</f>
        <v>21056122.98</v>
      </c>
      <c r="I360" s="165">
        <f t="shared" si="104"/>
        <v>32827435.28</v>
      </c>
    </row>
    <row r="361" spans="2:9" ht="12.75">
      <c r="B361" s="147" t="s">
        <v>408</v>
      </c>
      <c r="C361" s="133" t="s">
        <v>409</v>
      </c>
      <c r="D361" s="151">
        <f>1059662.71-7041.85</f>
        <v>1052620.8599999999</v>
      </c>
      <c r="E361" s="151">
        <f>611563.37-59923.95</f>
        <v>551639.42</v>
      </c>
      <c r="F361" s="151">
        <f>694448.37-176460.5</f>
        <v>517987.87</v>
      </c>
      <c r="G361" s="151">
        <f t="shared" si="103"/>
        <v>2122248.15</v>
      </c>
      <c r="H361" s="151">
        <f>4326782.27-421135.15</f>
        <v>3905647.1199999996</v>
      </c>
      <c r="I361" s="155">
        <f t="shared" si="104"/>
        <v>6027895.27</v>
      </c>
    </row>
    <row r="362" spans="2:9" ht="12.75">
      <c r="B362" s="147" t="s">
        <v>410</v>
      </c>
      <c r="C362" s="133" t="s">
        <v>411</v>
      </c>
      <c r="D362" s="151">
        <f>2323070.4-275245.6</f>
        <v>2047824.7999999998</v>
      </c>
      <c r="E362" s="151">
        <f>2415142.2-200166.95</f>
        <v>2214975.25</v>
      </c>
      <c r="F362" s="151">
        <f>4267990.85-1797974.6</f>
        <v>2470016.2499999995</v>
      </c>
      <c r="G362" s="151">
        <f t="shared" si="103"/>
        <v>6732816.299999999</v>
      </c>
      <c r="H362" s="151">
        <f>20088354.83-5012714.38</f>
        <v>15075640.45</v>
      </c>
      <c r="I362" s="155">
        <f t="shared" si="104"/>
        <v>21808456.75</v>
      </c>
    </row>
    <row r="363" spans="2:9" ht="12.75">
      <c r="B363" s="147" t="s">
        <v>412</v>
      </c>
      <c r="C363" s="133" t="s">
        <v>413</v>
      </c>
      <c r="D363" s="151"/>
      <c r="E363" s="151"/>
      <c r="F363" s="151"/>
      <c r="G363" s="151">
        <f t="shared" si="103"/>
        <v>0</v>
      </c>
      <c r="H363" s="151"/>
      <c r="I363" s="155">
        <f t="shared" si="104"/>
        <v>0</v>
      </c>
    </row>
    <row r="364" spans="2:9" ht="12.75">
      <c r="B364" s="147" t="s">
        <v>414</v>
      </c>
      <c r="C364" s="133" t="s">
        <v>415</v>
      </c>
      <c r="D364" s="151">
        <f>1029204.25-278809.15</f>
        <v>750395.1</v>
      </c>
      <c r="E364" s="151">
        <f>871215.38-186780</f>
        <v>684435.38</v>
      </c>
      <c r="F364" s="151">
        <f>1799638.73-318221.36</f>
        <v>1481417.37</v>
      </c>
      <c r="G364" s="151">
        <f t="shared" si="103"/>
        <v>2916247.85</v>
      </c>
      <c r="H364" s="151">
        <v>2074835.41</v>
      </c>
      <c r="I364" s="155">
        <f t="shared" si="104"/>
        <v>4991083.26</v>
      </c>
    </row>
    <row r="365" spans="2:9" ht="12.75">
      <c r="B365" s="162" t="s">
        <v>394</v>
      </c>
      <c r="C365" s="163" t="s">
        <v>416</v>
      </c>
      <c r="D365" s="164">
        <f>SUM(D366:D370)</f>
        <v>0</v>
      </c>
      <c r="E365" s="164">
        <f>SUM(E366:E370)</f>
        <v>0</v>
      </c>
      <c r="F365" s="164">
        <f>SUM(F366:F370)</f>
        <v>0</v>
      </c>
      <c r="G365" s="164">
        <f t="shared" si="103"/>
        <v>0</v>
      </c>
      <c r="H365" s="164">
        <f>SUM(H366:H370)</f>
        <v>0</v>
      </c>
      <c r="I365" s="165">
        <f t="shared" si="104"/>
        <v>0</v>
      </c>
    </row>
    <row r="366" spans="2:9" ht="12.75">
      <c r="B366" s="147" t="s">
        <v>417</v>
      </c>
      <c r="C366" s="133" t="s">
        <v>418</v>
      </c>
      <c r="D366" s="151"/>
      <c r="E366" s="151"/>
      <c r="F366" s="151"/>
      <c r="G366" s="151">
        <f t="shared" si="103"/>
        <v>0</v>
      </c>
      <c r="H366" s="151"/>
      <c r="I366" s="155">
        <f t="shared" si="104"/>
        <v>0</v>
      </c>
    </row>
    <row r="367" spans="2:9" ht="12.75">
      <c r="B367" s="147" t="s">
        <v>419</v>
      </c>
      <c r="C367" s="133" t="s">
        <v>420</v>
      </c>
      <c r="D367" s="151"/>
      <c r="E367" s="151"/>
      <c r="F367" s="151"/>
      <c r="G367" s="151">
        <f t="shared" si="103"/>
        <v>0</v>
      </c>
      <c r="H367" s="151"/>
      <c r="I367" s="155">
        <f t="shared" si="104"/>
        <v>0</v>
      </c>
    </row>
    <row r="368" spans="2:9" ht="12.75">
      <c r="B368" s="147" t="s">
        <v>421</v>
      </c>
      <c r="C368" s="133" t="s">
        <v>422</v>
      </c>
      <c r="D368" s="151"/>
      <c r="E368" s="151"/>
      <c r="F368" s="151"/>
      <c r="G368" s="151">
        <f t="shared" si="103"/>
        <v>0</v>
      </c>
      <c r="H368" s="151"/>
      <c r="I368" s="155">
        <f t="shared" si="104"/>
        <v>0</v>
      </c>
    </row>
    <row r="369" spans="2:9" ht="12.75">
      <c r="B369" s="147" t="s">
        <v>423</v>
      </c>
      <c r="C369" s="133" t="s">
        <v>424</v>
      </c>
      <c r="D369" s="151"/>
      <c r="E369" s="151"/>
      <c r="F369" s="151"/>
      <c r="G369" s="151">
        <f t="shared" si="103"/>
        <v>0</v>
      </c>
      <c r="H369" s="151"/>
      <c r="I369" s="155">
        <f t="shared" si="104"/>
        <v>0</v>
      </c>
    </row>
    <row r="370" spans="2:9" ht="12.75">
      <c r="B370" s="147" t="s">
        <v>425</v>
      </c>
      <c r="C370" s="133" t="s">
        <v>426</v>
      </c>
      <c r="D370" s="151"/>
      <c r="E370" s="151"/>
      <c r="F370" s="151"/>
      <c r="G370" s="151">
        <f t="shared" si="103"/>
        <v>0</v>
      </c>
      <c r="H370" s="151"/>
      <c r="I370" s="155">
        <f t="shared" si="104"/>
        <v>0</v>
      </c>
    </row>
    <row r="371" spans="2:9" ht="12.75">
      <c r="B371" s="162" t="s">
        <v>395</v>
      </c>
      <c r="C371" s="163" t="s">
        <v>396</v>
      </c>
      <c r="D371" s="164">
        <f>SUM(D372)</f>
        <v>0</v>
      </c>
      <c r="E371" s="164">
        <f>SUM(E372)</f>
        <v>0</v>
      </c>
      <c r="F371" s="164">
        <f>SUM(F372)</f>
        <v>0</v>
      </c>
      <c r="G371" s="164">
        <f t="shared" si="103"/>
        <v>0</v>
      </c>
      <c r="H371" s="164">
        <f>SUM(H372)</f>
        <v>0</v>
      </c>
      <c r="I371" s="165">
        <f t="shared" si="104"/>
        <v>0</v>
      </c>
    </row>
    <row r="372" spans="2:9" ht="12.75">
      <c r="B372" s="147" t="s">
        <v>427</v>
      </c>
      <c r="C372" s="133" t="s">
        <v>396</v>
      </c>
      <c r="D372" s="151"/>
      <c r="E372" s="151"/>
      <c r="F372" s="151"/>
      <c r="G372" s="151">
        <f t="shared" si="103"/>
        <v>0</v>
      </c>
      <c r="H372" s="151"/>
      <c r="I372" s="155">
        <f t="shared" si="104"/>
        <v>0</v>
      </c>
    </row>
    <row r="373" spans="2:9" ht="12.75">
      <c r="B373" s="146" t="s">
        <v>428</v>
      </c>
      <c r="C373" s="132" t="s">
        <v>429</v>
      </c>
      <c r="D373" s="150">
        <f>D374+D378+D380+D382+D386+D390+D396</f>
        <v>904465.3999999999</v>
      </c>
      <c r="E373" s="150">
        <f>E374+E378+E380+E382+E386+E390+E396</f>
        <v>850290.94</v>
      </c>
      <c r="F373" s="150">
        <f>F374+F378+F380+F382+F386+F390+F396</f>
        <v>904046.9199999999</v>
      </c>
      <c r="G373" s="150">
        <f t="shared" si="103"/>
        <v>2658803.26</v>
      </c>
      <c r="H373" s="150">
        <f>H374+H378+H380+H382+H386+H390+H396</f>
        <v>4554963.280000001</v>
      </c>
      <c r="I373" s="154">
        <f t="shared" si="104"/>
        <v>7213766.540000001</v>
      </c>
    </row>
    <row r="374" spans="2:9" ht="12.75">
      <c r="B374" s="162" t="s">
        <v>397</v>
      </c>
      <c r="C374" s="163" t="s">
        <v>398</v>
      </c>
      <c r="D374" s="164">
        <f>SUM(D375:D377)</f>
        <v>0</v>
      </c>
      <c r="E374" s="164">
        <f>SUM(E375:E377)</f>
        <v>36850.45</v>
      </c>
      <c r="F374" s="164">
        <f>SUM(F375:F377)</f>
        <v>0</v>
      </c>
      <c r="G374" s="164">
        <f t="shared" si="103"/>
        <v>36850.45</v>
      </c>
      <c r="H374" s="164">
        <f>SUM(H375:H377)</f>
        <v>-1761885.7400000002</v>
      </c>
      <c r="I374" s="165">
        <f t="shared" si="104"/>
        <v>-1725035.2900000003</v>
      </c>
    </row>
    <row r="375" spans="2:9" ht="12.75">
      <c r="B375" s="147" t="s">
        <v>430</v>
      </c>
      <c r="C375" s="133" t="s">
        <v>431</v>
      </c>
      <c r="D375" s="151"/>
      <c r="E375" s="151">
        <f>36850.45</f>
        <v>36850.45</v>
      </c>
      <c r="F375" s="151"/>
      <c r="G375" s="151">
        <f t="shared" si="103"/>
        <v>36850.45</v>
      </c>
      <c r="H375" s="151">
        <f>10635282.29-2582531.69</f>
        <v>8052750.6</v>
      </c>
      <c r="I375" s="155">
        <f t="shared" si="104"/>
        <v>8089601.05</v>
      </c>
    </row>
    <row r="376" spans="2:9" ht="12.75">
      <c r="B376" s="147" t="s">
        <v>432</v>
      </c>
      <c r="C376" s="133" t="s">
        <v>433</v>
      </c>
      <c r="D376" s="151"/>
      <c r="E376" s="151"/>
      <c r="F376" s="151"/>
      <c r="G376" s="151">
        <f t="shared" si="103"/>
        <v>0</v>
      </c>
      <c r="H376" s="151"/>
      <c r="I376" s="155">
        <f t="shared" si="104"/>
        <v>0</v>
      </c>
    </row>
    <row r="377" spans="2:9" ht="12.75">
      <c r="B377" s="147" t="s">
        <v>434</v>
      </c>
      <c r="C377" s="133" t="s">
        <v>435</v>
      </c>
      <c r="D377" s="151"/>
      <c r="E377" s="151"/>
      <c r="F377" s="151"/>
      <c r="G377" s="151">
        <f t="shared" si="103"/>
        <v>0</v>
      </c>
      <c r="H377" s="151">
        <f>7704457.53-17519093.87</f>
        <v>-9814636.34</v>
      </c>
      <c r="I377" s="155">
        <f t="shared" si="104"/>
        <v>-9814636.34</v>
      </c>
    </row>
    <row r="378" spans="2:9" ht="12.75">
      <c r="B378" s="162" t="s">
        <v>399</v>
      </c>
      <c r="C378" s="163" t="s">
        <v>400</v>
      </c>
      <c r="D378" s="164">
        <f>SUM(D379)</f>
        <v>12930.3</v>
      </c>
      <c r="E378" s="164">
        <f>SUM(E379)</f>
        <v>18798.3</v>
      </c>
      <c r="F378" s="164">
        <f>SUM(F379)</f>
        <v>13563.2</v>
      </c>
      <c r="G378" s="164">
        <f t="shared" si="103"/>
        <v>45291.8</v>
      </c>
      <c r="H378" s="164">
        <f>SUM(H379)</f>
        <v>4376442.65</v>
      </c>
      <c r="I378" s="165">
        <f t="shared" si="104"/>
        <v>4421734.45</v>
      </c>
    </row>
    <row r="379" spans="2:9" ht="12.75">
      <c r="B379" s="147" t="s">
        <v>436</v>
      </c>
      <c r="C379" s="133" t="s">
        <v>400</v>
      </c>
      <c r="D379" s="151">
        <f>12930.3</f>
        <v>12930.3</v>
      </c>
      <c r="E379" s="151">
        <f>22688.3-3890</f>
        <v>18798.3</v>
      </c>
      <c r="F379" s="151">
        <f>13563.2</f>
        <v>13563.2</v>
      </c>
      <c r="G379" s="151">
        <f t="shared" si="103"/>
        <v>45291.8</v>
      </c>
      <c r="H379" s="151">
        <f>6319636.19-1943193.54</f>
        <v>4376442.65</v>
      </c>
      <c r="I379" s="155">
        <f t="shared" si="104"/>
        <v>4421734.45</v>
      </c>
    </row>
    <row r="380" spans="2:9" ht="12.75">
      <c r="B380" s="162" t="s">
        <v>401</v>
      </c>
      <c r="C380" s="163" t="s">
        <v>402</v>
      </c>
      <c r="D380" s="164">
        <f>SUM(D381)</f>
        <v>0</v>
      </c>
      <c r="E380" s="164">
        <f>SUM(E381)</f>
        <v>0</v>
      </c>
      <c r="F380" s="164">
        <f>SUM(F381)</f>
        <v>0</v>
      </c>
      <c r="G380" s="164">
        <f t="shared" si="103"/>
        <v>0</v>
      </c>
      <c r="H380" s="164">
        <f>SUM(H381)</f>
        <v>0</v>
      </c>
      <c r="I380" s="165">
        <f t="shared" si="104"/>
        <v>0</v>
      </c>
    </row>
    <row r="381" spans="2:9" ht="12.75">
      <c r="B381" s="147" t="s">
        <v>437</v>
      </c>
      <c r="C381" s="133" t="s">
        <v>402</v>
      </c>
      <c r="D381" s="151"/>
      <c r="E381" s="151"/>
      <c r="F381" s="151"/>
      <c r="G381" s="151">
        <f t="shared" si="103"/>
        <v>0</v>
      </c>
      <c r="H381" s="151"/>
      <c r="I381" s="155">
        <f t="shared" si="104"/>
        <v>0</v>
      </c>
    </row>
    <row r="382" spans="2:9" ht="12.75">
      <c r="B382" s="162" t="s">
        <v>208</v>
      </c>
      <c r="C382" s="163" t="s">
        <v>440</v>
      </c>
      <c r="D382" s="164">
        <f>SUM(D383:D385)</f>
        <v>417302.75999999995</v>
      </c>
      <c r="E382" s="164">
        <f>SUM(E383:E385)</f>
        <v>282193.54</v>
      </c>
      <c r="F382" s="164">
        <f>SUM(F383:F385)</f>
        <v>344213.04</v>
      </c>
      <c r="G382" s="164">
        <f t="shared" si="103"/>
        <v>1043709.3399999999</v>
      </c>
      <c r="H382" s="164">
        <f>SUM(H383:H385)</f>
        <v>1354916.370000001</v>
      </c>
      <c r="I382" s="165">
        <f t="shared" si="104"/>
        <v>2398625.710000001</v>
      </c>
    </row>
    <row r="383" spans="2:9" ht="12.75">
      <c r="B383" s="147" t="s">
        <v>438</v>
      </c>
      <c r="C383" s="133" t="s">
        <v>440</v>
      </c>
      <c r="D383" s="151">
        <f>604879.71-187576.95</f>
        <v>417302.75999999995</v>
      </c>
      <c r="E383" s="151">
        <f>653498.85-371305.31</f>
        <v>282193.54</v>
      </c>
      <c r="F383" s="151">
        <f>699928.72-355715.68</f>
        <v>344213.04</v>
      </c>
      <c r="G383" s="151">
        <f t="shared" si="103"/>
        <v>1043709.3399999999</v>
      </c>
      <c r="H383" s="151">
        <f>8422490.47-7067574.1</f>
        <v>1354916.370000001</v>
      </c>
      <c r="I383" s="155">
        <f t="shared" si="104"/>
        <v>2398625.710000001</v>
      </c>
    </row>
    <row r="384" spans="2:9" ht="12.75">
      <c r="B384" s="147" t="s">
        <v>439</v>
      </c>
      <c r="C384" s="133" t="s">
        <v>441</v>
      </c>
      <c r="D384" s="151"/>
      <c r="E384" s="151"/>
      <c r="F384" s="151"/>
      <c r="G384" s="151">
        <f t="shared" si="103"/>
        <v>0</v>
      </c>
      <c r="H384" s="151"/>
      <c r="I384" s="155">
        <f t="shared" si="104"/>
        <v>0</v>
      </c>
    </row>
    <row r="385" spans="2:9" ht="12.75">
      <c r="B385" s="147" t="s">
        <v>442</v>
      </c>
      <c r="C385" s="133" t="s">
        <v>443</v>
      </c>
      <c r="D385" s="151"/>
      <c r="E385" s="151"/>
      <c r="F385" s="151"/>
      <c r="G385" s="151">
        <f t="shared" si="103"/>
        <v>0</v>
      </c>
      <c r="H385" s="151"/>
      <c r="I385" s="155">
        <f t="shared" si="104"/>
        <v>0</v>
      </c>
    </row>
    <row r="386" spans="2:9" ht="12.75">
      <c r="B386" s="162" t="s">
        <v>444</v>
      </c>
      <c r="C386" s="163" t="s">
        <v>445</v>
      </c>
      <c r="D386" s="164">
        <f>SUM(D387:D389)</f>
        <v>218861.04000000007</v>
      </c>
      <c r="E386" s="164">
        <f>SUM(E387:E389)</f>
        <v>239430.30000000005</v>
      </c>
      <c r="F386" s="164">
        <f>SUM(F387:F389)</f>
        <v>71210.28000000003</v>
      </c>
      <c r="G386" s="164">
        <f t="shared" si="103"/>
        <v>529501.6200000001</v>
      </c>
      <c r="H386" s="164">
        <f>SUM(H387:H389)</f>
        <v>0</v>
      </c>
      <c r="I386" s="165">
        <f t="shared" si="104"/>
        <v>529501.6200000001</v>
      </c>
    </row>
    <row r="387" spans="2:9" ht="12.75">
      <c r="B387" s="147" t="s">
        <v>446</v>
      </c>
      <c r="C387" s="133" t="s">
        <v>445</v>
      </c>
      <c r="D387" s="151">
        <f>1095373.59-901289.65</f>
        <v>194083.94000000006</v>
      </c>
      <c r="E387" s="151">
        <f>1449636.05-1249085.75</f>
        <v>200550.30000000005</v>
      </c>
      <c r="F387" s="151">
        <f>1493543.7-1422333.42</f>
        <v>71210.28000000003</v>
      </c>
      <c r="G387" s="151">
        <f t="shared" si="103"/>
        <v>465844.52000000014</v>
      </c>
      <c r="H387" s="151">
        <v>0</v>
      </c>
      <c r="I387" s="155">
        <f t="shared" si="104"/>
        <v>465844.52000000014</v>
      </c>
    </row>
    <row r="388" spans="2:9" ht="12.75">
      <c r="B388" s="147" t="s">
        <v>447</v>
      </c>
      <c r="C388" s="133" t="s">
        <v>448</v>
      </c>
      <c r="D388" s="151">
        <f>24777.1</f>
        <v>24777.1</v>
      </c>
      <c r="E388" s="151">
        <f>38880</f>
        <v>38880</v>
      </c>
      <c r="F388" s="151">
        <v>0</v>
      </c>
      <c r="G388" s="151">
        <f t="shared" si="103"/>
        <v>63657.1</v>
      </c>
      <c r="H388" s="151"/>
      <c r="I388" s="155">
        <f t="shared" si="104"/>
        <v>63657.1</v>
      </c>
    </row>
    <row r="389" spans="2:9" ht="12.75">
      <c r="B389" s="147" t="s">
        <v>449</v>
      </c>
      <c r="C389" s="133" t="s">
        <v>450</v>
      </c>
      <c r="D389" s="151"/>
      <c r="E389" s="151"/>
      <c r="F389" s="151"/>
      <c r="G389" s="151">
        <f t="shared" si="103"/>
        <v>0</v>
      </c>
      <c r="H389" s="151"/>
      <c r="I389" s="155">
        <f t="shared" si="104"/>
        <v>0</v>
      </c>
    </row>
    <row r="390" spans="2:9" ht="12.75">
      <c r="B390" s="162" t="s">
        <v>451</v>
      </c>
      <c r="C390" s="163" t="s">
        <v>452</v>
      </c>
      <c r="D390" s="164">
        <f>SUM(D391:D395)</f>
        <v>255371.3</v>
      </c>
      <c r="E390" s="164">
        <f>SUM(E391:E395)</f>
        <v>273018.3499999999</v>
      </c>
      <c r="F390" s="164">
        <f>SUM(F391:F395)</f>
        <v>475060.39999999997</v>
      </c>
      <c r="G390" s="164">
        <f t="shared" si="103"/>
        <v>1003450.0499999998</v>
      </c>
      <c r="H390" s="164">
        <f>SUM(H391:H395)</f>
        <v>585489.9999999999</v>
      </c>
      <c r="I390" s="165">
        <f t="shared" si="104"/>
        <v>1588940.0499999998</v>
      </c>
    </row>
    <row r="391" spans="2:9" ht="12.75">
      <c r="B391" s="147" t="s">
        <v>453</v>
      </c>
      <c r="C391" s="133" t="s">
        <v>452</v>
      </c>
      <c r="D391" s="151">
        <f>68949.95</f>
        <v>68949.95</v>
      </c>
      <c r="E391" s="151">
        <f>202665.85-148064.95</f>
        <v>54600.899999999994</v>
      </c>
      <c r="F391" s="151">
        <f>199234.3-9500</f>
        <v>189734.3</v>
      </c>
      <c r="G391" s="151">
        <f t="shared" si="103"/>
        <v>313285.14999999997</v>
      </c>
      <c r="H391" s="151">
        <f>1118662.95-1024902.17</f>
        <v>93760.77999999991</v>
      </c>
      <c r="I391" s="155">
        <f t="shared" si="104"/>
        <v>407045.9299999999</v>
      </c>
    </row>
    <row r="392" spans="2:9" ht="12.75">
      <c r="B392" s="147" t="s">
        <v>454</v>
      </c>
      <c r="C392" s="133" t="s">
        <v>455</v>
      </c>
      <c r="D392" s="151">
        <f>182814.6-16100</f>
        <v>166714.6</v>
      </c>
      <c r="E392" s="151">
        <f>262398.1-45354.45</f>
        <v>217043.64999999997</v>
      </c>
      <c r="F392" s="151">
        <f>303883.1-22116.7</f>
        <v>281766.39999999997</v>
      </c>
      <c r="G392" s="151">
        <f t="shared" si="103"/>
        <v>665524.6499999999</v>
      </c>
      <c r="H392" s="151">
        <f>1507384.41-1107246.14</f>
        <v>400138.27</v>
      </c>
      <c r="I392" s="155">
        <f t="shared" si="104"/>
        <v>1065662.92</v>
      </c>
    </row>
    <row r="393" spans="2:9" ht="12.75">
      <c r="B393" s="147" t="s">
        <v>456</v>
      </c>
      <c r="C393" s="133" t="s">
        <v>457</v>
      </c>
      <c r="D393" s="151">
        <f>19706.75</f>
        <v>19706.75</v>
      </c>
      <c r="E393" s="151">
        <f>1373.8</f>
        <v>1373.8</v>
      </c>
      <c r="F393" s="151">
        <f>3559.7</f>
        <v>3559.7</v>
      </c>
      <c r="G393" s="151">
        <f t="shared" si="103"/>
        <v>24640.25</v>
      </c>
      <c r="H393" s="151">
        <f>133279.65-41688.7</f>
        <v>91590.95</v>
      </c>
      <c r="I393" s="155">
        <f t="shared" si="104"/>
        <v>116231.2</v>
      </c>
    </row>
    <row r="394" spans="2:9" ht="12.75">
      <c r="B394" s="147" t="s">
        <v>458</v>
      </c>
      <c r="C394" s="133" t="s">
        <v>459</v>
      </c>
      <c r="D394" s="151"/>
      <c r="E394" s="151"/>
      <c r="F394" s="151"/>
      <c r="G394" s="151">
        <f t="shared" si="103"/>
        <v>0</v>
      </c>
      <c r="H394" s="151"/>
      <c r="I394" s="155">
        <f t="shared" si="104"/>
        <v>0</v>
      </c>
    </row>
    <row r="395" spans="2:9" ht="12.75">
      <c r="B395" s="147" t="s">
        <v>460</v>
      </c>
      <c r="C395" s="133" t="s">
        <v>461</v>
      </c>
      <c r="D395" s="151"/>
      <c r="E395" s="151"/>
      <c r="F395" s="151"/>
      <c r="G395" s="151">
        <f t="shared" si="103"/>
        <v>0</v>
      </c>
      <c r="H395" s="151"/>
      <c r="I395" s="155">
        <f t="shared" si="104"/>
        <v>0</v>
      </c>
    </row>
    <row r="396" spans="2:9" ht="12.75">
      <c r="B396" s="162" t="s">
        <v>462</v>
      </c>
      <c r="C396" s="163" t="s">
        <v>463</v>
      </c>
      <c r="D396" s="164">
        <f>SUM(D397:D398)</f>
        <v>0</v>
      </c>
      <c r="E396" s="164">
        <f>SUM(E397:E398)</f>
        <v>0</v>
      </c>
      <c r="F396" s="164">
        <f>SUM(F397:F398)</f>
        <v>0</v>
      </c>
      <c r="G396" s="164">
        <f t="shared" si="103"/>
        <v>0</v>
      </c>
      <c r="H396" s="164">
        <f>SUM(H397:H398)</f>
        <v>0</v>
      </c>
      <c r="I396" s="165">
        <f t="shared" si="104"/>
        <v>0</v>
      </c>
    </row>
    <row r="397" spans="2:9" ht="12.75">
      <c r="B397" s="147" t="s">
        <v>464</v>
      </c>
      <c r="C397" s="133" t="s">
        <v>465</v>
      </c>
      <c r="D397" s="151"/>
      <c r="E397" s="151"/>
      <c r="F397" s="151"/>
      <c r="G397" s="151">
        <f t="shared" si="103"/>
        <v>0</v>
      </c>
      <c r="H397" s="151"/>
      <c r="I397" s="154">
        <f t="shared" si="104"/>
        <v>0</v>
      </c>
    </row>
    <row r="398" spans="2:9" ht="12.75">
      <c r="B398" s="147" t="s">
        <v>466</v>
      </c>
      <c r="C398" s="133" t="s">
        <v>467</v>
      </c>
      <c r="D398" s="151"/>
      <c r="E398" s="151"/>
      <c r="F398" s="151"/>
      <c r="G398" s="151">
        <f t="shared" si="103"/>
        <v>0</v>
      </c>
      <c r="H398" s="151"/>
      <c r="I398" s="154">
        <f t="shared" si="104"/>
        <v>0</v>
      </c>
    </row>
    <row r="399" spans="2:9" ht="12.75">
      <c r="B399" s="146" t="s">
        <v>468</v>
      </c>
      <c r="C399" s="132" t="s">
        <v>469</v>
      </c>
      <c r="D399" s="150">
        <f>D400+D410+D412+D414+D417+D419+D423+D426</f>
        <v>15409687</v>
      </c>
      <c r="E399" s="150">
        <f>E400+E410+E412+E414+E417+E419+E423+E426</f>
        <v>18364003.1</v>
      </c>
      <c r="F399" s="150">
        <f>F400+F410+F412+F414+F417+F419+F423+F426</f>
        <v>25531992.819999993</v>
      </c>
      <c r="G399" s="150">
        <f t="shared" si="103"/>
        <v>59305682.919999994</v>
      </c>
      <c r="H399" s="150">
        <f>H400+H410+H412+H414+H417+H419+H423+H426</f>
        <v>49951665.35</v>
      </c>
      <c r="I399" s="154">
        <f t="shared" si="104"/>
        <v>109257348.27</v>
      </c>
    </row>
    <row r="400" spans="2:9" ht="12.75">
      <c r="B400" s="146" t="s">
        <v>470</v>
      </c>
      <c r="C400" s="132" t="s">
        <v>471</v>
      </c>
      <c r="D400" s="150">
        <f>SUM(D401:D409)</f>
        <v>15376822</v>
      </c>
      <c r="E400" s="150">
        <f>SUM(E401:E409)</f>
        <v>18359003.1</v>
      </c>
      <c r="F400" s="150">
        <f>SUM(F401:F409)</f>
        <v>25353086.019999992</v>
      </c>
      <c r="G400" s="150">
        <f t="shared" si="103"/>
        <v>59088911.11999999</v>
      </c>
      <c r="H400" s="150">
        <f>SUM(H401:H409)</f>
        <v>5229397.640000001</v>
      </c>
      <c r="I400" s="154">
        <f t="shared" si="104"/>
        <v>64318308.75999999</v>
      </c>
    </row>
    <row r="401" spans="2:9" ht="12.75">
      <c r="B401" s="147" t="s">
        <v>472</v>
      </c>
      <c r="C401" s="133" t="s">
        <v>473</v>
      </c>
      <c r="D401" s="151">
        <f>1194465.94</f>
        <v>1194465.94</v>
      </c>
      <c r="E401" s="151">
        <f>1593110.05-6171.2</f>
        <v>1586938.85</v>
      </c>
      <c r="F401" s="151">
        <f>1987502.44</f>
        <v>1987502.44</v>
      </c>
      <c r="G401" s="151">
        <f t="shared" si="103"/>
        <v>4768907.23</v>
      </c>
      <c r="H401" s="151"/>
      <c r="I401" s="155">
        <f t="shared" si="104"/>
        <v>4768907.23</v>
      </c>
    </row>
    <row r="402" spans="2:9" ht="12.75">
      <c r="B402" s="147" t="s">
        <v>474</v>
      </c>
      <c r="C402" s="133" t="s">
        <v>475</v>
      </c>
      <c r="D402" s="151"/>
      <c r="E402" s="151"/>
      <c r="F402" s="151">
        <f>216817.5-25.7</f>
        <v>216791.8</v>
      </c>
      <c r="G402" s="151">
        <f t="shared" si="103"/>
        <v>216791.8</v>
      </c>
      <c r="H402" s="151"/>
      <c r="I402" s="155">
        <f t="shared" si="104"/>
        <v>216791.8</v>
      </c>
    </row>
    <row r="403" spans="2:9" ht="12.75">
      <c r="B403" s="147" t="s">
        <v>476</v>
      </c>
      <c r="C403" s="133" t="s">
        <v>477</v>
      </c>
      <c r="D403" s="151">
        <f>6335400.55-215289.4</f>
        <v>6120111.149999999</v>
      </c>
      <c r="E403" s="151">
        <f>8495666.35-386627.5</f>
        <v>8109038.85</v>
      </c>
      <c r="F403" s="151">
        <f>10521823.1-440734.5</f>
        <v>10081088.6</v>
      </c>
      <c r="G403" s="151">
        <f t="shared" si="103"/>
        <v>24310238.6</v>
      </c>
      <c r="H403" s="151">
        <f>1649242.5-65062.9</f>
        <v>1584179.6</v>
      </c>
      <c r="I403" s="155">
        <f t="shared" si="104"/>
        <v>25894418.200000003</v>
      </c>
    </row>
    <row r="404" spans="2:9" ht="12.75">
      <c r="B404" s="147" t="s">
        <v>478</v>
      </c>
      <c r="C404" s="133" t="s">
        <v>479</v>
      </c>
      <c r="D404" s="151">
        <f>4486025.01-10672.65</f>
        <v>4475352.359999999</v>
      </c>
      <c r="E404" s="151">
        <f>4706248.5-3119.7</f>
        <v>4703128.8</v>
      </c>
      <c r="F404" s="151">
        <f>6335637.05-45903.2</f>
        <v>6289733.85</v>
      </c>
      <c r="G404" s="151">
        <f t="shared" si="103"/>
        <v>15468215.01</v>
      </c>
      <c r="H404" s="151">
        <f>3307928.1-1212110.03</f>
        <v>2095818.07</v>
      </c>
      <c r="I404" s="155">
        <f t="shared" si="104"/>
        <v>17564033.08</v>
      </c>
    </row>
    <row r="405" spans="2:9" ht="12.75">
      <c r="B405" s="147" t="s">
        <v>480</v>
      </c>
      <c r="C405" s="133" t="s">
        <v>481</v>
      </c>
      <c r="D405" s="151"/>
      <c r="E405" s="151"/>
      <c r="F405" s="151"/>
      <c r="G405" s="151">
        <f t="shared" si="103"/>
        <v>0</v>
      </c>
      <c r="H405" s="151">
        <v>1098126.07</v>
      </c>
      <c r="I405" s="155">
        <f t="shared" si="104"/>
        <v>1098126.07</v>
      </c>
    </row>
    <row r="406" spans="2:9" ht="12.75">
      <c r="B406" s="147" t="s">
        <v>482</v>
      </c>
      <c r="C406" s="133" t="s">
        <v>483</v>
      </c>
      <c r="D406" s="151">
        <f>3672950.7-1350651.65</f>
        <v>2322299.0500000003</v>
      </c>
      <c r="E406" s="151">
        <f>2404519.15-131928.05</f>
        <v>2272591.1</v>
      </c>
      <c r="F406" s="151">
        <f>6688672.38-2153033.94</f>
        <v>4535638.4399999995</v>
      </c>
      <c r="G406" s="151">
        <f t="shared" si="103"/>
        <v>9130528.59</v>
      </c>
      <c r="H406" s="151"/>
      <c r="I406" s="155">
        <f t="shared" si="104"/>
        <v>9130528.59</v>
      </c>
    </row>
    <row r="407" spans="2:9" ht="12.75">
      <c r="B407" s="147" t="s">
        <v>484</v>
      </c>
      <c r="C407" s="133" t="s">
        <v>485</v>
      </c>
      <c r="D407" s="151">
        <f>571609.8-388973.35</f>
        <v>182636.45000000007</v>
      </c>
      <c r="E407" s="151">
        <f>319204.55-168092.15</f>
        <v>151112.4</v>
      </c>
      <c r="F407" s="151">
        <f>426496.83-258355.75</f>
        <v>168141.08000000002</v>
      </c>
      <c r="G407" s="151">
        <f t="shared" si="103"/>
        <v>501889.9300000001</v>
      </c>
      <c r="H407" s="151">
        <f>395881.7</f>
        <v>395881.7</v>
      </c>
      <c r="I407" s="155">
        <f t="shared" si="104"/>
        <v>897771.6300000001</v>
      </c>
    </row>
    <row r="408" spans="2:9" ht="12.75">
      <c r="B408" s="147" t="s">
        <v>486</v>
      </c>
      <c r="C408" s="133" t="s">
        <v>875</v>
      </c>
      <c r="D408" s="151">
        <f>867608.85-1850.2</f>
        <v>865758.65</v>
      </c>
      <c r="E408" s="151">
        <f>1305346.5-26336.9</f>
        <v>1279009.6</v>
      </c>
      <c r="F408" s="151">
        <f>1431685.66-7764.6</f>
        <v>1423921.0599999998</v>
      </c>
      <c r="G408" s="151">
        <f t="shared" si="103"/>
        <v>3568689.3099999996</v>
      </c>
      <c r="H408" s="151">
        <f>91685-36292.8</f>
        <v>55392.2</v>
      </c>
      <c r="I408" s="155">
        <f t="shared" si="104"/>
        <v>3624081.51</v>
      </c>
    </row>
    <row r="409" spans="2:9" ht="12.75">
      <c r="B409" s="147" t="s">
        <v>505</v>
      </c>
      <c r="C409" s="133" t="s">
        <v>487</v>
      </c>
      <c r="D409" s="151">
        <f>225008.4-8810</f>
        <v>216198.4</v>
      </c>
      <c r="E409" s="151">
        <f>287865.25-30681.75</f>
        <v>257183.5</v>
      </c>
      <c r="F409" s="151">
        <f>680268.75-30000</f>
        <v>650268.75</v>
      </c>
      <c r="G409" s="151">
        <f t="shared" si="103"/>
        <v>1123650.65</v>
      </c>
      <c r="H409" s="151"/>
      <c r="I409" s="155">
        <f t="shared" si="104"/>
        <v>1123650.65</v>
      </c>
    </row>
    <row r="410" spans="2:9" ht="12.75">
      <c r="B410" s="146" t="s">
        <v>488</v>
      </c>
      <c r="C410" s="132" t="s">
        <v>490</v>
      </c>
      <c r="D410" s="150">
        <f>SUM(D411)</f>
        <v>0</v>
      </c>
      <c r="E410" s="150">
        <f>SUM(E411)</f>
        <v>0</v>
      </c>
      <c r="F410" s="150">
        <f>SUM(F411)</f>
        <v>66173.3</v>
      </c>
      <c r="G410" s="150">
        <f t="shared" si="103"/>
        <v>66173.3</v>
      </c>
      <c r="H410" s="150">
        <f>SUM(H411)</f>
        <v>11206645.85</v>
      </c>
      <c r="I410" s="154">
        <f t="shared" si="104"/>
        <v>11272819.15</v>
      </c>
    </row>
    <row r="411" spans="2:9" ht="12.75">
      <c r="B411" s="147" t="s">
        <v>489</v>
      </c>
      <c r="C411" s="133" t="s">
        <v>490</v>
      </c>
      <c r="D411" s="151"/>
      <c r="E411" s="151"/>
      <c r="F411" s="151">
        <f>66173.3</f>
        <v>66173.3</v>
      </c>
      <c r="G411" s="151">
        <f t="shared" si="103"/>
        <v>66173.3</v>
      </c>
      <c r="H411" s="151">
        <f>11474531.95-267886.1</f>
        <v>11206645.85</v>
      </c>
      <c r="I411" s="155">
        <f t="shared" si="104"/>
        <v>11272819.15</v>
      </c>
    </row>
    <row r="412" spans="2:9" ht="12.75">
      <c r="B412" s="146" t="s">
        <v>491</v>
      </c>
      <c r="C412" s="132" t="s">
        <v>492</v>
      </c>
      <c r="D412" s="150">
        <f>SUM(D413)</f>
        <v>0</v>
      </c>
      <c r="E412" s="150">
        <f>SUM(E413)</f>
        <v>0</v>
      </c>
      <c r="F412" s="150">
        <f>SUM(F413)</f>
        <v>0</v>
      </c>
      <c r="G412" s="150">
        <f t="shared" si="103"/>
        <v>0</v>
      </c>
      <c r="H412" s="150">
        <f>SUM(H413)</f>
        <v>11954139.620000001</v>
      </c>
      <c r="I412" s="154">
        <f t="shared" si="104"/>
        <v>11954139.620000001</v>
      </c>
    </row>
    <row r="413" spans="2:9" ht="12.75">
      <c r="B413" s="147" t="s">
        <v>494</v>
      </c>
      <c r="C413" s="133" t="s">
        <v>492</v>
      </c>
      <c r="D413" s="151"/>
      <c r="E413" s="151"/>
      <c r="F413" s="151"/>
      <c r="G413" s="151">
        <f t="shared" si="103"/>
        <v>0</v>
      </c>
      <c r="H413" s="151">
        <f>20271336.91-8317197.29</f>
        <v>11954139.620000001</v>
      </c>
      <c r="I413" s="155">
        <f t="shared" si="104"/>
        <v>11954139.620000001</v>
      </c>
    </row>
    <row r="414" spans="2:9" ht="12.75">
      <c r="B414" s="146" t="s">
        <v>493</v>
      </c>
      <c r="C414" s="132" t="s">
        <v>495</v>
      </c>
      <c r="D414" s="150">
        <f>SUM(D415:D416)</f>
        <v>32865</v>
      </c>
      <c r="E414" s="150">
        <f>SUM(E415:E416)</f>
        <v>0</v>
      </c>
      <c r="F414" s="150">
        <f>SUM(F415:F416)</f>
        <v>0</v>
      </c>
      <c r="G414" s="150">
        <f t="shared" si="103"/>
        <v>32865</v>
      </c>
      <c r="H414" s="150">
        <f>SUM(H415:H416)</f>
        <v>10245285.139999999</v>
      </c>
      <c r="I414" s="154">
        <f t="shared" si="104"/>
        <v>10278150.139999999</v>
      </c>
    </row>
    <row r="415" spans="2:9" ht="12.75">
      <c r="B415" s="147" t="s">
        <v>496</v>
      </c>
      <c r="C415" s="133" t="s">
        <v>497</v>
      </c>
      <c r="D415" s="151">
        <f>32865</f>
        <v>32865</v>
      </c>
      <c r="E415" s="151"/>
      <c r="F415" s="151"/>
      <c r="G415" s="151">
        <f t="shared" si="103"/>
        <v>32865</v>
      </c>
      <c r="H415" s="151">
        <f>10420985.69-207100.55</f>
        <v>10213885.139999999</v>
      </c>
      <c r="I415" s="155">
        <f t="shared" si="104"/>
        <v>10246750.139999999</v>
      </c>
    </row>
    <row r="416" spans="2:9" ht="12.75">
      <c r="B416" s="147" t="s">
        <v>498</v>
      </c>
      <c r="C416" s="133" t="s">
        <v>499</v>
      </c>
      <c r="D416" s="151"/>
      <c r="E416" s="151"/>
      <c r="F416" s="151"/>
      <c r="G416" s="151">
        <f t="shared" si="103"/>
        <v>0</v>
      </c>
      <c r="H416" s="151">
        <f>31400</f>
        <v>31400</v>
      </c>
      <c r="I416" s="155">
        <f t="shared" si="104"/>
        <v>31400</v>
      </c>
    </row>
    <row r="417" spans="2:9" ht="12.75">
      <c r="B417" s="146" t="s">
        <v>500</v>
      </c>
      <c r="C417" s="132" t="s">
        <v>501</v>
      </c>
      <c r="D417" s="150">
        <f>SUM(D418)</f>
        <v>0</v>
      </c>
      <c r="E417" s="150">
        <f>SUM(E418)</f>
        <v>0</v>
      </c>
      <c r="F417" s="150">
        <f>SUM(F418)</f>
        <v>0</v>
      </c>
      <c r="G417" s="150">
        <f t="shared" si="103"/>
        <v>0</v>
      </c>
      <c r="H417" s="150">
        <f>SUM(H418)</f>
        <v>1230265.1</v>
      </c>
      <c r="I417" s="154">
        <f t="shared" si="104"/>
        <v>1230265.1</v>
      </c>
    </row>
    <row r="418" spans="2:9" ht="12.75">
      <c r="B418" s="147" t="s">
        <v>502</v>
      </c>
      <c r="C418" s="133" t="s">
        <v>501</v>
      </c>
      <c r="D418" s="151"/>
      <c r="E418" s="151"/>
      <c r="F418" s="151"/>
      <c r="G418" s="151">
        <f t="shared" si="103"/>
        <v>0</v>
      </c>
      <c r="H418" s="151">
        <f>1230265.1</f>
        <v>1230265.1</v>
      </c>
      <c r="I418" s="155">
        <f t="shared" si="104"/>
        <v>1230265.1</v>
      </c>
    </row>
    <row r="419" spans="2:9" ht="12.75">
      <c r="B419" s="146" t="s">
        <v>503</v>
      </c>
      <c r="C419" s="132" t="s">
        <v>504</v>
      </c>
      <c r="D419" s="150">
        <f>SUM(D420:D422)</f>
        <v>0</v>
      </c>
      <c r="E419" s="150">
        <f>SUM(E420:E422)</f>
        <v>0</v>
      </c>
      <c r="F419" s="150">
        <f>SUM(F420:F422)</f>
        <v>0</v>
      </c>
      <c r="G419" s="150">
        <f aca="true" t="shared" si="105" ref="G419:G479">SUM(D419:F419)</f>
        <v>0</v>
      </c>
      <c r="H419" s="150">
        <f>SUM(H420:H422)</f>
        <v>9314822.65</v>
      </c>
      <c r="I419" s="154">
        <f aca="true" t="shared" si="106" ref="I419:I479">SUM(G419:H419)</f>
        <v>9314822.65</v>
      </c>
    </row>
    <row r="420" spans="2:9" ht="12.75">
      <c r="B420" s="147" t="s">
        <v>506</v>
      </c>
      <c r="C420" s="133" t="s">
        <v>507</v>
      </c>
      <c r="D420" s="151"/>
      <c r="E420" s="151"/>
      <c r="F420" s="151"/>
      <c r="G420" s="151">
        <f t="shared" si="105"/>
        <v>0</v>
      </c>
      <c r="H420" s="151">
        <f>3987180.85-120000</f>
        <v>3867180.85</v>
      </c>
      <c r="I420" s="155">
        <f t="shared" si="106"/>
        <v>3867180.85</v>
      </c>
    </row>
    <row r="421" spans="2:9" ht="12.75">
      <c r="B421" s="147" t="s">
        <v>508</v>
      </c>
      <c r="C421" s="133" t="s">
        <v>509</v>
      </c>
      <c r="D421" s="151"/>
      <c r="E421" s="151"/>
      <c r="F421" s="151"/>
      <c r="G421" s="151">
        <f t="shared" si="105"/>
        <v>0</v>
      </c>
      <c r="H421" s="151">
        <v>2401275.35</v>
      </c>
      <c r="I421" s="155">
        <f t="shared" si="106"/>
        <v>2401275.35</v>
      </c>
    </row>
    <row r="422" spans="2:9" ht="12.75">
      <c r="B422" s="147" t="s">
        <v>510</v>
      </c>
      <c r="C422" s="133" t="s">
        <v>511</v>
      </c>
      <c r="D422" s="151"/>
      <c r="E422" s="151"/>
      <c r="F422" s="151"/>
      <c r="G422" s="151">
        <f t="shared" si="105"/>
        <v>0</v>
      </c>
      <c r="H422" s="151">
        <f>3046366.45</f>
        <v>3046366.45</v>
      </c>
      <c r="I422" s="155">
        <f t="shared" si="106"/>
        <v>3046366.45</v>
      </c>
    </row>
    <row r="423" spans="2:9" ht="12.75">
      <c r="B423" s="146" t="s">
        <v>512</v>
      </c>
      <c r="C423" s="132" t="s">
        <v>513</v>
      </c>
      <c r="D423" s="150">
        <f>SUM(D424:D425)</f>
        <v>0</v>
      </c>
      <c r="E423" s="150">
        <f>SUM(E424:E425)</f>
        <v>0</v>
      </c>
      <c r="F423" s="150">
        <f>SUM(F424:F425)</f>
        <v>0</v>
      </c>
      <c r="G423" s="150">
        <f t="shared" si="105"/>
        <v>0</v>
      </c>
      <c r="H423" s="150">
        <f>SUM(H424:H425)</f>
        <v>0</v>
      </c>
      <c r="I423" s="154">
        <f t="shared" si="106"/>
        <v>0</v>
      </c>
    </row>
    <row r="424" spans="2:9" ht="12.75">
      <c r="B424" s="147" t="s">
        <v>514</v>
      </c>
      <c r="C424" s="133" t="s">
        <v>515</v>
      </c>
      <c r="D424" s="151"/>
      <c r="E424" s="151"/>
      <c r="F424" s="151"/>
      <c r="G424" s="151">
        <f t="shared" si="105"/>
        <v>0</v>
      </c>
      <c r="H424" s="151"/>
      <c r="I424" s="155">
        <f t="shared" si="106"/>
        <v>0</v>
      </c>
    </row>
    <row r="425" spans="2:9" ht="12.75">
      <c r="B425" s="147" t="s">
        <v>516</v>
      </c>
      <c r="C425" s="133" t="s">
        <v>517</v>
      </c>
      <c r="D425" s="151"/>
      <c r="E425" s="151"/>
      <c r="F425" s="151"/>
      <c r="G425" s="151">
        <f t="shared" si="105"/>
        <v>0</v>
      </c>
      <c r="H425" s="151"/>
      <c r="I425" s="155">
        <f t="shared" si="106"/>
        <v>0</v>
      </c>
    </row>
    <row r="426" spans="2:9" ht="12.75">
      <c r="B426" s="146" t="s">
        <v>209</v>
      </c>
      <c r="C426" s="132" t="s">
        <v>518</v>
      </c>
      <c r="D426" s="150">
        <f>SUM(D427:D428)</f>
        <v>0</v>
      </c>
      <c r="E426" s="150">
        <f>SUM(E427:E428)</f>
        <v>5000</v>
      </c>
      <c r="F426" s="150">
        <f>SUM(F427:F428)</f>
        <v>112733.5</v>
      </c>
      <c r="G426" s="150">
        <f t="shared" si="105"/>
        <v>117733.5</v>
      </c>
      <c r="H426" s="150">
        <f>SUM(H427:H428)</f>
        <v>771109.35</v>
      </c>
      <c r="I426" s="154">
        <f t="shared" si="106"/>
        <v>888842.85</v>
      </c>
    </row>
    <row r="427" spans="2:9" ht="12.75">
      <c r="B427" s="147" t="s">
        <v>519</v>
      </c>
      <c r="C427" s="133" t="s">
        <v>520</v>
      </c>
      <c r="D427" s="151"/>
      <c r="E427" s="151"/>
      <c r="F427" s="151"/>
      <c r="G427" s="151">
        <f t="shared" si="105"/>
        <v>0</v>
      </c>
      <c r="H427" s="151">
        <f>367122.85-370</f>
        <v>366752.85</v>
      </c>
      <c r="I427" s="155">
        <f t="shared" si="106"/>
        <v>366752.85</v>
      </c>
    </row>
    <row r="428" spans="2:9" ht="12.75">
      <c r="B428" s="147" t="s">
        <v>521</v>
      </c>
      <c r="C428" s="133" t="s">
        <v>522</v>
      </c>
      <c r="D428" s="151"/>
      <c r="E428" s="151">
        <f>5000</f>
        <v>5000</v>
      </c>
      <c r="F428" s="151">
        <v>112733.5</v>
      </c>
      <c r="G428" s="151">
        <f t="shared" si="105"/>
        <v>117733.5</v>
      </c>
      <c r="H428" s="151">
        <f>406654.85-2298.35</f>
        <v>404356.5</v>
      </c>
      <c r="I428" s="155">
        <f t="shared" si="106"/>
        <v>522090</v>
      </c>
    </row>
    <row r="429" spans="2:9" ht="12.75">
      <c r="B429" s="146" t="s">
        <v>220</v>
      </c>
      <c r="C429" s="132" t="s">
        <v>523</v>
      </c>
      <c r="D429" s="150">
        <f>D430+D433+D437+D441+D444+D446</f>
        <v>714301.3500000001</v>
      </c>
      <c r="E429" s="150">
        <f>E430+E433+E437+E441+E444+E446</f>
        <v>1716249.71</v>
      </c>
      <c r="F429" s="150">
        <f>F430+F433+F437+F441+F444+F446</f>
        <v>2034348.27</v>
      </c>
      <c r="G429" s="150">
        <f t="shared" si="105"/>
        <v>4464899.33</v>
      </c>
      <c r="H429" s="150">
        <f>H430+H433+H437+H441+H444+H446</f>
        <v>3100335.1899999995</v>
      </c>
      <c r="I429" s="154">
        <f t="shared" si="106"/>
        <v>7565234.52</v>
      </c>
    </row>
    <row r="430" spans="2:9" ht="12.75">
      <c r="B430" s="146" t="s">
        <v>295</v>
      </c>
      <c r="C430" s="132" t="s">
        <v>524</v>
      </c>
      <c r="D430" s="150">
        <f>SUM(D431:D432)</f>
        <v>69505.95</v>
      </c>
      <c r="E430" s="150">
        <f>SUM(E431:E432)</f>
        <v>81690</v>
      </c>
      <c r="F430" s="150">
        <f>SUM(F431:F432)</f>
        <v>89117.15</v>
      </c>
      <c r="G430" s="150">
        <f t="shared" si="105"/>
        <v>240313.1</v>
      </c>
      <c r="H430" s="150">
        <f>SUM(H431:H432)</f>
        <v>1051727.0499999998</v>
      </c>
      <c r="I430" s="154">
        <f t="shared" si="106"/>
        <v>1292040.15</v>
      </c>
    </row>
    <row r="431" spans="2:9" ht="12.75">
      <c r="B431" s="147" t="s">
        <v>525</v>
      </c>
      <c r="C431" s="133" t="s">
        <v>526</v>
      </c>
      <c r="D431" s="151"/>
      <c r="E431" s="151">
        <v>0</v>
      </c>
      <c r="F431" s="151">
        <f>23917.2</f>
        <v>23917.2</v>
      </c>
      <c r="G431" s="151">
        <f t="shared" si="105"/>
        <v>23917.2</v>
      </c>
      <c r="H431" s="151">
        <f>546714.15-1156.5</f>
        <v>545557.65</v>
      </c>
      <c r="I431" s="155">
        <f t="shared" si="106"/>
        <v>569474.85</v>
      </c>
    </row>
    <row r="432" spans="2:9" ht="12.75">
      <c r="B432" s="147" t="s">
        <v>527</v>
      </c>
      <c r="C432" s="133" t="s">
        <v>528</v>
      </c>
      <c r="D432" s="151">
        <f>69505.95</f>
        <v>69505.95</v>
      </c>
      <c r="E432" s="151">
        <v>81690</v>
      </c>
      <c r="F432" s="151">
        <f>65199.95</f>
        <v>65199.95</v>
      </c>
      <c r="G432" s="151">
        <f t="shared" si="105"/>
        <v>216395.90000000002</v>
      </c>
      <c r="H432" s="151">
        <f>1314126.4-807957</f>
        <v>506169.3999999999</v>
      </c>
      <c r="I432" s="155">
        <f t="shared" si="106"/>
        <v>722565.2999999999</v>
      </c>
    </row>
    <row r="433" spans="2:9" ht="12.75">
      <c r="B433" s="146" t="s">
        <v>529</v>
      </c>
      <c r="C433" s="132" t="s">
        <v>530</v>
      </c>
      <c r="D433" s="150">
        <f>SUM(D434:D436)</f>
        <v>173952.45</v>
      </c>
      <c r="E433" s="150">
        <f>SUM(E434:E436)</f>
        <v>351347.4</v>
      </c>
      <c r="F433" s="150">
        <f>SUM(F434:F436)</f>
        <v>722249.5700000001</v>
      </c>
      <c r="G433" s="150">
        <f t="shared" si="105"/>
        <v>1247549.4200000002</v>
      </c>
      <c r="H433" s="150">
        <f>SUM(H434:H436)</f>
        <v>872877.6499999999</v>
      </c>
      <c r="I433" s="154">
        <f t="shared" si="106"/>
        <v>2120427.0700000003</v>
      </c>
    </row>
    <row r="434" spans="2:9" ht="12.75">
      <c r="B434" s="147" t="s">
        <v>531</v>
      </c>
      <c r="C434" s="133" t="s">
        <v>532</v>
      </c>
      <c r="D434" s="151"/>
      <c r="E434" s="151">
        <v>16000</v>
      </c>
      <c r="F434" s="151">
        <f>163149.25</f>
        <v>163149.25</v>
      </c>
      <c r="G434" s="151">
        <f t="shared" si="105"/>
        <v>179149.25</v>
      </c>
      <c r="H434" s="151">
        <f>626848.95-112944.2</f>
        <v>513904.74999999994</v>
      </c>
      <c r="I434" s="155">
        <f t="shared" si="106"/>
        <v>693054</v>
      </c>
    </row>
    <row r="435" spans="2:9" ht="12.75">
      <c r="B435" s="147" t="s">
        <v>533</v>
      </c>
      <c r="C435" s="133" t="s">
        <v>534</v>
      </c>
      <c r="D435" s="151"/>
      <c r="E435" s="151">
        <v>25210</v>
      </c>
      <c r="F435" s="151"/>
      <c r="G435" s="151">
        <f t="shared" si="105"/>
        <v>25210</v>
      </c>
      <c r="H435" s="151"/>
      <c r="I435" s="155">
        <f t="shared" si="106"/>
        <v>25210</v>
      </c>
    </row>
    <row r="436" spans="2:9" ht="12.75">
      <c r="B436" s="147" t="s">
        <v>535</v>
      </c>
      <c r="C436" s="133" t="s">
        <v>536</v>
      </c>
      <c r="D436" s="151">
        <f>175817.45-1865</f>
        <v>173952.45</v>
      </c>
      <c r="E436" s="151">
        <f>323927.4-13790</f>
        <v>310137.4</v>
      </c>
      <c r="F436" s="151">
        <f>576467.42-17367.1</f>
        <v>559100.3200000001</v>
      </c>
      <c r="G436" s="151">
        <f t="shared" si="105"/>
        <v>1043190.1700000002</v>
      </c>
      <c r="H436" s="151">
        <f>359033.2-60.3</f>
        <v>358972.9</v>
      </c>
      <c r="I436" s="155">
        <f t="shared" si="106"/>
        <v>1402163.0700000003</v>
      </c>
    </row>
    <row r="437" spans="2:9" ht="12.75">
      <c r="B437" s="146" t="s">
        <v>235</v>
      </c>
      <c r="C437" s="132" t="s">
        <v>537</v>
      </c>
      <c r="D437" s="150">
        <f>SUM(D438:D440)</f>
        <v>0</v>
      </c>
      <c r="E437" s="150">
        <f>SUM(E438:E440)</f>
        <v>0</v>
      </c>
      <c r="F437" s="150">
        <f>SUM(F438:F440)</f>
        <v>0</v>
      </c>
      <c r="G437" s="150">
        <f t="shared" si="105"/>
        <v>0</v>
      </c>
      <c r="H437" s="150">
        <f>SUM(H438:H440)</f>
        <v>0</v>
      </c>
      <c r="I437" s="154">
        <f t="shared" si="106"/>
        <v>0</v>
      </c>
    </row>
    <row r="438" spans="2:9" ht="12.75">
      <c r="B438" s="147" t="s">
        <v>538</v>
      </c>
      <c r="C438" s="133" t="s">
        <v>539</v>
      </c>
      <c r="D438" s="151"/>
      <c r="E438" s="151"/>
      <c r="F438" s="151"/>
      <c r="G438" s="151">
        <f t="shared" si="105"/>
        <v>0</v>
      </c>
      <c r="H438" s="151"/>
      <c r="I438" s="155">
        <f t="shared" si="106"/>
        <v>0</v>
      </c>
    </row>
    <row r="439" spans="2:9" ht="12.75">
      <c r="B439" s="147" t="s">
        <v>540</v>
      </c>
      <c r="C439" s="133" t="s">
        <v>541</v>
      </c>
      <c r="D439" s="151"/>
      <c r="E439" s="151"/>
      <c r="F439" s="151"/>
      <c r="G439" s="151">
        <f t="shared" si="105"/>
        <v>0</v>
      </c>
      <c r="H439" s="151"/>
      <c r="I439" s="155">
        <f t="shared" si="106"/>
        <v>0</v>
      </c>
    </row>
    <row r="440" spans="2:9" ht="12.75">
      <c r="B440" s="147" t="s">
        <v>542</v>
      </c>
      <c r="C440" s="133" t="s">
        <v>543</v>
      </c>
      <c r="D440" s="151"/>
      <c r="E440" s="151"/>
      <c r="F440" s="151"/>
      <c r="G440" s="151">
        <f t="shared" si="105"/>
        <v>0</v>
      </c>
      <c r="H440" s="151"/>
      <c r="I440" s="155">
        <f t="shared" si="106"/>
        <v>0</v>
      </c>
    </row>
    <row r="441" spans="2:9" ht="12.75">
      <c r="B441" s="146" t="s">
        <v>267</v>
      </c>
      <c r="C441" s="132" t="s">
        <v>544</v>
      </c>
      <c r="D441" s="150">
        <f>SUM(D442:D443)</f>
        <v>470842.95</v>
      </c>
      <c r="E441" s="150">
        <f>SUM(E442:E443)</f>
        <v>1035556.21</v>
      </c>
      <c r="F441" s="150">
        <f>SUM(F442:F443)</f>
        <v>1222981.55</v>
      </c>
      <c r="G441" s="150">
        <f t="shared" si="105"/>
        <v>2729380.71</v>
      </c>
      <c r="H441" s="150">
        <f>SUM(H442:H443)</f>
        <v>1175730.49</v>
      </c>
      <c r="I441" s="154">
        <f t="shared" si="106"/>
        <v>3905111.2</v>
      </c>
    </row>
    <row r="442" spans="2:9" ht="12.75">
      <c r="B442" s="147" t="s">
        <v>545</v>
      </c>
      <c r="C442" s="133" t="s">
        <v>546</v>
      </c>
      <c r="D442" s="151">
        <f>237307.75-57008.7</f>
        <v>180299.05</v>
      </c>
      <c r="E442" s="151">
        <f>1044139.02-371091.56</f>
        <v>673047.46</v>
      </c>
      <c r="F442" s="151">
        <f>1048581.45</f>
        <v>1048581.45</v>
      </c>
      <c r="G442" s="151">
        <f t="shared" si="105"/>
        <v>1901927.96</v>
      </c>
      <c r="H442" s="151">
        <f>1618809.33-493078.74</f>
        <v>1125730.59</v>
      </c>
      <c r="I442" s="155">
        <f t="shared" si="106"/>
        <v>3027658.55</v>
      </c>
    </row>
    <row r="443" spans="2:9" ht="12.75">
      <c r="B443" s="147" t="s">
        <v>547</v>
      </c>
      <c r="C443" s="133" t="s">
        <v>548</v>
      </c>
      <c r="D443" s="151">
        <f>290543.9</f>
        <v>290543.9</v>
      </c>
      <c r="E443" s="151">
        <f>672041.65-309532.9</f>
        <v>362508.75</v>
      </c>
      <c r="F443" s="151">
        <f>183029.1-8629</f>
        <v>174400.1</v>
      </c>
      <c r="G443" s="151">
        <f t="shared" si="105"/>
        <v>827452.75</v>
      </c>
      <c r="H443" s="151">
        <f>49999.9</f>
        <v>49999.9</v>
      </c>
      <c r="I443" s="155">
        <f t="shared" si="106"/>
        <v>877452.65</v>
      </c>
    </row>
    <row r="444" spans="2:9" ht="12.75">
      <c r="B444" s="146" t="s">
        <v>287</v>
      </c>
      <c r="C444" s="132" t="s">
        <v>549</v>
      </c>
      <c r="D444" s="150">
        <f>SUM(D445)</f>
        <v>0</v>
      </c>
      <c r="E444" s="150">
        <f>SUM(E445)</f>
        <v>247656.1</v>
      </c>
      <c r="F444" s="150">
        <f>SUM(F445)</f>
        <v>0</v>
      </c>
      <c r="G444" s="150">
        <f t="shared" si="105"/>
        <v>247656.1</v>
      </c>
      <c r="H444" s="150">
        <f>SUM(H445)</f>
        <v>0</v>
      </c>
      <c r="I444" s="154">
        <f t="shared" si="106"/>
        <v>247656.1</v>
      </c>
    </row>
    <row r="445" spans="2:9" ht="12.75">
      <c r="B445" s="147" t="s">
        <v>550</v>
      </c>
      <c r="C445" s="133" t="s">
        <v>938</v>
      </c>
      <c r="D445" s="151"/>
      <c r="E445" s="151">
        <f>247656.1</f>
        <v>247656.1</v>
      </c>
      <c r="F445" s="151"/>
      <c r="G445" s="151">
        <f t="shared" si="105"/>
        <v>247656.1</v>
      </c>
      <c r="H445" s="151"/>
      <c r="I445" s="155">
        <f t="shared" si="106"/>
        <v>247656.1</v>
      </c>
    </row>
    <row r="446" spans="2:9" ht="12.75">
      <c r="B446" s="146" t="s">
        <v>223</v>
      </c>
      <c r="C446" s="132" t="s">
        <v>551</v>
      </c>
      <c r="D446" s="150">
        <f>SUM(D447:D448)</f>
        <v>0</v>
      </c>
      <c r="E446" s="150">
        <f>SUM(E447:E448)</f>
        <v>0</v>
      </c>
      <c r="F446" s="150">
        <f>SUM(F447:F448)</f>
        <v>0</v>
      </c>
      <c r="G446" s="150">
        <f t="shared" si="105"/>
        <v>0</v>
      </c>
      <c r="H446" s="150">
        <f>SUM(H447:H448)</f>
        <v>0</v>
      </c>
      <c r="I446" s="154">
        <f t="shared" si="106"/>
        <v>0</v>
      </c>
    </row>
    <row r="447" spans="2:9" ht="12.75">
      <c r="B447" s="147" t="s">
        <v>552</v>
      </c>
      <c r="C447" s="133" t="s">
        <v>553</v>
      </c>
      <c r="D447" s="151"/>
      <c r="E447" s="151"/>
      <c r="F447" s="151"/>
      <c r="G447" s="151">
        <f t="shared" si="105"/>
        <v>0</v>
      </c>
      <c r="H447" s="151"/>
      <c r="I447" s="155">
        <f t="shared" si="106"/>
        <v>0</v>
      </c>
    </row>
    <row r="448" spans="2:9" ht="12.75">
      <c r="B448" s="147" t="s">
        <v>554</v>
      </c>
      <c r="C448" s="133" t="s">
        <v>555</v>
      </c>
      <c r="D448" s="151"/>
      <c r="E448" s="151"/>
      <c r="F448" s="151"/>
      <c r="G448" s="151">
        <f t="shared" si="105"/>
        <v>0</v>
      </c>
      <c r="H448" s="151"/>
      <c r="I448" s="155">
        <f t="shared" si="106"/>
        <v>0</v>
      </c>
    </row>
    <row r="449" spans="2:9" ht="12.75">
      <c r="B449" s="146" t="s">
        <v>368</v>
      </c>
      <c r="C449" s="132" t="s">
        <v>556</v>
      </c>
      <c r="D449" s="150">
        <f>D450+D454+D457+D462+D464</f>
        <v>2051279.7500000002</v>
      </c>
      <c r="E449" s="150">
        <f>E450+E454+E457+E462+E464</f>
        <v>2379957.85</v>
      </c>
      <c r="F449" s="150">
        <f>F450+F454+F457+F462+F464</f>
        <v>3716231.6500000004</v>
      </c>
      <c r="G449" s="150">
        <f t="shared" si="105"/>
        <v>8147469.250000001</v>
      </c>
      <c r="H449" s="150">
        <f>H450+H454+H457+H462+H464</f>
        <v>49164886.87</v>
      </c>
      <c r="I449" s="154">
        <f t="shared" si="106"/>
        <v>57312356.12</v>
      </c>
    </row>
    <row r="450" spans="2:9" ht="12.75">
      <c r="B450" s="146" t="s">
        <v>249</v>
      </c>
      <c r="C450" s="132" t="s">
        <v>557</v>
      </c>
      <c r="D450" s="150">
        <f>SUM(D451:D453)</f>
        <v>1853669.3</v>
      </c>
      <c r="E450" s="150">
        <f>SUM(E451:E453)</f>
        <v>2246020.9</v>
      </c>
      <c r="F450" s="150">
        <f>SUM(F451:F453)</f>
        <v>2955522.95</v>
      </c>
      <c r="G450" s="150">
        <f t="shared" si="105"/>
        <v>7055213.15</v>
      </c>
      <c r="H450" s="150">
        <f>SUM(H451:H453)</f>
        <v>47193319.57</v>
      </c>
      <c r="I450" s="154">
        <f t="shared" si="106"/>
        <v>54248532.72</v>
      </c>
    </row>
    <row r="451" spans="2:9" ht="12.75">
      <c r="B451" s="147" t="s">
        <v>558</v>
      </c>
      <c r="C451" s="133" t="s">
        <v>559</v>
      </c>
      <c r="D451" s="151"/>
      <c r="E451" s="151"/>
      <c r="F451" s="151"/>
      <c r="G451" s="151">
        <f t="shared" si="105"/>
        <v>0</v>
      </c>
      <c r="H451" s="151">
        <f>60250571.85-24498329.71</f>
        <v>35752242.14</v>
      </c>
      <c r="I451" s="155">
        <f t="shared" si="106"/>
        <v>35752242.14</v>
      </c>
    </row>
    <row r="452" spans="2:9" ht="12.75">
      <c r="B452" s="147" t="s">
        <v>560</v>
      </c>
      <c r="C452" s="133" t="s">
        <v>561</v>
      </c>
      <c r="D452" s="151">
        <f>1853669.3</f>
        <v>1853669.3</v>
      </c>
      <c r="E452" s="151">
        <f>2246020.9</f>
        <v>2246020.9</v>
      </c>
      <c r="F452" s="151">
        <f>2955522.95</f>
        <v>2955522.95</v>
      </c>
      <c r="G452" s="151">
        <f t="shared" si="105"/>
        <v>7055213.15</v>
      </c>
      <c r="H452" s="151">
        <f>11441077.43</f>
        <v>11441077.43</v>
      </c>
      <c r="I452" s="155">
        <f t="shared" si="106"/>
        <v>18496290.58</v>
      </c>
    </row>
    <row r="453" spans="2:9" ht="12.75">
      <c r="B453" s="147" t="s">
        <v>562</v>
      </c>
      <c r="C453" s="133" t="s">
        <v>563</v>
      </c>
      <c r="D453" s="151"/>
      <c r="E453" s="151"/>
      <c r="F453" s="151"/>
      <c r="G453" s="151">
        <f t="shared" si="105"/>
        <v>0</v>
      </c>
      <c r="H453" s="151"/>
      <c r="I453" s="155">
        <f t="shared" si="106"/>
        <v>0</v>
      </c>
    </row>
    <row r="454" spans="2:9" ht="12.75">
      <c r="B454" s="146" t="s">
        <v>250</v>
      </c>
      <c r="C454" s="132" t="s">
        <v>564</v>
      </c>
      <c r="D454" s="150">
        <f>SUM(D455:D456)</f>
        <v>186138.6</v>
      </c>
      <c r="E454" s="150">
        <f>SUM(E455:E456)</f>
        <v>133936.95</v>
      </c>
      <c r="F454" s="150">
        <f>SUM(F455:F456)</f>
        <v>748616.7</v>
      </c>
      <c r="G454" s="150">
        <f t="shared" si="105"/>
        <v>1068692.25</v>
      </c>
      <c r="H454" s="150">
        <f>SUM(H455:H456)</f>
        <v>717087.3</v>
      </c>
      <c r="I454" s="154">
        <f t="shared" si="106"/>
        <v>1785779.55</v>
      </c>
    </row>
    <row r="455" spans="2:9" ht="12.75">
      <c r="B455" s="147" t="s">
        <v>565</v>
      </c>
      <c r="C455" s="133" t="s">
        <v>564</v>
      </c>
      <c r="D455" s="151">
        <f>411022.7-224884.1</f>
        <v>186138.6</v>
      </c>
      <c r="E455" s="151">
        <f>305039.9-171102.95</f>
        <v>133936.95</v>
      </c>
      <c r="F455" s="151">
        <f>982054.25-233437.55</f>
        <v>748616.7</v>
      </c>
      <c r="G455" s="151">
        <f t="shared" si="105"/>
        <v>1068692.25</v>
      </c>
      <c r="H455" s="151">
        <f>722837.3-5750</f>
        <v>717087.3</v>
      </c>
      <c r="I455" s="155">
        <f t="shared" si="106"/>
        <v>1785779.55</v>
      </c>
    </row>
    <row r="456" spans="2:9" ht="12.75">
      <c r="B456" s="147" t="s">
        <v>566</v>
      </c>
      <c r="C456" s="133" t="s">
        <v>567</v>
      </c>
      <c r="D456" s="151"/>
      <c r="E456" s="151"/>
      <c r="F456" s="151"/>
      <c r="G456" s="151">
        <f t="shared" si="105"/>
        <v>0</v>
      </c>
      <c r="H456" s="151"/>
      <c r="I456" s="155">
        <f t="shared" si="106"/>
        <v>0</v>
      </c>
    </row>
    <row r="457" spans="2:9" ht="12.75">
      <c r="B457" s="146" t="s">
        <v>251</v>
      </c>
      <c r="C457" s="132" t="s">
        <v>568</v>
      </c>
      <c r="D457" s="150">
        <f>SUM(D458:D461)</f>
        <v>11471.85</v>
      </c>
      <c r="E457" s="150">
        <f>SUM(E458:E461)</f>
        <v>0</v>
      </c>
      <c r="F457" s="150">
        <f>SUM(F458:F461)</f>
        <v>0</v>
      </c>
      <c r="G457" s="150">
        <f t="shared" si="105"/>
        <v>11471.85</v>
      </c>
      <c r="H457" s="150">
        <f>SUM(H458:H461)</f>
        <v>903563.8500000001</v>
      </c>
      <c r="I457" s="154">
        <f t="shared" si="106"/>
        <v>915035.7000000001</v>
      </c>
    </row>
    <row r="458" spans="2:9" ht="12.75">
      <c r="B458" s="147" t="s">
        <v>569</v>
      </c>
      <c r="C458" s="133" t="s">
        <v>570</v>
      </c>
      <c r="D458" s="151"/>
      <c r="E458" s="151"/>
      <c r="F458" s="151"/>
      <c r="G458" s="151">
        <f t="shared" si="105"/>
        <v>0</v>
      </c>
      <c r="H458" s="151">
        <v>0</v>
      </c>
      <c r="I458" s="155">
        <f t="shared" si="106"/>
        <v>0</v>
      </c>
    </row>
    <row r="459" spans="2:9" ht="12.75">
      <c r="B459" s="147" t="s">
        <v>571</v>
      </c>
      <c r="C459" s="133" t="s">
        <v>572</v>
      </c>
      <c r="D459" s="151">
        <f>1082.6</f>
        <v>1082.6</v>
      </c>
      <c r="E459" s="151"/>
      <c r="F459" s="151"/>
      <c r="G459" s="151">
        <f t="shared" si="105"/>
        <v>1082.6</v>
      </c>
      <c r="H459" s="151">
        <f>274958.65-7708.55</f>
        <v>267250.10000000003</v>
      </c>
      <c r="I459" s="155">
        <f t="shared" si="106"/>
        <v>268332.7</v>
      </c>
    </row>
    <row r="460" spans="2:9" ht="12.75">
      <c r="B460" s="147" t="s">
        <v>573</v>
      </c>
      <c r="C460" s="133" t="s">
        <v>574</v>
      </c>
      <c r="D460" s="151">
        <f>32473.9-22084.65</f>
        <v>10389.25</v>
      </c>
      <c r="E460" s="151">
        <v>0</v>
      </c>
      <c r="F460" s="151"/>
      <c r="G460" s="151">
        <f t="shared" si="105"/>
        <v>10389.25</v>
      </c>
      <c r="H460" s="151">
        <f>112654.2</f>
        <v>112654.2</v>
      </c>
      <c r="I460" s="155">
        <f t="shared" si="106"/>
        <v>123043.45</v>
      </c>
    </row>
    <row r="461" spans="2:9" ht="12.75">
      <c r="B461" s="147" t="s">
        <v>575</v>
      </c>
      <c r="C461" s="133" t="s">
        <v>576</v>
      </c>
      <c r="D461" s="151"/>
      <c r="E461" s="151"/>
      <c r="F461" s="151"/>
      <c r="G461" s="151">
        <f t="shared" si="105"/>
        <v>0</v>
      </c>
      <c r="H461" s="151">
        <f>550452.25-26792.7</f>
        <v>523659.55</v>
      </c>
      <c r="I461" s="155">
        <f t="shared" si="106"/>
        <v>523659.55</v>
      </c>
    </row>
    <row r="462" spans="2:9" ht="12.75">
      <c r="B462" s="146" t="s">
        <v>304</v>
      </c>
      <c r="C462" s="132" t="s">
        <v>577</v>
      </c>
      <c r="D462" s="150">
        <f>SUM(D463)</f>
        <v>0</v>
      </c>
      <c r="E462" s="150">
        <f>SUM(E463)</f>
        <v>0</v>
      </c>
      <c r="F462" s="150">
        <f>SUM(F463)</f>
        <v>0</v>
      </c>
      <c r="G462" s="150">
        <f t="shared" si="105"/>
        <v>0</v>
      </c>
      <c r="H462" s="150">
        <f>SUM(H463)</f>
        <v>0</v>
      </c>
      <c r="I462" s="154">
        <f t="shared" si="106"/>
        <v>0</v>
      </c>
    </row>
    <row r="463" spans="2:9" ht="12.75">
      <c r="B463" s="147" t="s">
        <v>579</v>
      </c>
      <c r="C463" s="133" t="s">
        <v>577</v>
      </c>
      <c r="D463" s="151"/>
      <c r="E463" s="151"/>
      <c r="F463" s="151"/>
      <c r="G463" s="151">
        <f t="shared" si="105"/>
        <v>0</v>
      </c>
      <c r="H463" s="151"/>
      <c r="I463" s="155">
        <f t="shared" si="106"/>
        <v>0</v>
      </c>
    </row>
    <row r="464" spans="2:9" ht="12.75">
      <c r="B464" s="146" t="s">
        <v>366</v>
      </c>
      <c r="C464" s="132" t="s">
        <v>578</v>
      </c>
      <c r="D464" s="150">
        <f>SUM(D465)</f>
        <v>0</v>
      </c>
      <c r="E464" s="150">
        <f>SUM(E465)</f>
        <v>0</v>
      </c>
      <c r="F464" s="150">
        <f>SUM(F465)</f>
        <v>12092</v>
      </c>
      <c r="G464" s="150">
        <f t="shared" si="105"/>
        <v>12092</v>
      </c>
      <c r="H464" s="150">
        <f>SUM(H465)</f>
        <v>350916.15</v>
      </c>
      <c r="I464" s="154">
        <f t="shared" si="106"/>
        <v>363008.15</v>
      </c>
    </row>
    <row r="465" spans="2:9" ht="12.75">
      <c r="B465" s="147" t="s">
        <v>580</v>
      </c>
      <c r="C465" s="133" t="s">
        <v>578</v>
      </c>
      <c r="D465" s="151"/>
      <c r="E465" s="151"/>
      <c r="F465" s="151">
        <f>55923.7-43831.7</f>
        <v>12092</v>
      </c>
      <c r="G465" s="151">
        <f t="shared" si="105"/>
        <v>12092</v>
      </c>
      <c r="H465" s="151">
        <f>368611-17694.85</f>
        <v>350916.15</v>
      </c>
      <c r="I465" s="155">
        <f t="shared" si="106"/>
        <v>363008.15</v>
      </c>
    </row>
    <row r="466" spans="2:9" ht="12.75">
      <c r="B466" s="146" t="s">
        <v>372</v>
      </c>
      <c r="C466" s="132" t="s">
        <v>581</v>
      </c>
      <c r="D466" s="150">
        <f>D467+D472+D477+D483+D491+D495+D497+D503+D505</f>
        <v>254054.35</v>
      </c>
      <c r="E466" s="150">
        <f>E467+E472+E477+E483+E491+E495+E497+E503+E505</f>
        <v>491588.94999999995</v>
      </c>
      <c r="F466" s="150">
        <f>F467+F472+F477+F483+F491+F495+F497+F503+F505</f>
        <v>575969.92</v>
      </c>
      <c r="G466" s="150">
        <f t="shared" si="105"/>
        <v>1321613.22</v>
      </c>
      <c r="H466" s="150">
        <f>H467+H472+H477+H483+H491+H495+H497+H503+H505</f>
        <v>35218680.36999999</v>
      </c>
      <c r="I466" s="154">
        <f t="shared" si="106"/>
        <v>36540293.58999999</v>
      </c>
    </row>
    <row r="467" spans="2:9" ht="12.75">
      <c r="B467" s="146" t="s">
        <v>278</v>
      </c>
      <c r="C467" s="132" t="s">
        <v>584</v>
      </c>
      <c r="D467" s="150">
        <f>SUM(D468:D471)</f>
        <v>0</v>
      </c>
      <c r="E467" s="150">
        <f>SUM(E468:E471)</f>
        <v>0</v>
      </c>
      <c r="F467" s="150">
        <f>SUM(F468:F471)</f>
        <v>0</v>
      </c>
      <c r="G467" s="150">
        <f t="shared" si="105"/>
        <v>0</v>
      </c>
      <c r="H467" s="150">
        <f>SUM(H468:H471)</f>
        <v>6705882.1499999985</v>
      </c>
      <c r="I467" s="154">
        <f t="shared" si="106"/>
        <v>6705882.1499999985</v>
      </c>
    </row>
    <row r="468" spans="2:9" ht="12.75">
      <c r="B468" s="147" t="s">
        <v>582</v>
      </c>
      <c r="C468" s="133" t="s">
        <v>583</v>
      </c>
      <c r="D468" s="151"/>
      <c r="E468" s="151"/>
      <c r="F468" s="151"/>
      <c r="G468" s="151">
        <f t="shared" si="105"/>
        <v>0</v>
      </c>
      <c r="H468" s="151"/>
      <c r="I468" s="155">
        <f t="shared" si="106"/>
        <v>0</v>
      </c>
    </row>
    <row r="469" spans="2:9" ht="12.75">
      <c r="B469" s="147" t="s">
        <v>585</v>
      </c>
      <c r="C469" s="133" t="s">
        <v>586</v>
      </c>
      <c r="D469" s="151"/>
      <c r="E469" s="151"/>
      <c r="F469" s="151"/>
      <c r="G469" s="151">
        <f t="shared" si="105"/>
        <v>0</v>
      </c>
      <c r="H469" s="151">
        <f>17054441.15-10348559</f>
        <v>6705882.1499999985</v>
      </c>
      <c r="I469" s="155">
        <f t="shared" si="106"/>
        <v>6705882.1499999985</v>
      </c>
    </row>
    <row r="470" spans="2:9" ht="12.75">
      <c r="B470" s="147" t="s">
        <v>587</v>
      </c>
      <c r="C470" s="133" t="s">
        <v>588</v>
      </c>
      <c r="D470" s="151"/>
      <c r="E470" s="151"/>
      <c r="F470" s="151"/>
      <c r="G470" s="151">
        <f t="shared" si="105"/>
        <v>0</v>
      </c>
      <c r="H470" s="151"/>
      <c r="I470" s="155">
        <f t="shared" si="106"/>
        <v>0</v>
      </c>
    </row>
    <row r="471" spans="2:9" ht="12.75">
      <c r="B471" s="147" t="s">
        <v>589</v>
      </c>
      <c r="C471" s="133" t="s">
        <v>590</v>
      </c>
      <c r="D471" s="151"/>
      <c r="E471" s="151"/>
      <c r="F471" s="151"/>
      <c r="G471" s="151">
        <f t="shared" si="105"/>
        <v>0</v>
      </c>
      <c r="H471" s="151"/>
      <c r="I471" s="155">
        <f t="shared" si="106"/>
        <v>0</v>
      </c>
    </row>
    <row r="472" spans="2:9" ht="12.75">
      <c r="B472" s="146" t="s">
        <v>280</v>
      </c>
      <c r="C472" s="132" t="s">
        <v>591</v>
      </c>
      <c r="D472" s="150">
        <f>SUM(D473:D476)</f>
        <v>0</v>
      </c>
      <c r="E472" s="150">
        <f>SUM(E473:E476)</f>
        <v>0</v>
      </c>
      <c r="F472" s="150">
        <f>SUM(F473:F476)</f>
        <v>0</v>
      </c>
      <c r="G472" s="150">
        <f t="shared" si="105"/>
        <v>0</v>
      </c>
      <c r="H472" s="150">
        <f>SUM(H473:H476)</f>
        <v>8353729</v>
      </c>
      <c r="I472" s="154">
        <f t="shared" si="106"/>
        <v>8353729</v>
      </c>
    </row>
    <row r="473" spans="2:9" ht="12.75">
      <c r="B473" s="147" t="s">
        <v>592</v>
      </c>
      <c r="C473" s="133" t="s">
        <v>593</v>
      </c>
      <c r="D473" s="151"/>
      <c r="E473" s="151"/>
      <c r="F473" s="151"/>
      <c r="G473" s="151">
        <f t="shared" si="105"/>
        <v>0</v>
      </c>
      <c r="H473" s="151"/>
      <c r="I473" s="155">
        <f t="shared" si="106"/>
        <v>0</v>
      </c>
    </row>
    <row r="474" spans="2:9" ht="12.75">
      <c r="B474" s="147" t="s">
        <v>594</v>
      </c>
      <c r="C474" s="133" t="s">
        <v>595</v>
      </c>
      <c r="D474" s="151"/>
      <c r="E474" s="151"/>
      <c r="F474" s="151"/>
      <c r="G474" s="151">
        <f t="shared" si="105"/>
        <v>0</v>
      </c>
      <c r="H474" s="151">
        <f>9520783.4-2880385</f>
        <v>6640398.4</v>
      </c>
      <c r="I474" s="155">
        <f t="shared" si="106"/>
        <v>6640398.4</v>
      </c>
    </row>
    <row r="475" spans="2:9" ht="12.75">
      <c r="B475" s="147" t="s">
        <v>596</v>
      </c>
      <c r="C475" s="133" t="s">
        <v>597</v>
      </c>
      <c r="D475" s="151"/>
      <c r="E475" s="151"/>
      <c r="F475" s="151"/>
      <c r="G475" s="151">
        <f t="shared" si="105"/>
        <v>0</v>
      </c>
      <c r="H475" s="151">
        <f>1600730.6</f>
        <v>1600730.6</v>
      </c>
      <c r="I475" s="155">
        <f t="shared" si="106"/>
        <v>1600730.6</v>
      </c>
    </row>
    <row r="476" spans="2:9" ht="12.75">
      <c r="B476" s="147" t="s">
        <v>598</v>
      </c>
      <c r="C476" s="133" t="s">
        <v>599</v>
      </c>
      <c r="D476" s="151"/>
      <c r="E476" s="151"/>
      <c r="F476" s="151"/>
      <c r="G476" s="151">
        <f t="shared" si="105"/>
        <v>0</v>
      </c>
      <c r="H476" s="151">
        <f>112600</f>
        <v>112600</v>
      </c>
      <c r="I476" s="155">
        <f t="shared" si="106"/>
        <v>112600</v>
      </c>
    </row>
    <row r="477" spans="2:9" ht="12.75">
      <c r="B477" s="146" t="s">
        <v>600</v>
      </c>
      <c r="C477" s="132" t="s">
        <v>601</v>
      </c>
      <c r="D477" s="150">
        <f>SUM(D478:D482)</f>
        <v>115564.25</v>
      </c>
      <c r="E477" s="150">
        <f>SUM(E478:E482)</f>
        <v>103444.1</v>
      </c>
      <c r="F477" s="150">
        <f>SUM(F478:F482)</f>
        <v>-800</v>
      </c>
      <c r="G477" s="150">
        <f t="shared" si="105"/>
        <v>218208.35</v>
      </c>
      <c r="H477" s="150">
        <f>SUM(H478:H482)</f>
        <v>6697608.119999999</v>
      </c>
      <c r="I477" s="154">
        <f t="shared" si="106"/>
        <v>6915816.469999999</v>
      </c>
    </row>
    <row r="478" spans="2:9" ht="12.75">
      <c r="B478" s="147" t="s">
        <v>602</v>
      </c>
      <c r="C478" s="133" t="s">
        <v>603</v>
      </c>
      <c r="D478" s="151">
        <f>64131.85-19200</f>
        <v>44931.85</v>
      </c>
      <c r="E478" s="151">
        <f>24000-23300</f>
        <v>700</v>
      </c>
      <c r="F478" s="151">
        <f>30000-30800</f>
        <v>-800</v>
      </c>
      <c r="G478" s="151">
        <f t="shared" si="105"/>
        <v>44831.85</v>
      </c>
      <c r="H478" s="151">
        <f>3160513.4-3152324.2</f>
        <v>8189.199999999721</v>
      </c>
      <c r="I478" s="155">
        <f t="shared" si="106"/>
        <v>53021.04999999972</v>
      </c>
    </row>
    <row r="479" spans="2:9" ht="12.75">
      <c r="B479" s="147" t="s">
        <v>604</v>
      </c>
      <c r="C479" s="133" t="s">
        <v>605</v>
      </c>
      <c r="D479" s="151"/>
      <c r="E479" s="151"/>
      <c r="F479" s="151"/>
      <c r="G479" s="151">
        <f t="shared" si="105"/>
        <v>0</v>
      </c>
      <c r="H479" s="151">
        <f>7608530.42-1947928</f>
        <v>5660602.42</v>
      </c>
      <c r="I479" s="155">
        <f t="shared" si="106"/>
        <v>5660602.42</v>
      </c>
    </row>
    <row r="480" spans="2:9" ht="12.75">
      <c r="B480" s="147" t="s">
        <v>606</v>
      </c>
      <c r="C480" s="133" t="s">
        <v>607</v>
      </c>
      <c r="D480" s="151">
        <f>70632.4</f>
        <v>70632.4</v>
      </c>
      <c r="E480" s="151">
        <f>102744.1</f>
        <v>102744.1</v>
      </c>
      <c r="F480" s="151"/>
      <c r="G480" s="151">
        <f aca="true" t="shared" si="107" ref="G480:G541">SUM(D480:F480)</f>
        <v>173376.5</v>
      </c>
      <c r="H480" s="151">
        <f>843816.5</f>
        <v>843816.5</v>
      </c>
      <c r="I480" s="155">
        <f aca="true" t="shared" si="108" ref="I480:I541">SUM(G480:H480)</f>
        <v>1017193</v>
      </c>
    </row>
    <row r="481" spans="2:9" ht="12.75">
      <c r="B481" s="147" t="s">
        <v>608</v>
      </c>
      <c r="C481" s="133" t="s">
        <v>609</v>
      </c>
      <c r="D481" s="151"/>
      <c r="E481" s="151"/>
      <c r="F481" s="151"/>
      <c r="G481" s="151">
        <f t="shared" si="107"/>
        <v>0</v>
      </c>
      <c r="H481" s="151"/>
      <c r="I481" s="155">
        <f t="shared" si="108"/>
        <v>0</v>
      </c>
    </row>
    <row r="482" spans="2:9" ht="12.75">
      <c r="B482" s="147" t="s">
        <v>610</v>
      </c>
      <c r="C482" s="133" t="s">
        <v>876</v>
      </c>
      <c r="D482" s="151"/>
      <c r="E482" s="151"/>
      <c r="F482" s="151"/>
      <c r="G482" s="151">
        <f t="shared" si="107"/>
        <v>0</v>
      </c>
      <c r="H482" s="151">
        <f>185000</f>
        <v>185000</v>
      </c>
      <c r="I482" s="155">
        <f t="shared" si="108"/>
        <v>185000</v>
      </c>
    </row>
    <row r="483" spans="2:9" ht="12.75">
      <c r="B483" s="146" t="s">
        <v>281</v>
      </c>
      <c r="C483" s="132" t="s">
        <v>611</v>
      </c>
      <c r="D483" s="150">
        <f>SUM(D484:D490)</f>
        <v>52955.7</v>
      </c>
      <c r="E483" s="150">
        <f>SUM(E484:E490)</f>
        <v>249691.59999999998</v>
      </c>
      <c r="F483" s="150">
        <f>SUM(F484:F490)</f>
        <v>213079.87</v>
      </c>
      <c r="G483" s="150">
        <f t="shared" si="107"/>
        <v>515727.17</v>
      </c>
      <c r="H483" s="150">
        <f>SUM(H484:H490)</f>
        <v>429136</v>
      </c>
      <c r="I483" s="154">
        <f t="shared" si="108"/>
        <v>944863.1699999999</v>
      </c>
    </row>
    <row r="484" spans="2:9" ht="12.75">
      <c r="B484" s="147" t="s">
        <v>612</v>
      </c>
      <c r="C484" s="133" t="s">
        <v>613</v>
      </c>
      <c r="D484" s="151"/>
      <c r="E484" s="151"/>
      <c r="F484" s="151"/>
      <c r="G484" s="151">
        <f t="shared" si="107"/>
        <v>0</v>
      </c>
      <c r="H484" s="151">
        <v>0</v>
      </c>
      <c r="I484" s="155">
        <f t="shared" si="108"/>
        <v>0</v>
      </c>
    </row>
    <row r="485" spans="2:9" ht="12.75">
      <c r="B485" s="147" t="s">
        <v>614</v>
      </c>
      <c r="C485" s="133" t="s">
        <v>615</v>
      </c>
      <c r="D485" s="151"/>
      <c r="E485" s="151"/>
      <c r="F485" s="151"/>
      <c r="G485" s="151">
        <f t="shared" si="107"/>
        <v>0</v>
      </c>
      <c r="H485" s="151"/>
      <c r="I485" s="155">
        <f t="shared" si="108"/>
        <v>0</v>
      </c>
    </row>
    <row r="486" spans="2:9" ht="12.75">
      <c r="B486" s="147" t="s">
        <v>616</v>
      </c>
      <c r="C486" s="133" t="s">
        <v>617</v>
      </c>
      <c r="D486" s="151"/>
      <c r="E486" s="151"/>
      <c r="F486" s="151"/>
      <c r="G486" s="151">
        <f t="shared" si="107"/>
        <v>0</v>
      </c>
      <c r="H486" s="151"/>
      <c r="I486" s="155">
        <f t="shared" si="108"/>
        <v>0</v>
      </c>
    </row>
    <row r="487" spans="2:9" ht="12.75">
      <c r="B487" s="147" t="s">
        <v>618</v>
      </c>
      <c r="C487" s="133" t="s">
        <v>619</v>
      </c>
      <c r="D487" s="151">
        <f>68455.7-15500</f>
        <v>52955.7</v>
      </c>
      <c r="E487" s="151">
        <f>199621.8-77004.05</f>
        <v>122617.74999999999</v>
      </c>
      <c r="F487" s="151">
        <f>205057.77-29069.8</f>
        <v>175987.97</v>
      </c>
      <c r="G487" s="151">
        <f t="shared" si="107"/>
        <v>351561.42</v>
      </c>
      <c r="H487" s="151"/>
      <c r="I487" s="155">
        <f t="shared" si="108"/>
        <v>351561.42</v>
      </c>
    </row>
    <row r="488" spans="2:9" ht="12.75">
      <c r="B488" s="147" t="s">
        <v>620</v>
      </c>
      <c r="C488" s="133" t="s">
        <v>621</v>
      </c>
      <c r="D488" s="151"/>
      <c r="E488" s="151"/>
      <c r="F488" s="151"/>
      <c r="G488" s="151">
        <f t="shared" si="107"/>
        <v>0</v>
      </c>
      <c r="H488" s="151">
        <f>90500</f>
        <v>90500</v>
      </c>
      <c r="I488" s="155">
        <f t="shared" si="108"/>
        <v>90500</v>
      </c>
    </row>
    <row r="489" spans="2:9" ht="12.75">
      <c r="B489" s="147" t="s">
        <v>622</v>
      </c>
      <c r="C489" s="133" t="s">
        <v>623</v>
      </c>
      <c r="D489" s="151"/>
      <c r="E489" s="151"/>
      <c r="F489" s="151"/>
      <c r="G489" s="151">
        <f t="shared" si="107"/>
        <v>0</v>
      </c>
      <c r="H489" s="151">
        <f>250000</f>
        <v>250000</v>
      </c>
      <c r="I489" s="155">
        <f t="shared" si="108"/>
        <v>250000</v>
      </c>
    </row>
    <row r="490" spans="2:9" ht="12.75">
      <c r="B490" s="147" t="s">
        <v>624</v>
      </c>
      <c r="C490" s="133" t="s">
        <v>625</v>
      </c>
      <c r="D490" s="151"/>
      <c r="E490" s="151">
        <f>171404.35-44330.5</f>
        <v>127073.85</v>
      </c>
      <c r="F490" s="151">
        <f>37091.9</f>
        <v>37091.9</v>
      </c>
      <c r="G490" s="151">
        <f t="shared" si="107"/>
        <v>164165.75</v>
      </c>
      <c r="H490" s="151">
        <f>88636</f>
        <v>88636</v>
      </c>
      <c r="I490" s="155">
        <f t="shared" si="108"/>
        <v>252801.75</v>
      </c>
    </row>
    <row r="491" spans="2:9" ht="12.75">
      <c r="B491" s="146" t="s">
        <v>282</v>
      </c>
      <c r="C491" s="132" t="s">
        <v>626</v>
      </c>
      <c r="D491" s="150">
        <f>SUM(D492:D494)</f>
        <v>0</v>
      </c>
      <c r="E491" s="150">
        <f>SUM(E492:E494)</f>
        <v>0</v>
      </c>
      <c r="F491" s="150">
        <f>SUM(F492:F494)</f>
        <v>0</v>
      </c>
      <c r="G491" s="150">
        <f t="shared" si="107"/>
        <v>0</v>
      </c>
      <c r="H491" s="150">
        <f>SUM(H492:H494)</f>
        <v>718867.5899999999</v>
      </c>
      <c r="I491" s="154">
        <f t="shared" si="108"/>
        <v>718867.5899999999</v>
      </c>
    </row>
    <row r="492" spans="2:9" ht="12.75">
      <c r="B492" s="147" t="s">
        <v>627</v>
      </c>
      <c r="C492" s="133" t="s">
        <v>628</v>
      </c>
      <c r="D492" s="151"/>
      <c r="E492" s="151"/>
      <c r="F492" s="151"/>
      <c r="G492" s="151">
        <f t="shared" si="107"/>
        <v>0</v>
      </c>
      <c r="H492" s="151">
        <v>0</v>
      </c>
      <c r="I492" s="155">
        <f t="shared" si="108"/>
        <v>0</v>
      </c>
    </row>
    <row r="493" spans="2:9" ht="12.75">
      <c r="B493" s="147" t="s">
        <v>629</v>
      </c>
      <c r="C493" s="133" t="s">
        <v>630</v>
      </c>
      <c r="D493" s="151"/>
      <c r="E493" s="151"/>
      <c r="F493" s="151"/>
      <c r="G493" s="151">
        <f t="shared" si="107"/>
        <v>0</v>
      </c>
      <c r="H493" s="151"/>
      <c r="I493" s="155">
        <f t="shared" si="108"/>
        <v>0</v>
      </c>
    </row>
    <row r="494" spans="2:9" ht="12.75">
      <c r="B494" s="147" t="s">
        <v>631</v>
      </c>
      <c r="C494" s="133" t="s">
        <v>632</v>
      </c>
      <c r="D494" s="151"/>
      <c r="E494" s="151"/>
      <c r="F494" s="151"/>
      <c r="G494" s="151">
        <f t="shared" si="107"/>
        <v>0</v>
      </c>
      <c r="H494" s="151">
        <f>3013658.26-2294790.67</f>
        <v>718867.5899999999</v>
      </c>
      <c r="I494" s="155">
        <f t="shared" si="108"/>
        <v>718867.5899999999</v>
      </c>
    </row>
    <row r="495" spans="2:9" ht="12.75">
      <c r="B495" s="146" t="s">
        <v>283</v>
      </c>
      <c r="C495" s="132" t="s">
        <v>633</v>
      </c>
      <c r="D495" s="150">
        <f>SUM(D496)</f>
        <v>0</v>
      </c>
      <c r="E495" s="150">
        <f>SUM(E496)</f>
        <v>0</v>
      </c>
      <c r="F495" s="150">
        <f>SUM(F496)</f>
        <v>0</v>
      </c>
      <c r="G495" s="150">
        <f t="shared" si="107"/>
        <v>0</v>
      </c>
      <c r="H495" s="150">
        <f>SUM(H496)</f>
        <v>0</v>
      </c>
      <c r="I495" s="154">
        <f t="shared" si="108"/>
        <v>0</v>
      </c>
    </row>
    <row r="496" spans="2:9" ht="12.75">
      <c r="B496" s="147" t="s">
        <v>634</v>
      </c>
      <c r="C496" s="133" t="s">
        <v>633</v>
      </c>
      <c r="D496" s="151"/>
      <c r="E496" s="151"/>
      <c r="F496" s="151"/>
      <c r="G496" s="151">
        <f t="shared" si="107"/>
        <v>0</v>
      </c>
      <c r="H496" s="151"/>
      <c r="I496" s="155">
        <f t="shared" si="108"/>
        <v>0</v>
      </c>
    </row>
    <row r="497" spans="2:9" ht="12.75">
      <c r="B497" s="146" t="s">
        <v>635</v>
      </c>
      <c r="C497" s="132" t="s">
        <v>636</v>
      </c>
      <c r="D497" s="150">
        <f>SUM(D498:D502)</f>
        <v>85534.4</v>
      </c>
      <c r="E497" s="150">
        <f>SUM(E498:E502)</f>
        <v>128453.25</v>
      </c>
      <c r="F497" s="150">
        <f>SUM(F498:F502)</f>
        <v>356990.25</v>
      </c>
      <c r="G497" s="150">
        <f t="shared" si="107"/>
        <v>570977.9</v>
      </c>
      <c r="H497" s="150">
        <f>SUM(H498:H502)</f>
        <v>12313457.509999998</v>
      </c>
      <c r="I497" s="154">
        <f t="shared" si="108"/>
        <v>12884435.409999998</v>
      </c>
    </row>
    <row r="498" spans="2:9" ht="12.75">
      <c r="B498" s="147" t="s">
        <v>637</v>
      </c>
      <c r="C498" s="133" t="s">
        <v>638</v>
      </c>
      <c r="D498" s="151">
        <f>85534.4</f>
        <v>85534.4</v>
      </c>
      <c r="E498" s="151">
        <f>128453.25</f>
        <v>128453.25</v>
      </c>
      <c r="F498" s="151">
        <f>356990.25</f>
        <v>356990.25</v>
      </c>
      <c r="G498" s="151">
        <f t="shared" si="107"/>
        <v>570977.9</v>
      </c>
      <c r="H498" s="151"/>
      <c r="I498" s="155">
        <f t="shared" si="108"/>
        <v>570977.9</v>
      </c>
    </row>
    <row r="499" spans="2:9" ht="12.75">
      <c r="B499" s="147" t="s">
        <v>639</v>
      </c>
      <c r="C499" s="133" t="s">
        <v>640</v>
      </c>
      <c r="D499" s="151"/>
      <c r="E499" s="151"/>
      <c r="F499" s="151"/>
      <c r="G499" s="151">
        <f t="shared" si="107"/>
        <v>0</v>
      </c>
      <c r="H499" s="151"/>
      <c r="I499" s="155">
        <f t="shared" si="108"/>
        <v>0</v>
      </c>
    </row>
    <row r="500" spans="2:9" ht="12.75">
      <c r="B500" s="147" t="s">
        <v>641</v>
      </c>
      <c r="C500" s="133" t="s">
        <v>642</v>
      </c>
      <c r="D500" s="151"/>
      <c r="E500" s="151"/>
      <c r="F500" s="151"/>
      <c r="G500" s="151">
        <f t="shared" si="107"/>
        <v>0</v>
      </c>
      <c r="H500" s="151"/>
      <c r="I500" s="155">
        <f t="shared" si="108"/>
        <v>0</v>
      </c>
    </row>
    <row r="501" spans="2:9" ht="12.75">
      <c r="B501" s="147" t="s">
        <v>643</v>
      </c>
      <c r="C501" s="133" t="s">
        <v>644</v>
      </c>
      <c r="D501" s="151"/>
      <c r="E501" s="151"/>
      <c r="F501" s="151"/>
      <c r="G501" s="151">
        <f t="shared" si="107"/>
        <v>0</v>
      </c>
      <c r="H501" s="151">
        <v>0</v>
      </c>
      <c r="I501" s="155">
        <f t="shared" si="108"/>
        <v>0</v>
      </c>
    </row>
    <row r="502" spans="2:9" ht="12.75">
      <c r="B502" s="147" t="s">
        <v>645</v>
      </c>
      <c r="C502" s="133" t="s">
        <v>646</v>
      </c>
      <c r="D502" s="151"/>
      <c r="E502" s="151"/>
      <c r="F502" s="151"/>
      <c r="G502" s="151">
        <f t="shared" si="107"/>
        <v>0</v>
      </c>
      <c r="H502" s="151">
        <f>20150244.06-7836786.55</f>
        <v>12313457.509999998</v>
      </c>
      <c r="I502" s="155">
        <f t="shared" si="108"/>
        <v>12313457.509999998</v>
      </c>
    </row>
    <row r="503" spans="2:9" ht="12.75">
      <c r="B503" s="146" t="s">
        <v>647</v>
      </c>
      <c r="C503" s="132" t="s">
        <v>648</v>
      </c>
      <c r="D503" s="150">
        <f>SUM(D504)</f>
        <v>0</v>
      </c>
      <c r="E503" s="150">
        <f>SUM(E504)</f>
        <v>0</v>
      </c>
      <c r="F503" s="150">
        <f>SUM(F504)</f>
        <v>0</v>
      </c>
      <c r="G503" s="150">
        <f t="shared" si="107"/>
        <v>0</v>
      </c>
      <c r="H503" s="150">
        <f>SUM(H504)</f>
        <v>0</v>
      </c>
      <c r="I503" s="154">
        <f t="shared" si="108"/>
        <v>0</v>
      </c>
    </row>
    <row r="504" spans="2:9" ht="12.75">
      <c r="B504" s="147" t="s">
        <v>650</v>
      </c>
      <c r="C504" s="133" t="s">
        <v>648</v>
      </c>
      <c r="D504" s="151"/>
      <c r="E504" s="151"/>
      <c r="F504" s="151"/>
      <c r="G504" s="151">
        <f t="shared" si="107"/>
        <v>0</v>
      </c>
      <c r="H504" s="151"/>
      <c r="I504" s="155">
        <f t="shared" si="108"/>
        <v>0</v>
      </c>
    </row>
    <row r="505" spans="2:9" ht="12.75">
      <c r="B505" s="146" t="s">
        <v>649</v>
      </c>
      <c r="C505" s="132" t="s">
        <v>651</v>
      </c>
      <c r="D505" s="150">
        <f>SUM(D506:D508)</f>
        <v>0</v>
      </c>
      <c r="E505" s="150">
        <f>SUM(E506:E508)</f>
        <v>10000</v>
      </c>
      <c r="F505" s="150">
        <f>SUM(F506:F508)</f>
        <v>6699.8</v>
      </c>
      <c r="G505" s="150">
        <f t="shared" si="107"/>
        <v>16699.8</v>
      </c>
      <c r="H505" s="150">
        <f>SUM(H506:H508)</f>
        <v>0</v>
      </c>
      <c r="I505" s="154">
        <f t="shared" si="108"/>
        <v>16699.8</v>
      </c>
    </row>
    <row r="506" spans="2:9" ht="12.75">
      <c r="B506" s="147" t="s">
        <v>652</v>
      </c>
      <c r="C506" s="133" t="s">
        <v>653</v>
      </c>
      <c r="D506" s="151"/>
      <c r="E506" s="151"/>
      <c r="F506" s="151"/>
      <c r="G506" s="151">
        <f t="shared" si="107"/>
        <v>0</v>
      </c>
      <c r="H506" s="151"/>
      <c r="I506" s="155">
        <f t="shared" si="108"/>
        <v>0</v>
      </c>
    </row>
    <row r="507" spans="2:9" ht="12.75">
      <c r="B507" s="147" t="s">
        <v>654</v>
      </c>
      <c r="C507" s="133" t="s">
        <v>655</v>
      </c>
      <c r="D507" s="151"/>
      <c r="E507" s="151">
        <f>10000</f>
        <v>10000</v>
      </c>
      <c r="F507" s="151">
        <f>6699.8</f>
        <v>6699.8</v>
      </c>
      <c r="G507" s="151">
        <f t="shared" si="107"/>
        <v>16699.8</v>
      </c>
      <c r="H507" s="151"/>
      <c r="I507" s="155">
        <f t="shared" si="108"/>
        <v>16699.8</v>
      </c>
    </row>
    <row r="508" spans="2:9" ht="12.75">
      <c r="B508" s="147" t="s">
        <v>656</v>
      </c>
      <c r="C508" s="133" t="s">
        <v>657</v>
      </c>
      <c r="D508" s="151"/>
      <c r="E508" s="151"/>
      <c r="F508" s="151"/>
      <c r="G508" s="151">
        <f t="shared" si="107"/>
        <v>0</v>
      </c>
      <c r="H508" s="151"/>
      <c r="I508" s="155">
        <f t="shared" si="108"/>
        <v>0</v>
      </c>
    </row>
    <row r="509" spans="2:9" ht="12.75">
      <c r="B509" s="146" t="s">
        <v>373</v>
      </c>
      <c r="C509" s="132" t="s">
        <v>658</v>
      </c>
      <c r="D509" s="150">
        <f>D510+D517+D522+D527+D529</f>
        <v>2110918.51</v>
      </c>
      <c r="E509" s="150">
        <f>E510+E517+E522+E527+E529</f>
        <v>2776760.54</v>
      </c>
      <c r="F509" s="150">
        <f>F510+F517+F522+F527+F529</f>
        <v>2772087.2500000005</v>
      </c>
      <c r="G509" s="150">
        <f t="shared" si="107"/>
        <v>7659766.300000001</v>
      </c>
      <c r="H509" s="150">
        <f>H510+H517+H522+H527+H529</f>
        <v>7665291.55</v>
      </c>
      <c r="I509" s="154">
        <f t="shared" si="108"/>
        <v>15325057.850000001</v>
      </c>
    </row>
    <row r="510" spans="2:9" ht="12.75">
      <c r="B510" s="146" t="s">
        <v>659</v>
      </c>
      <c r="C510" s="132" t="s">
        <v>660</v>
      </c>
      <c r="D510" s="150">
        <f>SUM(D511:D516)</f>
        <v>2073323.6599999997</v>
      </c>
      <c r="E510" s="150">
        <f>SUM(E511:E516)</f>
        <v>2770274.59</v>
      </c>
      <c r="F510" s="150">
        <f>SUM(F511:F516)</f>
        <v>2755650.1500000004</v>
      </c>
      <c r="G510" s="150">
        <f t="shared" si="107"/>
        <v>7599248.4</v>
      </c>
      <c r="H510" s="150">
        <f>SUM(H511:H516)</f>
        <v>0</v>
      </c>
      <c r="I510" s="154">
        <f t="shared" si="108"/>
        <v>7599248.4</v>
      </c>
    </row>
    <row r="511" spans="2:9" ht="12.75">
      <c r="B511" s="147" t="s">
        <v>661</v>
      </c>
      <c r="C511" s="133" t="s">
        <v>662</v>
      </c>
      <c r="D511" s="151"/>
      <c r="E511" s="151"/>
      <c r="F511" s="151"/>
      <c r="G511" s="151">
        <f t="shared" si="107"/>
        <v>0</v>
      </c>
      <c r="H511" s="151"/>
      <c r="I511" s="155">
        <f t="shared" si="108"/>
        <v>0</v>
      </c>
    </row>
    <row r="512" spans="2:9" ht="12.75">
      <c r="B512" s="147" t="s">
        <v>663</v>
      </c>
      <c r="C512" s="133" t="s">
        <v>664</v>
      </c>
      <c r="D512" s="151"/>
      <c r="E512" s="151"/>
      <c r="F512" s="151"/>
      <c r="G512" s="151">
        <f t="shared" si="107"/>
        <v>0</v>
      </c>
      <c r="H512" s="151"/>
      <c r="I512" s="155">
        <f t="shared" si="108"/>
        <v>0</v>
      </c>
    </row>
    <row r="513" spans="2:9" ht="12.75">
      <c r="B513" s="147" t="s">
        <v>665</v>
      </c>
      <c r="C513" s="133" t="s">
        <v>666</v>
      </c>
      <c r="D513" s="151">
        <f>70656.05</f>
        <v>70656.05</v>
      </c>
      <c r="E513" s="151">
        <f>60462.85</f>
        <v>60462.85</v>
      </c>
      <c r="F513" s="151">
        <f>19725.25</f>
        <v>19725.25</v>
      </c>
      <c r="G513" s="151">
        <f t="shared" si="107"/>
        <v>150844.15</v>
      </c>
      <c r="H513" s="151">
        <v>0</v>
      </c>
      <c r="I513" s="155">
        <f t="shared" si="108"/>
        <v>150844.15</v>
      </c>
    </row>
    <row r="514" spans="2:9" ht="12.75">
      <c r="B514" s="147" t="s">
        <v>667</v>
      </c>
      <c r="C514" s="133" t="s">
        <v>668</v>
      </c>
      <c r="D514" s="151">
        <f>2573802.86-936370.7</f>
        <v>1637432.16</v>
      </c>
      <c r="E514" s="151">
        <f>3281330.8-637204.8</f>
        <v>2644126</v>
      </c>
      <c r="F514" s="151">
        <f>5210857.37-2666303.26</f>
        <v>2544554.1100000003</v>
      </c>
      <c r="G514" s="151">
        <f t="shared" si="107"/>
        <v>6826112.2700000005</v>
      </c>
      <c r="H514" s="151">
        <v>0</v>
      </c>
      <c r="I514" s="155">
        <f t="shared" si="108"/>
        <v>6826112.2700000005</v>
      </c>
    </row>
    <row r="515" spans="2:9" ht="12.75">
      <c r="B515" s="147" t="s">
        <v>669</v>
      </c>
      <c r="C515" s="133" t="s">
        <v>670</v>
      </c>
      <c r="D515" s="151">
        <v>469.6</v>
      </c>
      <c r="E515" s="151"/>
      <c r="F515" s="151"/>
      <c r="G515" s="151">
        <f t="shared" si="107"/>
        <v>469.6</v>
      </c>
      <c r="H515" s="151"/>
      <c r="I515" s="155">
        <f t="shared" si="108"/>
        <v>469.6</v>
      </c>
    </row>
    <row r="516" spans="2:9" ht="12.75">
      <c r="B516" s="147" t="s">
        <v>671</v>
      </c>
      <c r="C516" s="133" t="s">
        <v>672</v>
      </c>
      <c r="D516" s="151">
        <f>3172661.05-2807895.2</f>
        <v>364765.8499999996</v>
      </c>
      <c r="E516" s="151">
        <f>2635425.59-2569739.85</f>
        <v>65685.73999999976</v>
      </c>
      <c r="F516" s="151">
        <f>191470.79-100</f>
        <v>191370.79</v>
      </c>
      <c r="G516" s="151">
        <f t="shared" si="107"/>
        <v>621822.3799999994</v>
      </c>
      <c r="H516" s="151"/>
      <c r="I516" s="155">
        <f t="shared" si="108"/>
        <v>621822.3799999994</v>
      </c>
    </row>
    <row r="517" spans="2:9" ht="12.75">
      <c r="B517" s="146" t="s">
        <v>673</v>
      </c>
      <c r="C517" s="132" t="s">
        <v>674</v>
      </c>
      <c r="D517" s="150">
        <f>SUM(D518:D521)</f>
        <v>37594.85</v>
      </c>
      <c r="E517" s="150">
        <f>SUM(E518:E521)</f>
        <v>6485.95</v>
      </c>
      <c r="F517" s="150">
        <f>SUM(F518:F521)</f>
        <v>-34702</v>
      </c>
      <c r="G517" s="150">
        <f t="shared" si="107"/>
        <v>9378.799999999996</v>
      </c>
      <c r="H517" s="150">
        <f>SUM(H518:H521)</f>
        <v>7665291.55</v>
      </c>
      <c r="I517" s="154">
        <f t="shared" si="108"/>
        <v>7674670.35</v>
      </c>
    </row>
    <row r="518" spans="2:9" ht="12.75">
      <c r="B518" s="147" t="s">
        <v>675</v>
      </c>
      <c r="C518" s="133" t="s">
        <v>676</v>
      </c>
      <c r="D518" s="151">
        <f>27531.25-65.4</f>
        <v>27465.85</v>
      </c>
      <c r="E518" s="151"/>
      <c r="F518" s="151"/>
      <c r="G518" s="151">
        <f t="shared" si="107"/>
        <v>27465.85</v>
      </c>
      <c r="H518" s="151"/>
      <c r="I518" s="155">
        <f t="shared" si="108"/>
        <v>27465.85</v>
      </c>
    </row>
    <row r="519" spans="2:9" ht="12.75">
      <c r="B519" s="147" t="s">
        <v>677</v>
      </c>
      <c r="C519" s="133" t="s">
        <v>678</v>
      </c>
      <c r="D519" s="151">
        <f>96713-86584</f>
        <v>10129</v>
      </c>
      <c r="E519" s="151"/>
      <c r="F519" s="151"/>
      <c r="G519" s="151">
        <f t="shared" si="107"/>
        <v>10129</v>
      </c>
      <c r="H519" s="151"/>
      <c r="I519" s="155">
        <f t="shared" si="108"/>
        <v>10129</v>
      </c>
    </row>
    <row r="520" spans="2:9" ht="12.75">
      <c r="B520" s="147" t="s">
        <v>679</v>
      </c>
      <c r="C520" s="133" t="s">
        <v>680</v>
      </c>
      <c r="D520" s="151"/>
      <c r="E520" s="151"/>
      <c r="F520" s="151"/>
      <c r="G520" s="151">
        <f t="shared" si="107"/>
        <v>0</v>
      </c>
      <c r="H520" s="151"/>
      <c r="I520" s="155">
        <f t="shared" si="108"/>
        <v>0</v>
      </c>
    </row>
    <row r="521" spans="2:9" ht="12.75">
      <c r="B521" s="147" t="s">
        <v>681</v>
      </c>
      <c r="C521" s="133" t="s">
        <v>682</v>
      </c>
      <c r="D521" s="151"/>
      <c r="E521" s="151">
        <f>6485.95</f>
        <v>6485.95</v>
      </c>
      <c r="F521" s="151">
        <f>64806-99508</f>
        <v>-34702</v>
      </c>
      <c r="G521" s="151">
        <f t="shared" si="107"/>
        <v>-28216.05</v>
      </c>
      <c r="H521" s="151">
        <f>7665291.55</f>
        <v>7665291.55</v>
      </c>
      <c r="I521" s="155">
        <f t="shared" si="108"/>
        <v>7637075.5</v>
      </c>
    </row>
    <row r="522" spans="2:9" ht="12.75">
      <c r="B522" s="146" t="s">
        <v>683</v>
      </c>
      <c r="C522" s="132" t="s">
        <v>684</v>
      </c>
      <c r="D522" s="150">
        <f>SUM(D523:D526)</f>
        <v>0</v>
      </c>
      <c r="E522" s="150">
        <f>SUM(E523:E526)</f>
        <v>0</v>
      </c>
      <c r="F522" s="150">
        <f>SUM(F523:F526)</f>
        <v>51139.1</v>
      </c>
      <c r="G522" s="150">
        <f t="shared" si="107"/>
        <v>51139.1</v>
      </c>
      <c r="H522" s="150">
        <f>SUM(H523:H526)</f>
        <v>0</v>
      </c>
      <c r="I522" s="154">
        <f t="shared" si="108"/>
        <v>51139.1</v>
      </c>
    </row>
    <row r="523" spans="2:9" ht="12.75">
      <c r="B523" s="147" t="s">
        <v>685</v>
      </c>
      <c r="C523" s="133" t="s">
        <v>686</v>
      </c>
      <c r="D523" s="151"/>
      <c r="E523" s="151"/>
      <c r="F523" s="151"/>
      <c r="G523" s="151">
        <f t="shared" si="107"/>
        <v>0</v>
      </c>
      <c r="H523" s="151"/>
      <c r="I523" s="155">
        <f t="shared" si="108"/>
        <v>0</v>
      </c>
    </row>
    <row r="524" spans="2:9" ht="12.75">
      <c r="B524" s="147" t="s">
        <v>687</v>
      </c>
      <c r="C524" s="133" t="s">
        <v>688</v>
      </c>
      <c r="D524" s="151"/>
      <c r="E524" s="151"/>
      <c r="F524" s="151"/>
      <c r="G524" s="151">
        <f t="shared" si="107"/>
        <v>0</v>
      </c>
      <c r="H524" s="151"/>
      <c r="I524" s="155">
        <f t="shared" si="108"/>
        <v>0</v>
      </c>
    </row>
    <row r="525" spans="2:9" ht="12.75">
      <c r="B525" s="147" t="s">
        <v>689</v>
      </c>
      <c r="C525" s="133" t="s">
        <v>690</v>
      </c>
      <c r="D525" s="151"/>
      <c r="E525" s="151"/>
      <c r="F525" s="151">
        <f>51139.1</f>
        <v>51139.1</v>
      </c>
      <c r="G525" s="151">
        <f t="shared" si="107"/>
        <v>51139.1</v>
      </c>
      <c r="H525" s="151"/>
      <c r="I525" s="155">
        <f t="shared" si="108"/>
        <v>51139.1</v>
      </c>
    </row>
    <row r="526" spans="2:9" ht="12.75">
      <c r="B526" s="147" t="s">
        <v>691</v>
      </c>
      <c r="C526" s="133" t="s">
        <v>692</v>
      </c>
      <c r="D526" s="151"/>
      <c r="E526" s="151"/>
      <c r="F526" s="151"/>
      <c r="G526" s="151">
        <f t="shared" si="107"/>
        <v>0</v>
      </c>
      <c r="H526" s="151"/>
      <c r="I526" s="155">
        <f t="shared" si="108"/>
        <v>0</v>
      </c>
    </row>
    <row r="527" spans="2:9" ht="12.75">
      <c r="B527" s="146" t="s">
        <v>693</v>
      </c>
      <c r="C527" s="132" t="s">
        <v>696</v>
      </c>
      <c r="D527" s="150">
        <f>SUM(D528)</f>
        <v>0</v>
      </c>
      <c r="E527" s="150">
        <f>SUM(E528)</f>
        <v>0</v>
      </c>
      <c r="F527" s="150">
        <f>SUM(F528)</f>
        <v>0</v>
      </c>
      <c r="G527" s="150">
        <f t="shared" si="107"/>
        <v>0</v>
      </c>
      <c r="H527" s="150">
        <f>SUM(H528)</f>
        <v>0</v>
      </c>
      <c r="I527" s="154">
        <f t="shared" si="108"/>
        <v>0</v>
      </c>
    </row>
    <row r="528" spans="2:9" ht="12.75">
      <c r="B528" s="147" t="s">
        <v>694</v>
      </c>
      <c r="C528" s="133" t="s">
        <v>695</v>
      </c>
      <c r="D528" s="151"/>
      <c r="E528" s="151"/>
      <c r="F528" s="151"/>
      <c r="G528" s="151">
        <f t="shared" si="107"/>
        <v>0</v>
      </c>
      <c r="H528" s="151"/>
      <c r="I528" s="155">
        <f t="shared" si="108"/>
        <v>0</v>
      </c>
    </row>
    <row r="529" spans="2:9" ht="12.75">
      <c r="B529" s="146" t="s">
        <v>697</v>
      </c>
      <c r="C529" s="132" t="s">
        <v>698</v>
      </c>
      <c r="D529" s="150">
        <f>SUM(D530:D531)</f>
        <v>0</v>
      </c>
      <c r="E529" s="150">
        <f>SUM(E530:E531)</f>
        <v>0</v>
      </c>
      <c r="F529" s="150">
        <f>SUM(F530:F531)</f>
        <v>0</v>
      </c>
      <c r="G529" s="150">
        <f t="shared" si="107"/>
        <v>0</v>
      </c>
      <c r="H529" s="150">
        <f>SUM(H530:H531)</f>
        <v>0</v>
      </c>
      <c r="I529" s="154">
        <f t="shared" si="108"/>
        <v>0</v>
      </c>
    </row>
    <row r="530" spans="2:9" ht="12.75">
      <c r="B530" s="147" t="s">
        <v>699</v>
      </c>
      <c r="C530" s="133" t="s">
        <v>700</v>
      </c>
      <c r="D530" s="151"/>
      <c r="E530" s="151"/>
      <c r="F530" s="151"/>
      <c r="G530" s="151">
        <f t="shared" si="107"/>
        <v>0</v>
      </c>
      <c r="H530" s="151"/>
      <c r="I530" s="155">
        <f t="shared" si="108"/>
        <v>0</v>
      </c>
    </row>
    <row r="531" spans="2:9" ht="12.75">
      <c r="B531" s="147" t="s">
        <v>701</v>
      </c>
      <c r="C531" s="133" t="s">
        <v>702</v>
      </c>
      <c r="D531" s="151"/>
      <c r="E531" s="151"/>
      <c r="F531" s="151"/>
      <c r="G531" s="151">
        <f t="shared" si="107"/>
        <v>0</v>
      </c>
      <c r="H531" s="151"/>
      <c r="I531" s="155">
        <f t="shared" si="108"/>
        <v>0</v>
      </c>
    </row>
    <row r="532" spans="2:9" ht="12.75">
      <c r="B532" s="146" t="s">
        <v>703</v>
      </c>
      <c r="C532" s="132" t="s">
        <v>704</v>
      </c>
      <c r="D532" s="150">
        <f>D533+D536+D540+D545+D548+D550+D553+D557+D560</f>
        <v>412874.11999999994</v>
      </c>
      <c r="E532" s="150">
        <f>E533+E536+E540+E545+E548+E550+E553+E557+E560</f>
        <v>238842.15000000002</v>
      </c>
      <c r="F532" s="150">
        <f>F533+F536+F540+F545+F548+F550+F553+F557+F560</f>
        <v>892617.74</v>
      </c>
      <c r="G532" s="150">
        <f t="shared" si="107"/>
        <v>1544334.01</v>
      </c>
      <c r="H532" s="150">
        <f>H533+H536+H540+H545+H548+H550+H553+H557+H560</f>
        <v>5013374.16</v>
      </c>
      <c r="I532" s="154">
        <f t="shared" si="108"/>
        <v>6557708.17</v>
      </c>
    </row>
    <row r="533" spans="2:9" ht="12.75">
      <c r="B533" s="146" t="s">
        <v>705</v>
      </c>
      <c r="C533" s="132" t="s">
        <v>706</v>
      </c>
      <c r="D533" s="150">
        <f>SUM(D534:D535)</f>
        <v>765.3</v>
      </c>
      <c r="E533" s="150">
        <f>SUM(E534:E535)</f>
        <v>52483.55</v>
      </c>
      <c r="F533" s="150">
        <f>SUM(F534:F535)</f>
        <v>0</v>
      </c>
      <c r="G533" s="150">
        <f t="shared" si="107"/>
        <v>53248.850000000006</v>
      </c>
      <c r="H533" s="150">
        <f>SUM(H534:H535)</f>
        <v>0</v>
      </c>
      <c r="I533" s="154">
        <f t="shared" si="108"/>
        <v>53248.850000000006</v>
      </c>
    </row>
    <row r="534" spans="2:9" ht="12.75">
      <c r="B534" s="147" t="s">
        <v>707</v>
      </c>
      <c r="C534" s="133" t="s">
        <v>708</v>
      </c>
      <c r="D534" s="151">
        <f>765.3</f>
        <v>765.3</v>
      </c>
      <c r="E534" s="151">
        <f>52483.55</f>
        <v>52483.55</v>
      </c>
      <c r="F534" s="151"/>
      <c r="G534" s="151">
        <f t="shared" si="107"/>
        <v>53248.850000000006</v>
      </c>
      <c r="H534" s="151"/>
      <c r="I534" s="155">
        <f t="shared" si="108"/>
        <v>53248.850000000006</v>
      </c>
    </row>
    <row r="535" spans="2:9" ht="12.75">
      <c r="B535" s="147" t="s">
        <v>709</v>
      </c>
      <c r="C535" s="133" t="s">
        <v>710</v>
      </c>
      <c r="D535" s="151">
        <v>0</v>
      </c>
      <c r="E535" s="151"/>
      <c r="F535" s="151">
        <v>0</v>
      </c>
      <c r="G535" s="151">
        <f t="shared" si="107"/>
        <v>0</v>
      </c>
      <c r="H535" s="151"/>
      <c r="I535" s="155">
        <f t="shared" si="108"/>
        <v>0</v>
      </c>
    </row>
    <row r="536" spans="2:9" ht="12.75">
      <c r="B536" s="146" t="s">
        <v>711</v>
      </c>
      <c r="C536" s="132" t="s">
        <v>712</v>
      </c>
      <c r="D536" s="150">
        <f>SUM(D537:D539)</f>
        <v>0</v>
      </c>
      <c r="E536" s="150">
        <f>SUM(E537:E539)</f>
        <v>67581.9</v>
      </c>
      <c r="F536" s="150">
        <f>SUM(F537:F539)</f>
        <v>93377.17</v>
      </c>
      <c r="G536" s="150">
        <f t="shared" si="107"/>
        <v>160959.07</v>
      </c>
      <c r="H536" s="150">
        <f>SUM(H537:H539)</f>
        <v>1404931.06</v>
      </c>
      <c r="I536" s="154">
        <f t="shared" si="108"/>
        <v>1565890.1300000001</v>
      </c>
    </row>
    <row r="537" spans="2:9" ht="12.75">
      <c r="B537" s="147" t="s">
        <v>713</v>
      </c>
      <c r="C537" s="133" t="s">
        <v>714</v>
      </c>
      <c r="D537" s="151"/>
      <c r="E537" s="151">
        <f>67581.9</f>
        <v>67581.9</v>
      </c>
      <c r="F537" s="151">
        <f>93377.17</f>
        <v>93377.17</v>
      </c>
      <c r="G537" s="151">
        <f t="shared" si="107"/>
        <v>160959.07</v>
      </c>
      <c r="H537" s="151">
        <f>1407991.06-3060</f>
        <v>1404931.06</v>
      </c>
      <c r="I537" s="155">
        <f t="shared" si="108"/>
        <v>1565890.1300000001</v>
      </c>
    </row>
    <row r="538" spans="2:9" ht="12.75">
      <c r="B538" s="147" t="s">
        <v>715</v>
      </c>
      <c r="C538" s="133" t="s">
        <v>716</v>
      </c>
      <c r="D538" s="151">
        <v>0</v>
      </c>
      <c r="E538" s="151">
        <v>0</v>
      </c>
      <c r="F538" s="151">
        <v>0</v>
      </c>
      <c r="G538" s="151">
        <f t="shared" si="107"/>
        <v>0</v>
      </c>
      <c r="H538" s="151"/>
      <c r="I538" s="155">
        <f t="shared" si="108"/>
        <v>0</v>
      </c>
    </row>
    <row r="539" spans="2:9" ht="12.75">
      <c r="B539" s="147" t="s">
        <v>868</v>
      </c>
      <c r="C539" s="133" t="s">
        <v>717</v>
      </c>
      <c r="D539" s="151">
        <v>0</v>
      </c>
      <c r="E539" s="151"/>
      <c r="F539" s="151"/>
      <c r="G539" s="151">
        <f t="shared" si="107"/>
        <v>0</v>
      </c>
      <c r="H539" s="151"/>
      <c r="I539" s="155">
        <f t="shared" si="108"/>
        <v>0</v>
      </c>
    </row>
    <row r="540" spans="2:9" ht="12.75">
      <c r="B540" s="146" t="s">
        <v>718</v>
      </c>
      <c r="C540" s="132" t="s">
        <v>719</v>
      </c>
      <c r="D540" s="150">
        <f>SUM(D541:D544)</f>
        <v>-88409.12000000002</v>
      </c>
      <c r="E540" s="150">
        <f>SUM(E541:E544)</f>
        <v>-346289.7</v>
      </c>
      <c r="F540" s="150">
        <f>SUM(F541:F544)</f>
        <v>-150572.02000000002</v>
      </c>
      <c r="G540" s="150">
        <f t="shared" si="107"/>
        <v>-585270.8400000001</v>
      </c>
      <c r="H540" s="150">
        <f>SUM(H541:H544)</f>
        <v>-8301.800000000003</v>
      </c>
      <c r="I540" s="154">
        <f t="shared" si="108"/>
        <v>-593572.6400000001</v>
      </c>
    </row>
    <row r="541" spans="2:9" ht="12.75">
      <c r="B541" s="147" t="s">
        <v>720</v>
      </c>
      <c r="C541" s="133" t="s">
        <v>723</v>
      </c>
      <c r="D541" s="151">
        <f>19662.48+3718.8</f>
        <v>23381.28</v>
      </c>
      <c r="E541" s="151">
        <f>41047.45-18873.65</f>
        <v>22173.799999999996</v>
      </c>
      <c r="F541" s="151"/>
      <c r="G541" s="151">
        <f t="shared" si="107"/>
        <v>45555.079999999994</v>
      </c>
      <c r="H541" s="151">
        <f>67654.7-75956.5</f>
        <v>-8301.800000000003</v>
      </c>
      <c r="I541" s="155">
        <f t="shared" si="108"/>
        <v>37253.27999999999</v>
      </c>
    </row>
    <row r="542" spans="2:9" ht="12.75">
      <c r="B542" s="147" t="s">
        <v>721</v>
      </c>
      <c r="C542" s="133" t="s">
        <v>722</v>
      </c>
      <c r="D542" s="151">
        <f>537914.74-649705.14</f>
        <v>-111790.40000000002</v>
      </c>
      <c r="E542" s="151">
        <v>0</v>
      </c>
      <c r="F542" s="151">
        <v>0</v>
      </c>
      <c r="G542" s="151">
        <f aca="true" t="shared" si="109" ref="G542:G604">SUM(D542:F542)</f>
        <v>-111790.40000000002</v>
      </c>
      <c r="H542" s="151"/>
      <c r="I542" s="155">
        <f aca="true" t="shared" si="110" ref="I542:I604">SUM(G542:H542)</f>
        <v>-111790.40000000002</v>
      </c>
    </row>
    <row r="543" spans="2:9" ht="12.75">
      <c r="B543" s="147" t="s">
        <v>724</v>
      </c>
      <c r="C543" s="133" t="s">
        <v>725</v>
      </c>
      <c r="D543" s="151"/>
      <c r="E543" s="151"/>
      <c r="F543" s="151"/>
      <c r="G543" s="151"/>
      <c r="H543" s="151"/>
      <c r="I543" s="155"/>
    </row>
    <row r="544" spans="2:9" ht="12.75">
      <c r="B544" s="147" t="s">
        <v>873</v>
      </c>
      <c r="C544" s="133" t="s">
        <v>874</v>
      </c>
      <c r="D544" s="151"/>
      <c r="E544" s="151">
        <f>314334.35-682797.85</f>
        <v>-368463.5</v>
      </c>
      <c r="F544" s="151">
        <f>290366.35-440938.37</f>
        <v>-150572.02000000002</v>
      </c>
      <c r="G544" s="151">
        <f t="shared" si="109"/>
        <v>-519035.52</v>
      </c>
      <c r="H544" s="151"/>
      <c r="I544" s="155">
        <f t="shared" si="110"/>
        <v>-519035.52</v>
      </c>
    </row>
    <row r="545" spans="2:9" ht="12.75">
      <c r="B545" s="146" t="s">
        <v>726</v>
      </c>
      <c r="C545" s="132" t="s">
        <v>727</v>
      </c>
      <c r="D545" s="150">
        <f>SUM(D546:D547)</f>
        <v>250080.19999999998</v>
      </c>
      <c r="E545" s="150">
        <f>SUM(E546:E547)</f>
        <v>231826.95</v>
      </c>
      <c r="F545" s="150">
        <f>SUM(F546:F547)</f>
        <v>560888.98</v>
      </c>
      <c r="G545" s="150">
        <f t="shared" si="109"/>
        <v>1042796.13</v>
      </c>
      <c r="H545" s="150">
        <f>SUM(H546:H547)</f>
        <v>1925301.87</v>
      </c>
      <c r="I545" s="154">
        <f t="shared" si="110"/>
        <v>2968098</v>
      </c>
    </row>
    <row r="546" spans="2:9" ht="12.75">
      <c r="B546" s="147" t="s">
        <v>728</v>
      </c>
      <c r="C546" s="133" t="s">
        <v>872</v>
      </c>
      <c r="D546" s="151">
        <f>356091.35-126753.65</f>
        <v>229337.69999999998</v>
      </c>
      <c r="E546" s="151">
        <f>292379-61584.55</f>
        <v>230794.45</v>
      </c>
      <c r="F546" s="151">
        <f>555835.58</f>
        <v>555835.58</v>
      </c>
      <c r="G546" s="151">
        <f t="shared" si="109"/>
        <v>1015967.73</v>
      </c>
      <c r="H546" s="151">
        <f>1925301.87</f>
        <v>1925301.87</v>
      </c>
      <c r="I546" s="155">
        <f t="shared" si="110"/>
        <v>2941269.6</v>
      </c>
    </row>
    <row r="547" spans="2:9" ht="12.75">
      <c r="B547" s="147" t="s">
        <v>729</v>
      </c>
      <c r="C547" s="133" t="s">
        <v>730</v>
      </c>
      <c r="D547" s="151">
        <f>66188.6-45446.1</f>
        <v>20742.500000000007</v>
      </c>
      <c r="E547" s="151">
        <v>1032.5</v>
      </c>
      <c r="F547" s="151">
        <v>5053.4</v>
      </c>
      <c r="G547" s="151">
        <f t="shared" si="109"/>
        <v>26828.40000000001</v>
      </c>
      <c r="H547" s="151"/>
      <c r="I547" s="155">
        <f t="shared" si="110"/>
        <v>26828.40000000001</v>
      </c>
    </row>
    <row r="548" spans="2:9" ht="12.75">
      <c r="B548" s="146" t="s">
        <v>731</v>
      </c>
      <c r="C548" s="132" t="s">
        <v>732</v>
      </c>
      <c r="D548" s="150">
        <f>SUM(D549)</f>
        <v>16624.15</v>
      </c>
      <c r="E548" s="150">
        <f>SUM(E549)</f>
        <v>3419</v>
      </c>
      <c r="F548" s="150">
        <f>SUM(F549)</f>
        <v>5151.5</v>
      </c>
      <c r="G548" s="150">
        <f t="shared" si="109"/>
        <v>25194.65</v>
      </c>
      <c r="H548" s="150">
        <f>SUM(H549)</f>
        <v>463905.94999999995</v>
      </c>
      <c r="I548" s="154">
        <f t="shared" si="110"/>
        <v>489100.6</v>
      </c>
    </row>
    <row r="549" spans="2:9" ht="12.75">
      <c r="B549" s="147" t="s">
        <v>733</v>
      </c>
      <c r="C549" s="133" t="s">
        <v>732</v>
      </c>
      <c r="D549" s="151">
        <f>16624.15</f>
        <v>16624.15</v>
      </c>
      <c r="E549" s="151">
        <v>3419</v>
      </c>
      <c r="F549" s="151">
        <f>5151.5</f>
        <v>5151.5</v>
      </c>
      <c r="G549" s="151">
        <f t="shared" si="109"/>
        <v>25194.65</v>
      </c>
      <c r="H549" s="151">
        <f>1313429.45-849523.5</f>
        <v>463905.94999999995</v>
      </c>
      <c r="I549" s="155">
        <f t="shared" si="110"/>
        <v>489100.6</v>
      </c>
    </row>
    <row r="550" spans="2:9" ht="12.75">
      <c r="B550" s="146" t="s">
        <v>734</v>
      </c>
      <c r="C550" s="132" t="s">
        <v>735</v>
      </c>
      <c r="D550" s="150">
        <f>SUM(D551:D552)</f>
        <v>0</v>
      </c>
      <c r="E550" s="150">
        <f>SUM(E551:E552)</f>
        <v>0</v>
      </c>
      <c r="F550" s="150">
        <f>SUM(F551:F552)</f>
        <v>0</v>
      </c>
      <c r="G550" s="150">
        <f t="shared" si="109"/>
        <v>0</v>
      </c>
      <c r="H550" s="150">
        <f>SUM(H551:H552)</f>
        <v>1217858.83</v>
      </c>
      <c r="I550" s="154">
        <f t="shared" si="110"/>
        <v>1217858.83</v>
      </c>
    </row>
    <row r="551" spans="2:9" ht="12.75">
      <c r="B551" s="147" t="s">
        <v>736</v>
      </c>
      <c r="C551" s="133" t="s">
        <v>737</v>
      </c>
      <c r="D551" s="151"/>
      <c r="E551" s="151"/>
      <c r="F551" s="151"/>
      <c r="G551" s="151">
        <f t="shared" si="109"/>
        <v>0</v>
      </c>
      <c r="H551" s="151">
        <f>1957696.08-739837.25</f>
        <v>1217858.83</v>
      </c>
      <c r="I551" s="155">
        <f t="shared" si="110"/>
        <v>1217858.83</v>
      </c>
    </row>
    <row r="552" spans="2:9" ht="12.75">
      <c r="B552" s="147" t="s">
        <v>866</v>
      </c>
      <c r="C552" s="133" t="s">
        <v>738</v>
      </c>
      <c r="D552" s="151"/>
      <c r="E552" s="151"/>
      <c r="F552" s="151"/>
      <c r="G552" s="151">
        <f t="shared" si="109"/>
        <v>0</v>
      </c>
      <c r="H552" s="151">
        <v>0</v>
      </c>
      <c r="I552" s="155">
        <f t="shared" si="110"/>
        <v>0</v>
      </c>
    </row>
    <row r="553" spans="2:9" ht="12.75">
      <c r="B553" s="146" t="s">
        <v>739</v>
      </c>
      <c r="C553" s="132" t="s">
        <v>740</v>
      </c>
      <c r="D553" s="150">
        <f>SUM(D554:D556)</f>
        <v>175760.03999999998</v>
      </c>
      <c r="E553" s="150">
        <f>SUM(E554:E556)</f>
        <v>142021.2</v>
      </c>
      <c r="F553" s="150">
        <f>SUM(F554:F556)</f>
        <v>101633.21000000002</v>
      </c>
      <c r="G553" s="150">
        <f t="shared" si="109"/>
        <v>419414.45</v>
      </c>
      <c r="H553" s="150">
        <f>SUM(H554:H556)</f>
        <v>0</v>
      </c>
      <c r="I553" s="154">
        <f t="shared" si="110"/>
        <v>419414.45</v>
      </c>
    </row>
    <row r="554" spans="2:9" ht="12.75">
      <c r="B554" s="147" t="s">
        <v>741</v>
      </c>
      <c r="C554" s="133" t="s">
        <v>742</v>
      </c>
      <c r="D554" s="151">
        <f>335502.85-163317.21</f>
        <v>172185.63999999998</v>
      </c>
      <c r="E554" s="151">
        <f>286157.15-160825.5</f>
        <v>125331.65000000002</v>
      </c>
      <c r="F554" s="151">
        <f>308352.59-206719.38</f>
        <v>101633.21000000002</v>
      </c>
      <c r="G554" s="151">
        <f t="shared" si="109"/>
        <v>399150.50000000006</v>
      </c>
      <c r="H554" s="151"/>
      <c r="I554" s="155">
        <f t="shared" si="110"/>
        <v>399150.50000000006</v>
      </c>
    </row>
    <row r="555" spans="2:9" ht="12.75">
      <c r="B555" s="147" t="s">
        <v>743</v>
      </c>
      <c r="C555" s="133" t="s">
        <v>744</v>
      </c>
      <c r="D555" s="151"/>
      <c r="E555" s="151"/>
      <c r="F555" s="151"/>
      <c r="G555" s="151">
        <f t="shared" si="109"/>
        <v>0</v>
      </c>
      <c r="H555" s="151"/>
      <c r="I555" s="155">
        <f t="shared" si="110"/>
        <v>0</v>
      </c>
    </row>
    <row r="556" spans="2:9" ht="12.75">
      <c r="B556" s="147" t="s">
        <v>745</v>
      </c>
      <c r="C556" s="133" t="s">
        <v>746</v>
      </c>
      <c r="D556" s="151">
        <f>3574.4</f>
        <v>3574.4</v>
      </c>
      <c r="E556" s="151">
        <f>43837.35-27147.8</f>
        <v>16689.55</v>
      </c>
      <c r="F556" s="151"/>
      <c r="G556" s="151">
        <f t="shared" si="109"/>
        <v>20263.95</v>
      </c>
      <c r="H556" s="151"/>
      <c r="I556" s="155">
        <f t="shared" si="110"/>
        <v>20263.95</v>
      </c>
    </row>
    <row r="557" spans="2:9" ht="12.75">
      <c r="B557" s="146" t="s">
        <v>747</v>
      </c>
      <c r="C557" s="132" t="s">
        <v>748</v>
      </c>
      <c r="D557" s="150">
        <f>SUM(D558:D559)</f>
        <v>0</v>
      </c>
      <c r="E557" s="150">
        <f>SUM(E558:E559)</f>
        <v>0</v>
      </c>
      <c r="F557" s="150">
        <f>SUM(F558:F559)</f>
        <v>0</v>
      </c>
      <c r="G557" s="150">
        <f t="shared" si="109"/>
        <v>0</v>
      </c>
      <c r="H557" s="150">
        <f>SUM(H558:H559)</f>
        <v>0</v>
      </c>
      <c r="I557" s="154">
        <f t="shared" si="110"/>
        <v>0</v>
      </c>
    </row>
    <row r="558" spans="2:9" ht="12.75">
      <c r="B558" s="147" t="s">
        <v>749</v>
      </c>
      <c r="C558" s="133" t="s">
        <v>750</v>
      </c>
      <c r="D558" s="151"/>
      <c r="E558" s="151"/>
      <c r="F558" s="151"/>
      <c r="G558" s="151">
        <f t="shared" si="109"/>
        <v>0</v>
      </c>
      <c r="H558" s="151"/>
      <c r="I558" s="155">
        <f t="shared" si="110"/>
        <v>0</v>
      </c>
    </row>
    <row r="559" spans="2:9" ht="12.75">
      <c r="B559" s="147" t="s">
        <v>751</v>
      </c>
      <c r="C559" s="133" t="s">
        <v>752</v>
      </c>
      <c r="D559" s="151"/>
      <c r="E559" s="151"/>
      <c r="F559" s="151"/>
      <c r="G559" s="151">
        <f t="shared" si="109"/>
        <v>0</v>
      </c>
      <c r="H559" s="151"/>
      <c r="I559" s="155">
        <f t="shared" si="110"/>
        <v>0</v>
      </c>
    </row>
    <row r="560" spans="2:9" ht="12.75">
      <c r="B560" s="146" t="s">
        <v>753</v>
      </c>
      <c r="C560" s="132" t="s">
        <v>754</v>
      </c>
      <c r="D560" s="150">
        <f>SUM(D561:D562)</f>
        <v>58053.549999999996</v>
      </c>
      <c r="E560" s="150">
        <f>SUM(E561:E562)</f>
        <v>87799.25</v>
      </c>
      <c r="F560" s="150">
        <f>SUM(F561:F562)</f>
        <v>282138.9</v>
      </c>
      <c r="G560" s="150">
        <f t="shared" si="109"/>
        <v>427991.7</v>
      </c>
      <c r="H560" s="150">
        <f>SUM(H561:H562)</f>
        <v>9678.25</v>
      </c>
      <c r="I560" s="154">
        <f t="shared" si="110"/>
        <v>437669.95</v>
      </c>
    </row>
    <row r="561" spans="2:9" ht="12.75">
      <c r="B561" s="147" t="s">
        <v>755</v>
      </c>
      <c r="C561" s="133" t="s">
        <v>756</v>
      </c>
      <c r="D561" s="151">
        <f>38266.6-1600</f>
        <v>36666.6</v>
      </c>
      <c r="E561" s="151">
        <v>87799.25</v>
      </c>
      <c r="F561" s="151">
        <f>289073.9-6935</f>
        <v>282138.9</v>
      </c>
      <c r="G561" s="151">
        <f t="shared" si="109"/>
        <v>406604.75</v>
      </c>
      <c r="H561" s="151">
        <f>9678.25</f>
        <v>9678.25</v>
      </c>
      <c r="I561" s="155">
        <f t="shared" si="110"/>
        <v>416283</v>
      </c>
    </row>
    <row r="562" spans="2:9" ht="12.75">
      <c r="B562" s="147" t="s">
        <v>757</v>
      </c>
      <c r="C562" s="133" t="s">
        <v>758</v>
      </c>
      <c r="D562" s="151">
        <f>131238.5-109851.55</f>
        <v>21386.949999999997</v>
      </c>
      <c r="E562" s="151"/>
      <c r="F562" s="151"/>
      <c r="G562" s="151">
        <f t="shared" si="109"/>
        <v>21386.949999999997</v>
      </c>
      <c r="H562" s="151"/>
      <c r="I562" s="155">
        <f t="shared" si="110"/>
        <v>21386.949999999997</v>
      </c>
    </row>
    <row r="563" spans="2:9" ht="12.75">
      <c r="B563" s="146" t="s">
        <v>759</v>
      </c>
      <c r="C563" s="132" t="s">
        <v>760</v>
      </c>
      <c r="D563" s="150">
        <f>D564+D574+D576+D578+D580+D582+D584+D593+D598</f>
        <v>963430.4700000002</v>
      </c>
      <c r="E563" s="150">
        <f>E564+E574+E576+E578+E580+E582+E584+E593+E598</f>
        <v>-581891.2399999999</v>
      </c>
      <c r="F563" s="150">
        <f>F564+F574+F576+F578+F580+F582+F584+F593+F598</f>
        <v>1055704.4000000004</v>
      </c>
      <c r="G563" s="150">
        <f t="shared" si="109"/>
        <v>1437243.6300000008</v>
      </c>
      <c r="H563" s="150">
        <f>H564+H574+H576+H578+H580+H582+H584+H593+H598</f>
        <v>3630402.4500000007</v>
      </c>
      <c r="I563" s="154">
        <f t="shared" si="110"/>
        <v>5067646.080000002</v>
      </c>
    </row>
    <row r="564" spans="2:9" ht="12.75">
      <c r="B564" s="146" t="s">
        <v>761</v>
      </c>
      <c r="C564" s="132" t="s">
        <v>762</v>
      </c>
      <c r="D564" s="150">
        <f>SUM(D565:D573)</f>
        <v>574992.35</v>
      </c>
      <c r="E564" s="150">
        <f>SUM(E565:E573)</f>
        <v>52293.399999999994</v>
      </c>
      <c r="F564" s="150">
        <f>SUM(F565:F573)</f>
        <v>358270.8</v>
      </c>
      <c r="G564" s="150">
        <f t="shared" si="109"/>
        <v>985556.55</v>
      </c>
      <c r="H564" s="150">
        <f>SUM(H565:H573)</f>
        <v>2306388.5500000007</v>
      </c>
      <c r="I564" s="154">
        <f t="shared" si="110"/>
        <v>3291945.1000000006</v>
      </c>
    </row>
    <row r="565" spans="2:9" ht="12.75">
      <c r="B565" s="147" t="s">
        <v>763</v>
      </c>
      <c r="C565" s="133" t="s">
        <v>764</v>
      </c>
      <c r="D565" s="151">
        <f>63182.55</f>
        <v>63182.55</v>
      </c>
      <c r="E565" s="151"/>
      <c r="F565" s="151">
        <f>18120</f>
        <v>18120</v>
      </c>
      <c r="G565" s="151">
        <f t="shared" si="109"/>
        <v>81302.55</v>
      </c>
      <c r="H565" s="151">
        <f>917042.55-59757</f>
        <v>857285.55</v>
      </c>
      <c r="I565" s="155">
        <f t="shared" si="110"/>
        <v>938588.1000000001</v>
      </c>
    </row>
    <row r="566" spans="2:9" ht="12.75">
      <c r="B566" s="147" t="s">
        <v>765</v>
      </c>
      <c r="C566" s="133" t="s">
        <v>766</v>
      </c>
      <c r="D566" s="151"/>
      <c r="E566" s="151"/>
      <c r="F566" s="151">
        <f>124234.15</f>
        <v>124234.15</v>
      </c>
      <c r="G566" s="151">
        <f t="shared" si="109"/>
        <v>124234.15</v>
      </c>
      <c r="H566" s="151">
        <f>705572.8-32879.2</f>
        <v>672693.6000000001</v>
      </c>
      <c r="I566" s="155">
        <f t="shared" si="110"/>
        <v>796927.7500000001</v>
      </c>
    </row>
    <row r="567" spans="2:9" ht="12.75">
      <c r="B567" s="147" t="s">
        <v>767</v>
      </c>
      <c r="C567" s="133" t="s">
        <v>768</v>
      </c>
      <c r="D567" s="151">
        <f>6023.7-140</f>
        <v>5883.7</v>
      </c>
      <c r="E567" s="151"/>
      <c r="F567" s="151"/>
      <c r="G567" s="151">
        <f t="shared" si="109"/>
        <v>5883.7</v>
      </c>
      <c r="H567" s="151">
        <f>418205.9-133014.15</f>
        <v>285191.75</v>
      </c>
      <c r="I567" s="155">
        <f t="shared" si="110"/>
        <v>291075.45</v>
      </c>
    </row>
    <row r="568" spans="2:9" ht="12.75">
      <c r="B568" s="147" t="s">
        <v>769</v>
      </c>
      <c r="C568" s="133" t="s">
        <v>770</v>
      </c>
      <c r="D568" s="151"/>
      <c r="E568" s="151"/>
      <c r="F568" s="151">
        <v>520</v>
      </c>
      <c r="G568" s="151">
        <f t="shared" si="109"/>
        <v>520</v>
      </c>
      <c r="H568" s="151">
        <f>153322.9-98618.8</f>
        <v>54704.09999999999</v>
      </c>
      <c r="I568" s="155">
        <f t="shared" si="110"/>
        <v>55224.09999999999</v>
      </c>
    </row>
    <row r="569" spans="2:9" ht="12.75">
      <c r="B569" s="147" t="s">
        <v>771</v>
      </c>
      <c r="C569" s="133" t="s">
        <v>772</v>
      </c>
      <c r="D569" s="151"/>
      <c r="E569" s="151"/>
      <c r="F569" s="151"/>
      <c r="G569" s="151">
        <f t="shared" si="109"/>
        <v>0</v>
      </c>
      <c r="H569" s="151">
        <f>86300.45-40000</f>
        <v>46300.45</v>
      </c>
      <c r="I569" s="155">
        <f t="shared" si="110"/>
        <v>46300.45</v>
      </c>
    </row>
    <row r="570" spans="2:9" ht="12.75">
      <c r="B570" s="147" t="s">
        <v>773</v>
      </c>
      <c r="C570" s="133" t="s">
        <v>774</v>
      </c>
      <c r="D570" s="151"/>
      <c r="E570" s="151"/>
      <c r="F570" s="151"/>
      <c r="G570" s="151">
        <f t="shared" si="109"/>
        <v>0</v>
      </c>
      <c r="H570" s="151">
        <f>22606872.8-22553510</f>
        <v>53362.800000000745</v>
      </c>
      <c r="I570" s="155">
        <f t="shared" si="110"/>
        <v>53362.800000000745</v>
      </c>
    </row>
    <row r="571" spans="2:9" ht="12.75">
      <c r="B571" s="147" t="s">
        <v>775</v>
      </c>
      <c r="C571" s="133" t="s">
        <v>776</v>
      </c>
      <c r="D571" s="151"/>
      <c r="E571" s="151"/>
      <c r="F571" s="151"/>
      <c r="G571" s="151">
        <f t="shared" si="109"/>
        <v>0</v>
      </c>
      <c r="H571" s="151">
        <f>336850.3</f>
        <v>336850.3</v>
      </c>
      <c r="I571" s="155">
        <f t="shared" si="110"/>
        <v>336850.3</v>
      </c>
    </row>
    <row r="572" spans="2:9" ht="12.75">
      <c r="B572" s="147" t="s">
        <v>777</v>
      </c>
      <c r="C572" s="133" t="s">
        <v>778</v>
      </c>
      <c r="D572" s="151">
        <f>932299.95-426373.85</f>
        <v>505926.1</v>
      </c>
      <c r="E572" s="151">
        <f>180243.9-127950.5</f>
        <v>52293.399999999994</v>
      </c>
      <c r="F572" s="151">
        <f>379078.3-163681.65</f>
        <v>215396.65</v>
      </c>
      <c r="G572" s="151">
        <f t="shared" si="109"/>
        <v>773616.15</v>
      </c>
      <c r="H572" s="151"/>
      <c r="I572" s="155">
        <f t="shared" si="110"/>
        <v>773616.15</v>
      </c>
    </row>
    <row r="573" spans="2:9" ht="12.75">
      <c r="B573" s="147" t="s">
        <v>779</v>
      </c>
      <c r="C573" s="133" t="s">
        <v>780</v>
      </c>
      <c r="D573" s="151"/>
      <c r="E573" s="151"/>
      <c r="F573" s="151"/>
      <c r="G573" s="151">
        <f t="shared" si="109"/>
        <v>0</v>
      </c>
      <c r="H573" s="151"/>
      <c r="I573" s="155">
        <f t="shared" si="110"/>
        <v>0</v>
      </c>
    </row>
    <row r="574" spans="2:9" ht="12.75">
      <c r="B574" s="146" t="s">
        <v>781</v>
      </c>
      <c r="C574" s="132" t="s">
        <v>782</v>
      </c>
      <c r="D574" s="150">
        <f>SUM(D575)</f>
        <v>1180131.87</v>
      </c>
      <c r="E574" s="150">
        <f>SUM(E575)</f>
        <v>200651.66000000015</v>
      </c>
      <c r="F574" s="150">
        <f>SUM(F575)</f>
        <v>778289.2200000002</v>
      </c>
      <c r="G574" s="150">
        <f t="shared" si="109"/>
        <v>2159072.7500000005</v>
      </c>
      <c r="H574" s="150">
        <f>SUM(H575)</f>
        <v>1897458.9100000001</v>
      </c>
      <c r="I574" s="154">
        <f t="shared" si="110"/>
        <v>4056531.6600000006</v>
      </c>
    </row>
    <row r="575" spans="2:9" ht="12.75">
      <c r="B575" s="147" t="s">
        <v>783</v>
      </c>
      <c r="C575" s="133" t="s">
        <v>782</v>
      </c>
      <c r="D575" s="151">
        <f>5359892.95-4179761.08</f>
        <v>1180131.87</v>
      </c>
      <c r="E575" s="151">
        <f>1442981.36-1242329.7</f>
        <v>200651.66000000015</v>
      </c>
      <c r="F575" s="151">
        <f>3914999.33-3136710.11</f>
        <v>778289.2200000002</v>
      </c>
      <c r="G575" s="151">
        <f t="shared" si="109"/>
        <v>2159072.7500000005</v>
      </c>
      <c r="H575" s="151">
        <f>2111811.91-214353</f>
        <v>1897458.9100000001</v>
      </c>
      <c r="I575" s="155">
        <f t="shared" si="110"/>
        <v>4056531.6600000006</v>
      </c>
    </row>
    <row r="576" spans="2:9" ht="12.75">
      <c r="B576" s="146" t="s">
        <v>784</v>
      </c>
      <c r="C576" s="132" t="s">
        <v>785</v>
      </c>
      <c r="D576" s="150">
        <f>SUM(D577)</f>
        <v>0</v>
      </c>
      <c r="E576" s="150">
        <f>SUM(E577)</f>
        <v>10993.95</v>
      </c>
      <c r="F576" s="150">
        <f>SUM(F577)</f>
        <v>11502.5</v>
      </c>
      <c r="G576" s="150">
        <f t="shared" si="109"/>
        <v>22496.45</v>
      </c>
      <c r="H576" s="150">
        <f>SUM(H577)</f>
        <v>199372.54999999993</v>
      </c>
      <c r="I576" s="154">
        <f t="shared" si="110"/>
        <v>221868.99999999994</v>
      </c>
    </row>
    <row r="577" spans="2:9" ht="12.75">
      <c r="B577" s="147" t="s">
        <v>786</v>
      </c>
      <c r="C577" s="133" t="s">
        <v>785</v>
      </c>
      <c r="D577" s="151"/>
      <c r="E577" s="151">
        <f>10993.95</f>
        <v>10993.95</v>
      </c>
      <c r="F577" s="151">
        <v>11502.5</v>
      </c>
      <c r="G577" s="151">
        <f t="shared" si="109"/>
        <v>22496.45</v>
      </c>
      <c r="H577" s="151">
        <f>955811.85-756439.3</f>
        <v>199372.54999999993</v>
      </c>
      <c r="I577" s="155">
        <f t="shared" si="110"/>
        <v>221868.99999999994</v>
      </c>
    </row>
    <row r="578" spans="2:9" ht="12.75">
      <c r="B578" s="146" t="s">
        <v>787</v>
      </c>
      <c r="C578" s="132" t="s">
        <v>788</v>
      </c>
      <c r="D578" s="150">
        <f>SUM(D579)</f>
        <v>55337.25</v>
      </c>
      <c r="E578" s="150">
        <f>SUM(E579)</f>
        <v>54169.75</v>
      </c>
      <c r="F578" s="150">
        <f>SUM(F579)</f>
        <v>-473.4199999999837</v>
      </c>
      <c r="G578" s="150">
        <f t="shared" si="109"/>
        <v>109033.58000000002</v>
      </c>
      <c r="H578" s="150">
        <f>SUM(H579)</f>
        <v>500000</v>
      </c>
      <c r="I578" s="154">
        <f t="shared" si="110"/>
        <v>609033.5800000001</v>
      </c>
    </row>
    <row r="579" spans="2:9" ht="12.75">
      <c r="B579" s="147" t="s">
        <v>791</v>
      </c>
      <c r="C579" s="133" t="s">
        <v>788</v>
      </c>
      <c r="D579" s="151">
        <f>55337.25</f>
        <v>55337.25</v>
      </c>
      <c r="E579" s="151">
        <f>54169.75</f>
        <v>54169.75</v>
      </c>
      <c r="F579" s="151">
        <f>145650.48-146123.9</f>
        <v>-473.4199999999837</v>
      </c>
      <c r="G579" s="151">
        <f t="shared" si="109"/>
        <v>109033.58000000002</v>
      </c>
      <c r="H579" s="151">
        <v>500000</v>
      </c>
      <c r="I579" s="155">
        <f t="shared" si="110"/>
        <v>609033.5800000001</v>
      </c>
    </row>
    <row r="580" spans="2:9" ht="12.75">
      <c r="B580" s="146" t="s">
        <v>789</v>
      </c>
      <c r="C580" s="132" t="s">
        <v>790</v>
      </c>
      <c r="D580" s="150">
        <f>SUM(D581)</f>
        <v>0</v>
      </c>
      <c r="E580" s="150">
        <f>SUM(E581)</f>
        <v>0</v>
      </c>
      <c r="F580" s="150">
        <f>SUM(F581)</f>
        <v>108115.3</v>
      </c>
      <c r="G580" s="150">
        <f t="shared" si="109"/>
        <v>108115.3</v>
      </c>
      <c r="H580" s="150">
        <f>SUM(H581)</f>
        <v>1025190.2399999999</v>
      </c>
      <c r="I580" s="154">
        <f t="shared" si="110"/>
        <v>1133305.5399999998</v>
      </c>
    </row>
    <row r="581" spans="2:9" ht="12.75">
      <c r="B581" s="147" t="s">
        <v>792</v>
      </c>
      <c r="C581" s="133" t="s">
        <v>790</v>
      </c>
      <c r="D581" s="151">
        <v>0</v>
      </c>
      <c r="E581" s="151"/>
      <c r="F581" s="151">
        <f>108615.3-500</f>
        <v>108115.3</v>
      </c>
      <c r="G581" s="151">
        <f t="shared" si="109"/>
        <v>108115.3</v>
      </c>
      <c r="H581" s="151">
        <f>1274968.15-249777.91</f>
        <v>1025190.2399999999</v>
      </c>
      <c r="I581" s="155">
        <f t="shared" si="110"/>
        <v>1133305.5399999998</v>
      </c>
    </row>
    <row r="582" spans="2:9" ht="12.75">
      <c r="B582" s="146" t="s">
        <v>793</v>
      </c>
      <c r="C582" s="132" t="s">
        <v>794</v>
      </c>
      <c r="D582" s="150">
        <f>SUM(D583)</f>
        <v>0</v>
      </c>
      <c r="E582" s="150">
        <f>SUM(E583)</f>
        <v>0</v>
      </c>
      <c r="F582" s="150">
        <f>SUM(F583)</f>
        <v>0</v>
      </c>
      <c r="G582" s="150">
        <f t="shared" si="109"/>
        <v>0</v>
      </c>
      <c r="H582" s="150">
        <f>SUM(H583)</f>
        <v>-1914000</v>
      </c>
      <c r="I582" s="154">
        <f t="shared" si="110"/>
        <v>-1914000</v>
      </c>
    </row>
    <row r="583" spans="2:9" ht="12.75">
      <c r="B583" s="147" t="s">
        <v>795</v>
      </c>
      <c r="C583" s="133" t="s">
        <v>794</v>
      </c>
      <c r="D583" s="151"/>
      <c r="E583" s="151"/>
      <c r="F583" s="151"/>
      <c r="G583" s="151">
        <f t="shared" si="109"/>
        <v>0</v>
      </c>
      <c r="H583" s="151">
        <f>-1914000</f>
        <v>-1914000</v>
      </c>
      <c r="I583" s="155">
        <f t="shared" si="110"/>
        <v>-1914000</v>
      </c>
    </row>
    <row r="584" spans="2:9" ht="12.75">
      <c r="B584" s="146" t="s">
        <v>796</v>
      </c>
      <c r="C584" s="132" t="s">
        <v>797</v>
      </c>
      <c r="D584" s="150">
        <f>SUM(D585:D592)</f>
        <v>-847031</v>
      </c>
      <c r="E584" s="150">
        <f>SUM(E585:E592)</f>
        <v>-900000</v>
      </c>
      <c r="F584" s="150">
        <f>SUM(F585:F592)</f>
        <v>-200000</v>
      </c>
      <c r="G584" s="150">
        <f t="shared" si="109"/>
        <v>-1947031</v>
      </c>
      <c r="H584" s="150">
        <f>SUM(H585:H592)</f>
        <v>-124007.80000000016</v>
      </c>
      <c r="I584" s="154">
        <f t="shared" si="110"/>
        <v>-2071038.8000000003</v>
      </c>
    </row>
    <row r="585" spans="2:9" ht="12.75">
      <c r="B585" s="147" t="s">
        <v>798</v>
      </c>
      <c r="C585" s="133" t="s">
        <v>799</v>
      </c>
      <c r="D585" s="151">
        <f>-847031</f>
        <v>-847031</v>
      </c>
      <c r="E585" s="151">
        <f>-900000</f>
        <v>-900000</v>
      </c>
      <c r="F585" s="151">
        <f>-200000</f>
        <v>-200000</v>
      </c>
      <c r="G585" s="151">
        <f t="shared" si="109"/>
        <v>-1947031</v>
      </c>
      <c r="H585" s="151"/>
      <c r="I585" s="155">
        <f t="shared" si="110"/>
        <v>-1947031</v>
      </c>
    </row>
    <row r="586" spans="2:9" ht="12.75">
      <c r="B586" s="147" t="s">
        <v>801</v>
      </c>
      <c r="C586" s="133" t="s">
        <v>800</v>
      </c>
      <c r="D586" s="151"/>
      <c r="E586" s="151"/>
      <c r="F586" s="151"/>
      <c r="G586" s="151">
        <f t="shared" si="109"/>
        <v>0</v>
      </c>
      <c r="H586" s="151"/>
      <c r="I586" s="155">
        <f t="shared" si="110"/>
        <v>0</v>
      </c>
    </row>
    <row r="587" spans="2:9" ht="12.75">
      <c r="B587" s="147" t="s">
        <v>802</v>
      </c>
      <c r="C587" s="133" t="s">
        <v>803</v>
      </c>
      <c r="D587" s="151"/>
      <c r="E587" s="151"/>
      <c r="F587" s="151"/>
      <c r="G587" s="151">
        <f t="shared" si="109"/>
        <v>0</v>
      </c>
      <c r="H587" s="151">
        <f>1301364.75-1487897.1</f>
        <v>-186532.3500000001</v>
      </c>
      <c r="I587" s="155">
        <f t="shared" si="110"/>
        <v>-186532.3500000001</v>
      </c>
    </row>
    <row r="588" spans="2:9" ht="12.75">
      <c r="B588" s="147" t="s">
        <v>804</v>
      </c>
      <c r="C588" s="133" t="s">
        <v>805</v>
      </c>
      <c r="D588" s="151"/>
      <c r="E588" s="151"/>
      <c r="F588" s="151"/>
      <c r="G588" s="151">
        <f t="shared" si="109"/>
        <v>0</v>
      </c>
      <c r="H588" s="151"/>
      <c r="I588" s="155">
        <f t="shared" si="110"/>
        <v>0</v>
      </c>
    </row>
    <row r="589" spans="2:9" ht="12.75">
      <c r="B589" s="147" t="s">
        <v>806</v>
      </c>
      <c r="C589" s="133" t="s">
        <v>807</v>
      </c>
      <c r="D589" s="151"/>
      <c r="E589" s="151"/>
      <c r="F589" s="151"/>
      <c r="G589" s="151">
        <f t="shared" si="109"/>
        <v>0</v>
      </c>
      <c r="H589" s="151">
        <f>887123.35-824598.8</f>
        <v>62524.54999999993</v>
      </c>
      <c r="I589" s="155">
        <f t="shared" si="110"/>
        <v>62524.54999999993</v>
      </c>
    </row>
    <row r="590" spans="2:9" ht="12.75">
      <c r="B590" s="147" t="s">
        <v>808</v>
      </c>
      <c r="C590" s="133" t="s">
        <v>809</v>
      </c>
      <c r="D590" s="151"/>
      <c r="E590" s="151"/>
      <c r="F590" s="151"/>
      <c r="G590" s="151">
        <f t="shared" si="109"/>
        <v>0</v>
      </c>
      <c r="H590" s="151"/>
      <c r="I590" s="155">
        <f t="shared" si="110"/>
        <v>0</v>
      </c>
    </row>
    <row r="591" spans="2:9" ht="12.75">
      <c r="B591" s="147" t="s">
        <v>810</v>
      </c>
      <c r="C591" s="133" t="s">
        <v>811</v>
      </c>
      <c r="D591" s="151"/>
      <c r="E591" s="151"/>
      <c r="F591" s="151"/>
      <c r="G591" s="151">
        <f t="shared" si="109"/>
        <v>0</v>
      </c>
      <c r="H591" s="151"/>
      <c r="I591" s="155">
        <f t="shared" si="110"/>
        <v>0</v>
      </c>
    </row>
    <row r="592" spans="2:9" ht="12.75">
      <c r="B592" s="147" t="s">
        <v>812</v>
      </c>
      <c r="C592" s="133" t="s">
        <v>813</v>
      </c>
      <c r="D592" s="151"/>
      <c r="E592" s="151"/>
      <c r="F592" s="151"/>
      <c r="G592" s="151">
        <f t="shared" si="109"/>
        <v>0</v>
      </c>
      <c r="H592" s="151"/>
      <c r="I592" s="155">
        <f t="shared" si="110"/>
        <v>0</v>
      </c>
    </row>
    <row r="593" spans="2:9" ht="12.75">
      <c r="B593" s="146" t="s">
        <v>815</v>
      </c>
      <c r="C593" s="132" t="s">
        <v>816</v>
      </c>
      <c r="D593" s="150">
        <f>SUM(D594:D597)</f>
        <v>0</v>
      </c>
      <c r="E593" s="150">
        <f>SUM(E594:E597)</f>
        <v>0</v>
      </c>
      <c r="F593" s="150">
        <f>SUM(F594:F597)</f>
        <v>0</v>
      </c>
      <c r="G593" s="150">
        <f t="shared" si="109"/>
        <v>0</v>
      </c>
      <c r="H593" s="150">
        <f>SUM(H594:H597)</f>
        <v>0</v>
      </c>
      <c r="I593" s="154">
        <f t="shared" si="110"/>
        <v>0</v>
      </c>
    </row>
    <row r="594" spans="2:9" ht="12.75">
      <c r="B594" s="147" t="s">
        <v>817</v>
      </c>
      <c r="C594" s="133" t="s">
        <v>818</v>
      </c>
      <c r="D594" s="151"/>
      <c r="E594" s="151"/>
      <c r="F594" s="151"/>
      <c r="G594" s="151">
        <f t="shared" si="109"/>
        <v>0</v>
      </c>
      <c r="H594" s="151"/>
      <c r="I594" s="155">
        <f t="shared" si="110"/>
        <v>0</v>
      </c>
    </row>
    <row r="595" spans="2:9" ht="12.75">
      <c r="B595" s="147" t="s">
        <v>819</v>
      </c>
      <c r="C595" s="133" t="s">
        <v>820</v>
      </c>
      <c r="D595" s="151"/>
      <c r="E595" s="151"/>
      <c r="F595" s="151"/>
      <c r="G595" s="151">
        <f t="shared" si="109"/>
        <v>0</v>
      </c>
      <c r="H595" s="151"/>
      <c r="I595" s="155">
        <f t="shared" si="110"/>
        <v>0</v>
      </c>
    </row>
    <row r="596" spans="2:9" ht="12.75">
      <c r="B596" s="147" t="s">
        <v>821</v>
      </c>
      <c r="C596" s="133" t="s">
        <v>822</v>
      </c>
      <c r="D596" s="151"/>
      <c r="E596" s="151"/>
      <c r="F596" s="151"/>
      <c r="G596" s="151">
        <f t="shared" si="109"/>
        <v>0</v>
      </c>
      <c r="H596" s="151"/>
      <c r="I596" s="155">
        <f t="shared" si="110"/>
        <v>0</v>
      </c>
    </row>
    <row r="597" spans="2:9" ht="12.75">
      <c r="B597" s="147" t="s">
        <v>823</v>
      </c>
      <c r="C597" s="133" t="s">
        <v>824</v>
      </c>
      <c r="D597" s="151"/>
      <c r="E597" s="151"/>
      <c r="F597" s="151"/>
      <c r="G597" s="151">
        <f t="shared" si="109"/>
        <v>0</v>
      </c>
      <c r="H597" s="151"/>
      <c r="I597" s="155">
        <f t="shared" si="110"/>
        <v>0</v>
      </c>
    </row>
    <row r="598" spans="2:9" ht="12.75">
      <c r="B598" s="146" t="s">
        <v>825</v>
      </c>
      <c r="C598" s="132" t="s">
        <v>826</v>
      </c>
      <c r="D598" s="150">
        <f>SUM(D599)</f>
        <v>0</v>
      </c>
      <c r="E598" s="150">
        <f>SUM(E599)</f>
        <v>0</v>
      </c>
      <c r="F598" s="150">
        <f>SUM(F599)</f>
        <v>0</v>
      </c>
      <c r="G598" s="150">
        <f t="shared" si="109"/>
        <v>0</v>
      </c>
      <c r="H598" s="150">
        <f>SUM(H599)</f>
        <v>-260000</v>
      </c>
      <c r="I598" s="154">
        <f t="shared" si="110"/>
        <v>-260000</v>
      </c>
    </row>
    <row r="599" spans="2:9" ht="12.75">
      <c r="B599" s="147" t="s">
        <v>827</v>
      </c>
      <c r="C599" s="133" t="s">
        <v>826</v>
      </c>
      <c r="D599" s="151"/>
      <c r="E599" s="151"/>
      <c r="F599" s="151"/>
      <c r="G599" s="151">
        <f t="shared" si="109"/>
        <v>0</v>
      </c>
      <c r="H599" s="151">
        <f>-260000</f>
        <v>-260000</v>
      </c>
      <c r="I599" s="155">
        <f t="shared" si="110"/>
        <v>-260000</v>
      </c>
    </row>
    <row r="600" spans="2:9" ht="12.75">
      <c r="B600" s="146" t="s">
        <v>828</v>
      </c>
      <c r="C600" s="132" t="s">
        <v>829</v>
      </c>
      <c r="D600" s="150">
        <f>D601+D604+D606+D608+D610+D612+D617+D619</f>
        <v>-28208550.159999993</v>
      </c>
      <c r="E600" s="150">
        <f>E601+E604+E606+E608+E610+E612+E617+E619</f>
        <v>-33991066.80000001</v>
      </c>
      <c r="F600" s="150">
        <f>F601+F604+F606+F608+F610+F612+F617+F619</f>
        <v>-43500179.52</v>
      </c>
      <c r="G600" s="150">
        <f t="shared" si="109"/>
        <v>-105699796.48000002</v>
      </c>
      <c r="H600" s="150">
        <f>H601+H604+H606+H608+H610+H612+H617+H619</f>
        <v>-189635078.34</v>
      </c>
      <c r="I600" s="154">
        <f t="shared" si="110"/>
        <v>-295334874.82000005</v>
      </c>
    </row>
    <row r="601" spans="2:9" ht="12.75">
      <c r="B601" s="146" t="s">
        <v>830</v>
      </c>
      <c r="C601" s="132" t="s">
        <v>831</v>
      </c>
      <c r="D601" s="150">
        <f>SUM(D602:D603)</f>
        <v>-22026155.549999997</v>
      </c>
      <c r="E601" s="150">
        <f>SUM(E602:E603)</f>
        <v>-27355533.230000004</v>
      </c>
      <c r="F601" s="150">
        <f>SUM(F602:F603)</f>
        <v>-36583801.57</v>
      </c>
      <c r="G601" s="150">
        <f t="shared" si="109"/>
        <v>-85965490.35</v>
      </c>
      <c r="H601" s="150">
        <f>SUM(H602:H603)</f>
        <v>-89233690.03999999</v>
      </c>
      <c r="I601" s="154">
        <f t="shared" si="110"/>
        <v>-175199180.39</v>
      </c>
    </row>
    <row r="602" spans="2:9" ht="12.75">
      <c r="B602" s="147" t="s">
        <v>832</v>
      </c>
      <c r="C602" s="133" t="s">
        <v>833</v>
      </c>
      <c r="D602" s="151">
        <f>406610.85-22196357.15</f>
        <v>-21789746.299999997</v>
      </c>
      <c r="E602" s="151">
        <f>554780.58-27640107.76</f>
        <v>-27085327.180000003</v>
      </c>
      <c r="F602" s="151">
        <f>680783.94-36876774.51</f>
        <v>-36195990.57</v>
      </c>
      <c r="G602" s="151">
        <f t="shared" si="109"/>
        <v>-85071064.05000001</v>
      </c>
      <c r="H602" s="151">
        <f>9382820.26-96411162.55</f>
        <v>-87028342.28999999</v>
      </c>
      <c r="I602" s="155">
        <f t="shared" si="110"/>
        <v>-172099406.34</v>
      </c>
    </row>
    <row r="603" spans="2:9" ht="12.75">
      <c r="B603" s="147" t="s">
        <v>834</v>
      </c>
      <c r="C603" s="133" t="s">
        <v>835</v>
      </c>
      <c r="D603" s="151">
        <f>27206.5-263615.75</f>
        <v>-236409.25</v>
      </c>
      <c r="E603" s="151">
        <f>23937-294143.05</f>
        <v>-270206.05</v>
      </c>
      <c r="F603" s="151">
        <f>42599.5-430410.5</f>
        <v>-387811</v>
      </c>
      <c r="G603" s="151">
        <f t="shared" si="109"/>
        <v>-894426.3</v>
      </c>
      <c r="H603" s="151">
        <f>3834962.87-6040310.62</f>
        <v>-2205347.75</v>
      </c>
      <c r="I603" s="155">
        <f t="shared" si="110"/>
        <v>-3099774.05</v>
      </c>
    </row>
    <row r="604" spans="2:9" ht="12.75">
      <c r="B604" s="146" t="s">
        <v>836</v>
      </c>
      <c r="C604" s="132" t="s">
        <v>837</v>
      </c>
      <c r="D604" s="150">
        <f>SUM(D605)</f>
        <v>0</v>
      </c>
      <c r="E604" s="150">
        <f>SUM(E605)</f>
        <v>0</v>
      </c>
      <c r="F604" s="150">
        <f>SUM(F605)</f>
        <v>0</v>
      </c>
      <c r="G604" s="150">
        <f t="shared" si="109"/>
        <v>0</v>
      </c>
      <c r="H604" s="150">
        <f>SUM(H605)</f>
        <v>0</v>
      </c>
      <c r="I604" s="154">
        <f t="shared" si="110"/>
        <v>0</v>
      </c>
    </row>
    <row r="605" spans="2:9" ht="12.75">
      <c r="B605" s="147" t="s">
        <v>838</v>
      </c>
      <c r="C605" s="133" t="s">
        <v>837</v>
      </c>
      <c r="D605" s="151"/>
      <c r="E605" s="151"/>
      <c r="F605" s="151"/>
      <c r="G605" s="151">
        <f aca="true" t="shared" si="111" ref="G605:G624">SUM(D605:F605)</f>
        <v>0</v>
      </c>
      <c r="H605" s="151"/>
      <c r="I605" s="155">
        <f aca="true" t="shared" si="112" ref="I605:I624">SUM(G605:H605)</f>
        <v>0</v>
      </c>
    </row>
    <row r="606" spans="2:9" ht="12.75">
      <c r="B606" s="146" t="s">
        <v>839</v>
      </c>
      <c r="C606" s="132" t="s">
        <v>81</v>
      </c>
      <c r="D606" s="150">
        <f>SUM(D607)</f>
        <v>-662420.72</v>
      </c>
      <c r="E606" s="150">
        <f>SUM(E607)</f>
        <v>-149042.51</v>
      </c>
      <c r="F606" s="150">
        <f>SUM(F607)</f>
        <v>-107614.76999999999</v>
      </c>
      <c r="G606" s="150">
        <f t="shared" si="111"/>
        <v>-919078</v>
      </c>
      <c r="H606" s="150">
        <f>SUM(H607)</f>
        <v>-68578299</v>
      </c>
      <c r="I606" s="154">
        <f t="shared" si="112"/>
        <v>-69497377</v>
      </c>
    </row>
    <row r="607" spans="2:9" ht="12.75">
      <c r="B607" s="147" t="s">
        <v>840</v>
      </c>
      <c r="C607" s="133" t="s">
        <v>81</v>
      </c>
      <c r="D607" s="151">
        <f>-662420.72</f>
        <v>-662420.72</v>
      </c>
      <c r="E607" s="151">
        <f>-149042.51</f>
        <v>-149042.51</v>
      </c>
      <c r="F607" s="151">
        <f>80922-188536.77</f>
        <v>-107614.76999999999</v>
      </c>
      <c r="G607" s="151">
        <f t="shared" si="111"/>
        <v>-919078</v>
      </c>
      <c r="H607" s="151">
        <f>1647460-70225759</f>
        <v>-68578299</v>
      </c>
      <c r="I607" s="155">
        <f t="shared" si="112"/>
        <v>-69497377</v>
      </c>
    </row>
    <row r="608" spans="2:9" ht="12.75">
      <c r="B608" s="146" t="s">
        <v>841</v>
      </c>
      <c r="C608" s="132" t="s">
        <v>842</v>
      </c>
      <c r="D608" s="150">
        <f>SUM(D609)</f>
        <v>0</v>
      </c>
      <c r="E608" s="150">
        <f>SUM(E609)</f>
        <v>0</v>
      </c>
      <c r="F608" s="150">
        <f>SUM(F609)</f>
        <v>0</v>
      </c>
      <c r="G608" s="150">
        <f t="shared" si="111"/>
        <v>0</v>
      </c>
      <c r="H608" s="150">
        <f>SUM(H609)</f>
        <v>-18608008.65</v>
      </c>
      <c r="I608" s="154">
        <f t="shared" si="112"/>
        <v>-18608008.65</v>
      </c>
    </row>
    <row r="609" spans="2:9" ht="12.75">
      <c r="B609" s="147" t="s">
        <v>843</v>
      </c>
      <c r="C609" s="133" t="s">
        <v>842</v>
      </c>
      <c r="D609" s="151"/>
      <c r="E609" s="151"/>
      <c r="F609" s="151"/>
      <c r="G609" s="151">
        <f t="shared" si="111"/>
        <v>0</v>
      </c>
      <c r="H609" s="151">
        <f>-18608008.65</f>
        <v>-18608008.65</v>
      </c>
      <c r="I609" s="155">
        <f t="shared" si="112"/>
        <v>-18608008.65</v>
      </c>
    </row>
    <row r="610" spans="2:9" ht="12.75">
      <c r="B610" s="146" t="s">
        <v>844</v>
      </c>
      <c r="C610" s="132" t="s">
        <v>845</v>
      </c>
      <c r="D610" s="150">
        <f>SUM(D611)</f>
        <v>-1122650.55</v>
      </c>
      <c r="E610" s="150">
        <f>SUM(E611)</f>
        <v>-599623.35</v>
      </c>
      <c r="F610" s="150">
        <f>SUM(F611)</f>
        <v>-268232.1</v>
      </c>
      <c r="G610" s="150">
        <f t="shared" si="111"/>
        <v>-1990506</v>
      </c>
      <c r="H610" s="150">
        <f>SUM(H611)</f>
        <v>-5240840.8</v>
      </c>
      <c r="I610" s="154">
        <f t="shared" si="112"/>
        <v>-7231346.8</v>
      </c>
    </row>
    <row r="611" spans="2:9" ht="12.75">
      <c r="B611" s="147" t="s">
        <v>846</v>
      </c>
      <c r="C611" s="133" t="s">
        <v>845</v>
      </c>
      <c r="D611" s="151">
        <f>-1122650.55</f>
        <v>-1122650.55</v>
      </c>
      <c r="E611" s="151">
        <f>-599623.35</f>
        <v>-599623.35</v>
      </c>
      <c r="F611" s="151">
        <v>-268232.1</v>
      </c>
      <c r="G611" s="151">
        <f t="shared" si="111"/>
        <v>-1990506</v>
      </c>
      <c r="H611" s="151">
        <f>2231870-7472710.8</f>
        <v>-5240840.8</v>
      </c>
      <c r="I611" s="155">
        <f t="shared" si="112"/>
        <v>-7231346.8</v>
      </c>
    </row>
    <row r="612" spans="2:9" ht="12.75">
      <c r="B612" s="146" t="s">
        <v>847</v>
      </c>
      <c r="C612" s="132" t="s">
        <v>864</v>
      </c>
      <c r="D612" s="150">
        <f>SUM(D613:D616)</f>
        <v>-463457.74</v>
      </c>
      <c r="E612" s="150">
        <f>SUM(E613:E616)</f>
        <v>-446753.43999999994</v>
      </c>
      <c r="F612" s="150">
        <f>SUM(F613:F616)</f>
        <v>-1310586.98</v>
      </c>
      <c r="G612" s="150">
        <f t="shared" si="111"/>
        <v>-2220798.16</v>
      </c>
      <c r="H612" s="150">
        <f>SUM(H613:H616)</f>
        <v>-7379434.249999999</v>
      </c>
      <c r="I612" s="154">
        <f t="shared" si="112"/>
        <v>-9600232.41</v>
      </c>
    </row>
    <row r="613" spans="2:9" ht="12.75">
      <c r="B613" s="147" t="s">
        <v>848</v>
      </c>
      <c r="C613" s="133" t="s">
        <v>849</v>
      </c>
      <c r="D613" s="151">
        <f>667202.76-307850.5</f>
        <v>359352.26</v>
      </c>
      <c r="E613" s="151">
        <f>679600.45-809576.74</f>
        <v>-129976.29000000004</v>
      </c>
      <c r="F613" s="151">
        <f>821465.67-796799.96</f>
        <v>24665.71000000008</v>
      </c>
      <c r="G613" s="151">
        <f t="shared" si="111"/>
        <v>254041.68000000005</v>
      </c>
      <c r="H613" s="151">
        <f>2810018.9-9613915.2</f>
        <v>-6803896.299999999</v>
      </c>
      <c r="I613" s="155">
        <f t="shared" si="112"/>
        <v>-6549854.619999999</v>
      </c>
    </row>
    <row r="614" spans="2:9" ht="12.75">
      <c r="B614" s="147" t="s">
        <v>850</v>
      </c>
      <c r="C614" s="133" t="s">
        <v>851</v>
      </c>
      <c r="D614" s="151"/>
      <c r="E614" s="151"/>
      <c r="F614" s="151"/>
      <c r="G614" s="151">
        <f t="shared" si="111"/>
        <v>0</v>
      </c>
      <c r="H614" s="151"/>
      <c r="I614" s="155">
        <f t="shared" si="112"/>
        <v>0</v>
      </c>
    </row>
    <row r="615" spans="2:9" ht="12.75">
      <c r="B615" s="147" t="s">
        <v>852</v>
      </c>
      <c r="C615" s="133" t="s">
        <v>853</v>
      </c>
      <c r="D615" s="151">
        <f>517414.6-758249.6</f>
        <v>-240835</v>
      </c>
      <c r="E615" s="151">
        <f>1102898.55-1376900.7</f>
        <v>-274002.1499999999</v>
      </c>
      <c r="F615" s="151">
        <f>1020875.85-2166979.6</f>
        <v>-1146103.75</v>
      </c>
      <c r="G615" s="151">
        <f t="shared" si="111"/>
        <v>-1660940.9</v>
      </c>
      <c r="H615" s="151">
        <f>344911.1-920449.05</f>
        <v>-575537.9500000001</v>
      </c>
      <c r="I615" s="155">
        <f t="shared" si="112"/>
        <v>-2236478.85</v>
      </c>
    </row>
    <row r="616" spans="2:9" ht="12.75">
      <c r="B616" s="147" t="s">
        <v>854</v>
      </c>
      <c r="C616" s="133" t="s">
        <v>855</v>
      </c>
      <c r="D616" s="151">
        <f>25-582000</f>
        <v>-581975</v>
      </c>
      <c r="E616" s="151">
        <f>-42775</f>
        <v>-42775</v>
      </c>
      <c r="F616" s="151">
        <f>297955.61-487104.55</f>
        <v>-189148.94</v>
      </c>
      <c r="G616" s="151">
        <f t="shared" si="111"/>
        <v>-813898.94</v>
      </c>
      <c r="H616" s="151">
        <v>0</v>
      </c>
      <c r="I616" s="155">
        <f t="shared" si="112"/>
        <v>-813898.94</v>
      </c>
    </row>
    <row r="617" spans="2:9" ht="12.75">
      <c r="B617" s="146" t="s">
        <v>856</v>
      </c>
      <c r="C617" s="132" t="s">
        <v>857</v>
      </c>
      <c r="D617" s="150">
        <f>SUM(D618)</f>
        <v>-11413.45</v>
      </c>
      <c r="E617" s="150">
        <f>SUM(E618)</f>
        <v>-12860.2</v>
      </c>
      <c r="F617" s="150">
        <f>SUM(F618)</f>
        <v>0</v>
      </c>
      <c r="G617" s="150">
        <f t="shared" si="111"/>
        <v>-24273.65</v>
      </c>
      <c r="H617" s="150">
        <f>SUM(H618)</f>
        <v>-30244.850000000002</v>
      </c>
      <c r="I617" s="154">
        <f t="shared" si="112"/>
        <v>-54518.5</v>
      </c>
    </row>
    <row r="618" spans="2:9" ht="12.75">
      <c r="B618" s="147" t="s">
        <v>858</v>
      </c>
      <c r="C618" s="133" t="s">
        <v>859</v>
      </c>
      <c r="D618" s="151">
        <f>-11413.45</f>
        <v>-11413.45</v>
      </c>
      <c r="E618" s="151">
        <v>-12860.2</v>
      </c>
      <c r="F618" s="151"/>
      <c r="G618" s="151">
        <f t="shared" si="111"/>
        <v>-24273.65</v>
      </c>
      <c r="H618" s="151">
        <f>1110.6-31355.45</f>
        <v>-30244.850000000002</v>
      </c>
      <c r="I618" s="155">
        <f t="shared" si="112"/>
        <v>-54518.5</v>
      </c>
    </row>
    <row r="619" spans="2:9" ht="12.75">
      <c r="B619" s="146" t="s">
        <v>814</v>
      </c>
      <c r="C619" s="132" t="s">
        <v>860</v>
      </c>
      <c r="D619" s="150">
        <f>SUM(D620:D622)</f>
        <v>-3922452.1499999994</v>
      </c>
      <c r="E619" s="150">
        <f>SUM(E620:E622)</f>
        <v>-5427254.07</v>
      </c>
      <c r="F619" s="150">
        <f>SUM(F620:F622)</f>
        <v>-5229944.100000001</v>
      </c>
      <c r="G619" s="150">
        <f t="shared" si="111"/>
        <v>-14579650.32</v>
      </c>
      <c r="H619" s="150">
        <f>SUM(H620:H622)</f>
        <v>-564560.75</v>
      </c>
      <c r="I619" s="154">
        <f t="shared" si="112"/>
        <v>-15144211.07</v>
      </c>
    </row>
    <row r="620" spans="2:9" ht="12.75">
      <c r="B620" s="147" t="s">
        <v>861</v>
      </c>
      <c r="C620" s="133" t="s">
        <v>860</v>
      </c>
      <c r="D620" s="151"/>
      <c r="E620" s="151"/>
      <c r="F620" s="151">
        <f>173677-15331.65</f>
        <v>158345.35</v>
      </c>
      <c r="G620" s="151">
        <f t="shared" si="111"/>
        <v>158345.35</v>
      </c>
      <c r="H620" s="151">
        <f>-564560.75</f>
        <v>-564560.75</v>
      </c>
      <c r="I620" s="155">
        <f t="shared" si="112"/>
        <v>-406215.4</v>
      </c>
    </row>
    <row r="621" spans="2:9" ht="12.75">
      <c r="B621" s="147" t="s">
        <v>862</v>
      </c>
      <c r="C621" s="133" t="s">
        <v>869</v>
      </c>
      <c r="D621" s="151">
        <f>1060893.53-4983345.68</f>
        <v>-3922452.1499999994</v>
      </c>
      <c r="E621" s="151">
        <f>2005225-7432479.07</f>
        <v>-5427254.07</v>
      </c>
      <c r="F621" s="151">
        <f>-5388289.45</f>
        <v>-5388289.45</v>
      </c>
      <c r="G621" s="151">
        <f t="shared" si="111"/>
        <v>-14737995.669999998</v>
      </c>
      <c r="H621" s="151">
        <v>0</v>
      </c>
      <c r="I621" s="155">
        <f t="shared" si="112"/>
        <v>-14737995.669999998</v>
      </c>
    </row>
    <row r="622" spans="2:9" ht="12.75">
      <c r="B622" s="147" t="s">
        <v>863</v>
      </c>
      <c r="C622" s="133" t="s">
        <v>870</v>
      </c>
      <c r="D622" s="151"/>
      <c r="E622" s="151"/>
      <c r="F622" s="151"/>
      <c r="G622" s="151">
        <f t="shared" si="111"/>
        <v>0</v>
      </c>
      <c r="H622" s="151"/>
      <c r="I622" s="155">
        <f t="shared" si="112"/>
        <v>0</v>
      </c>
    </row>
    <row r="623" spans="2:9" ht="12.75">
      <c r="B623" s="147"/>
      <c r="C623" s="133"/>
      <c r="D623" s="151"/>
      <c r="E623" s="151"/>
      <c r="F623" s="151"/>
      <c r="G623" s="150">
        <f t="shared" si="111"/>
        <v>0</v>
      </c>
      <c r="H623" s="151"/>
      <c r="I623" s="154">
        <f t="shared" si="112"/>
        <v>0</v>
      </c>
    </row>
    <row r="624" spans="2:9" ht="12.75">
      <c r="B624" s="146"/>
      <c r="C624" s="132" t="s">
        <v>867</v>
      </c>
      <c r="D624" s="150">
        <f>D356+D373+D399+D429+D449+D466+D509+D532+D563+D600</f>
        <v>-637558.599999994</v>
      </c>
      <c r="E624" s="150">
        <f>E356+E373+E399+E429+E449+E466+E509+E532+E563+E600</f>
        <v>-3514457.1500000097</v>
      </c>
      <c r="F624" s="150">
        <f>F356+F373+F399+F429+F449+F466+F509+F532+F563+F600</f>
        <v>-472270.26000000536</v>
      </c>
      <c r="G624" s="150">
        <f t="shared" si="111"/>
        <v>-4624286.010000009</v>
      </c>
      <c r="H624" s="150">
        <f>H356+H373+H399+H429+H449+H466+H509+H532+H563+H600</f>
        <v>-8102281.090000033</v>
      </c>
      <c r="I624" s="154">
        <f t="shared" si="112"/>
        <v>-12726567.100000042</v>
      </c>
    </row>
    <row r="625" spans="2:9" ht="12.75" customHeight="1" thickBot="1">
      <c r="B625" s="148"/>
      <c r="C625" s="137" t="s">
        <v>6</v>
      </c>
      <c r="D625" s="152">
        <f>IF(D182-D181+D624=D182-D181+D624,D181-D182+D624,Meldungen!C5)</f>
        <v>5.9371814131736755E-09</v>
      </c>
      <c r="E625" s="152">
        <f>IF(E182-E181+E624=E182-E181+E624,E181-E182+E624,Meldungen!D5)</f>
        <v>-9.778887033462524E-09</v>
      </c>
      <c r="F625" s="152">
        <f>IF(F182-F181+F624=F182-F181+F624,F181-F182+F624,Meldungen!E5)</f>
        <v>-5.3551048040390015E-09</v>
      </c>
      <c r="G625" s="152">
        <f>IF(G182-G181+G624=G182-G181+G624,G181-G182+G624,Meldungen!F5)</f>
        <v>-9.313225746154785E-09</v>
      </c>
      <c r="H625" s="152">
        <f>IF(H182-H181+H624=H182-H181+H624,H181-H182+H624,Meldungen!G5)</f>
        <v>-13.090000033378601</v>
      </c>
      <c r="I625" s="156">
        <f>IF(I182-I181+I624=I182-I181+I624,I181-I182+I624,Meldungen!H5)</f>
        <v>-13.090000042691827</v>
      </c>
    </row>
    <row r="626" spans="2:9" ht="13.5" thickBot="1">
      <c r="B626" s="143"/>
      <c r="C626" s="10"/>
      <c r="D626" s="144"/>
      <c r="E626" s="145"/>
      <c r="F626" s="145"/>
      <c r="G626" s="145"/>
      <c r="H626" s="145"/>
      <c r="I626" s="145"/>
    </row>
    <row r="627" spans="2:9" ht="12.75">
      <c r="B627" s="157" t="s">
        <v>944</v>
      </c>
      <c r="C627" s="157"/>
      <c r="D627" s="159"/>
      <c r="E627" s="159"/>
      <c r="F627" s="159"/>
      <c r="G627" s="159"/>
      <c r="H627" s="159"/>
      <c r="I627" s="159"/>
    </row>
    <row r="628" spans="2:9" ht="12.75">
      <c r="B628" s="146" t="s">
        <v>389</v>
      </c>
      <c r="C628" s="132" t="s">
        <v>403</v>
      </c>
      <c r="D628" s="150">
        <f>D629+D632+D643</f>
        <v>87892.8</v>
      </c>
      <c r="E628" s="150">
        <f>E629+E632+E643</f>
        <v>295703.1</v>
      </c>
      <c r="F628" s="150">
        <f>F629+F632+F643</f>
        <v>0</v>
      </c>
      <c r="G628" s="150">
        <f>SUM(D628:F628)</f>
        <v>383595.89999999997</v>
      </c>
      <c r="H628" s="150">
        <f>H629+H632+H643</f>
        <v>1826336</v>
      </c>
      <c r="I628" s="150">
        <f>SUM(G628:H628)</f>
        <v>2209931.9</v>
      </c>
    </row>
    <row r="629" spans="2:9" ht="12.75">
      <c r="B629" s="146" t="s">
        <v>390</v>
      </c>
      <c r="C629" s="132" t="s">
        <v>391</v>
      </c>
      <c r="D629" s="150">
        <f>SUM(D630:D631)</f>
        <v>0</v>
      </c>
      <c r="E629" s="150">
        <f>SUM(E630:E631)</f>
        <v>0</v>
      </c>
      <c r="F629" s="150">
        <f>SUM(F630:F631)</f>
        <v>0</v>
      </c>
      <c r="G629" s="150">
        <f aca="true" t="shared" si="113" ref="G629:G690">SUM(D629:F629)</f>
        <v>0</v>
      </c>
      <c r="H629" s="150">
        <f>SUM(H630:H631)</f>
        <v>0</v>
      </c>
      <c r="I629" s="150">
        <f aca="true" t="shared" si="114" ref="I629:I690">SUM(G629:H629)</f>
        <v>0</v>
      </c>
    </row>
    <row r="630" spans="2:9" ht="12.75">
      <c r="B630" s="147" t="s">
        <v>404</v>
      </c>
      <c r="C630" s="133" t="s">
        <v>405</v>
      </c>
      <c r="D630" s="151"/>
      <c r="E630" s="151"/>
      <c r="F630" s="151"/>
      <c r="G630" s="151">
        <f t="shared" si="113"/>
        <v>0</v>
      </c>
      <c r="H630" s="151"/>
      <c r="I630" s="151">
        <f t="shared" si="114"/>
        <v>0</v>
      </c>
    </row>
    <row r="631" spans="2:9" ht="12.75">
      <c r="B631" s="147" t="s">
        <v>406</v>
      </c>
      <c r="C631" s="133" t="s">
        <v>407</v>
      </c>
      <c r="D631" s="151"/>
      <c r="E631" s="151"/>
      <c r="F631" s="151"/>
      <c r="G631" s="151">
        <f t="shared" si="113"/>
        <v>0</v>
      </c>
      <c r="H631" s="151"/>
      <c r="I631" s="151">
        <f t="shared" si="114"/>
        <v>0</v>
      </c>
    </row>
    <row r="632" spans="2:9" ht="12.75">
      <c r="B632" s="146" t="s">
        <v>392</v>
      </c>
      <c r="C632" s="132" t="s">
        <v>393</v>
      </c>
      <c r="D632" s="150">
        <f>SUM(D633:D642)</f>
        <v>87892.8</v>
      </c>
      <c r="E632" s="150">
        <f>SUM(E633:E642)</f>
        <v>295703.1</v>
      </c>
      <c r="F632" s="150">
        <f>SUM(F633:F642)</f>
        <v>0</v>
      </c>
      <c r="G632" s="150">
        <f t="shared" si="113"/>
        <v>383595.89999999997</v>
      </c>
      <c r="H632" s="150">
        <f>SUM(H633:H642)</f>
        <v>1826336</v>
      </c>
      <c r="I632" s="150">
        <f t="shared" si="114"/>
        <v>2209931.9</v>
      </c>
    </row>
    <row r="633" spans="2:9" ht="12.75">
      <c r="B633" s="147" t="s">
        <v>408</v>
      </c>
      <c r="C633" s="133" t="s">
        <v>409</v>
      </c>
      <c r="D633" s="151"/>
      <c r="E633" s="151"/>
      <c r="F633" s="151"/>
      <c r="G633" s="151">
        <f t="shared" si="113"/>
        <v>0</v>
      </c>
      <c r="H633" s="151">
        <f>322201</f>
        <v>322201</v>
      </c>
      <c r="I633" s="151">
        <f t="shared" si="114"/>
        <v>322201</v>
      </c>
    </row>
    <row r="634" spans="2:9" ht="12.75">
      <c r="B634" s="147" t="s">
        <v>410</v>
      </c>
      <c r="C634" s="133" t="s">
        <v>411</v>
      </c>
      <c r="D634" s="151">
        <v>87892.8</v>
      </c>
      <c r="E634" s="151"/>
      <c r="F634" s="151"/>
      <c r="G634" s="151">
        <f t="shared" si="113"/>
        <v>87892.8</v>
      </c>
      <c r="H634" s="151">
        <f>776535</f>
        <v>776535</v>
      </c>
      <c r="I634" s="151">
        <f t="shared" si="114"/>
        <v>864427.8</v>
      </c>
    </row>
    <row r="635" spans="2:9" ht="12.75">
      <c r="B635" s="147" t="s">
        <v>412</v>
      </c>
      <c r="C635" s="133" t="s">
        <v>413</v>
      </c>
      <c r="D635" s="151"/>
      <c r="E635" s="151"/>
      <c r="F635" s="151"/>
      <c r="G635" s="151">
        <f t="shared" si="113"/>
        <v>0</v>
      </c>
      <c r="H635" s="151"/>
      <c r="I635" s="151">
        <f t="shared" si="114"/>
        <v>0</v>
      </c>
    </row>
    <row r="636" spans="2:9" ht="12.75">
      <c r="B636" s="147" t="s">
        <v>414</v>
      </c>
      <c r="C636" s="133" t="s">
        <v>415</v>
      </c>
      <c r="D636" s="151"/>
      <c r="E636" s="151">
        <f>295703.1</f>
        <v>295703.1</v>
      </c>
      <c r="F636" s="151"/>
      <c r="G636" s="151">
        <f t="shared" si="113"/>
        <v>295703.1</v>
      </c>
      <c r="H636" s="151">
        <f>727600</f>
        <v>727600</v>
      </c>
      <c r="I636" s="151">
        <f t="shared" si="114"/>
        <v>1023303.1</v>
      </c>
    </row>
    <row r="637" spans="2:9" ht="12.75">
      <c r="B637" s="147" t="s">
        <v>394</v>
      </c>
      <c r="C637" s="133" t="s">
        <v>416</v>
      </c>
      <c r="D637" s="151"/>
      <c r="E637" s="151"/>
      <c r="F637" s="151"/>
      <c r="G637" s="151">
        <f t="shared" si="113"/>
        <v>0</v>
      </c>
      <c r="H637" s="151"/>
      <c r="I637" s="151">
        <f t="shared" si="114"/>
        <v>0</v>
      </c>
    </row>
    <row r="638" spans="2:9" ht="12.75">
      <c r="B638" s="147" t="s">
        <v>417</v>
      </c>
      <c r="C638" s="133" t="s">
        <v>418</v>
      </c>
      <c r="D638" s="151"/>
      <c r="E638" s="151"/>
      <c r="F638" s="151"/>
      <c r="G638" s="151">
        <f t="shared" si="113"/>
        <v>0</v>
      </c>
      <c r="H638" s="151"/>
      <c r="I638" s="151">
        <f t="shared" si="114"/>
        <v>0</v>
      </c>
    </row>
    <row r="639" spans="2:9" ht="12.75">
      <c r="B639" s="147" t="s">
        <v>419</v>
      </c>
      <c r="C639" s="133" t="s">
        <v>420</v>
      </c>
      <c r="D639" s="151"/>
      <c r="E639" s="151"/>
      <c r="F639" s="151"/>
      <c r="G639" s="151">
        <f t="shared" si="113"/>
        <v>0</v>
      </c>
      <c r="H639" s="151"/>
      <c r="I639" s="151">
        <f t="shared" si="114"/>
        <v>0</v>
      </c>
    </row>
    <row r="640" spans="2:9" ht="12.75">
      <c r="B640" s="147" t="s">
        <v>421</v>
      </c>
      <c r="C640" s="133" t="s">
        <v>422</v>
      </c>
      <c r="D640" s="151"/>
      <c r="E640" s="151"/>
      <c r="F640" s="151"/>
      <c r="G640" s="151">
        <f t="shared" si="113"/>
        <v>0</v>
      </c>
      <c r="H640" s="151"/>
      <c r="I640" s="151">
        <f t="shared" si="114"/>
        <v>0</v>
      </c>
    </row>
    <row r="641" spans="2:9" ht="12.75">
      <c r="B641" s="147" t="s">
        <v>423</v>
      </c>
      <c r="C641" s="133" t="s">
        <v>424</v>
      </c>
      <c r="D641" s="151"/>
      <c r="E641" s="151"/>
      <c r="F641" s="151"/>
      <c r="G641" s="151">
        <f t="shared" si="113"/>
        <v>0</v>
      </c>
      <c r="H641" s="151"/>
      <c r="I641" s="151">
        <f t="shared" si="114"/>
        <v>0</v>
      </c>
    </row>
    <row r="642" spans="2:9" ht="12.75">
      <c r="B642" s="147" t="s">
        <v>425</v>
      </c>
      <c r="C642" s="133" t="s">
        <v>426</v>
      </c>
      <c r="D642" s="151"/>
      <c r="E642" s="151"/>
      <c r="F642" s="151"/>
      <c r="G642" s="151">
        <f t="shared" si="113"/>
        <v>0</v>
      </c>
      <c r="H642" s="151"/>
      <c r="I642" s="151">
        <f t="shared" si="114"/>
        <v>0</v>
      </c>
    </row>
    <row r="643" spans="2:9" ht="12.75">
      <c r="B643" s="146" t="s">
        <v>395</v>
      </c>
      <c r="C643" s="132" t="s">
        <v>396</v>
      </c>
      <c r="D643" s="150">
        <f>SUM(D644)</f>
        <v>0</v>
      </c>
      <c r="E643" s="150">
        <f>SUM(E644)</f>
        <v>0</v>
      </c>
      <c r="F643" s="150">
        <f>SUM(F644)</f>
        <v>0</v>
      </c>
      <c r="G643" s="150">
        <f t="shared" si="113"/>
        <v>0</v>
      </c>
      <c r="H643" s="150">
        <f>SUM(H644)</f>
        <v>0</v>
      </c>
      <c r="I643" s="150">
        <f t="shared" si="114"/>
        <v>0</v>
      </c>
    </row>
    <row r="644" spans="2:9" ht="12.75">
      <c r="B644" s="147" t="s">
        <v>427</v>
      </c>
      <c r="C644" s="133" t="s">
        <v>396</v>
      </c>
      <c r="D644" s="151"/>
      <c r="E644" s="151"/>
      <c r="F644" s="151"/>
      <c r="G644" s="151">
        <f t="shared" si="113"/>
        <v>0</v>
      </c>
      <c r="H644" s="151"/>
      <c r="I644" s="151">
        <f t="shared" si="114"/>
        <v>0</v>
      </c>
    </row>
    <row r="645" spans="2:9" ht="12.75">
      <c r="B645" s="146" t="s">
        <v>428</v>
      </c>
      <c r="C645" s="132" t="s">
        <v>429</v>
      </c>
      <c r="D645" s="150">
        <f>D646+D650+D652+D654+D658+D662+D668</f>
        <v>25416.899999999994</v>
      </c>
      <c r="E645" s="150">
        <f>E646+E650+E652+E654+E658+E662+E668</f>
        <v>0</v>
      </c>
      <c r="F645" s="150">
        <f>F646+F650+F652+F654+F658+F662+F668</f>
        <v>352032.35</v>
      </c>
      <c r="G645" s="150">
        <f t="shared" si="113"/>
        <v>377449.25</v>
      </c>
      <c r="H645" s="150">
        <f>H646+H650+H652+H654+H658+H662+H668</f>
        <v>752621</v>
      </c>
      <c r="I645" s="150">
        <f t="shared" si="114"/>
        <v>1130070.25</v>
      </c>
    </row>
    <row r="646" spans="2:9" ht="12.75">
      <c r="B646" s="146" t="s">
        <v>397</v>
      </c>
      <c r="C646" s="132" t="s">
        <v>398</v>
      </c>
      <c r="D646" s="150">
        <f>SUM(D647:D649)</f>
        <v>0</v>
      </c>
      <c r="E646" s="150">
        <f>SUM(E647:E649)</f>
        <v>0</v>
      </c>
      <c r="F646" s="150">
        <f>SUM(F647:F649)</f>
        <v>0</v>
      </c>
      <c r="G646" s="150">
        <f t="shared" si="113"/>
        <v>0</v>
      </c>
      <c r="H646" s="150">
        <f>SUM(H647:H649)</f>
        <v>0</v>
      </c>
      <c r="I646" s="150">
        <f t="shared" si="114"/>
        <v>0</v>
      </c>
    </row>
    <row r="647" spans="2:9" ht="12.75">
      <c r="B647" s="147" t="s">
        <v>430</v>
      </c>
      <c r="C647" s="133" t="s">
        <v>431</v>
      </c>
      <c r="D647" s="151"/>
      <c r="E647" s="151"/>
      <c r="F647" s="151"/>
      <c r="G647" s="151">
        <f t="shared" si="113"/>
        <v>0</v>
      </c>
      <c r="H647" s="151"/>
      <c r="I647" s="151">
        <f t="shared" si="114"/>
        <v>0</v>
      </c>
    </row>
    <row r="648" spans="2:9" ht="12.75">
      <c r="B648" s="147" t="s">
        <v>432</v>
      </c>
      <c r="C648" s="133" t="s">
        <v>433</v>
      </c>
      <c r="D648" s="151"/>
      <c r="E648" s="151"/>
      <c r="F648" s="151"/>
      <c r="G648" s="151">
        <f t="shared" si="113"/>
        <v>0</v>
      </c>
      <c r="H648" s="151"/>
      <c r="I648" s="151">
        <f t="shared" si="114"/>
        <v>0</v>
      </c>
    </row>
    <row r="649" spans="2:9" ht="12.75">
      <c r="B649" s="147" t="s">
        <v>434</v>
      </c>
      <c r="C649" s="133" t="s">
        <v>435</v>
      </c>
      <c r="D649" s="151"/>
      <c r="E649" s="151"/>
      <c r="F649" s="151"/>
      <c r="G649" s="151">
        <f t="shared" si="113"/>
        <v>0</v>
      </c>
      <c r="H649" s="151"/>
      <c r="I649" s="151">
        <f t="shared" si="114"/>
        <v>0</v>
      </c>
    </row>
    <row r="650" spans="2:9" ht="12.75">
      <c r="B650" s="146" t="s">
        <v>399</v>
      </c>
      <c r="C650" s="132" t="s">
        <v>400</v>
      </c>
      <c r="D650" s="150">
        <f>SUM(D651)</f>
        <v>0</v>
      </c>
      <c r="E650" s="150">
        <f>SUM(E651)</f>
        <v>0</v>
      </c>
      <c r="F650" s="150">
        <f>SUM(F651)</f>
        <v>0</v>
      </c>
      <c r="G650" s="150">
        <f t="shared" si="113"/>
        <v>0</v>
      </c>
      <c r="H650" s="150">
        <f>SUM(H651)</f>
        <v>500416</v>
      </c>
      <c r="I650" s="150">
        <f t="shared" si="114"/>
        <v>500416</v>
      </c>
    </row>
    <row r="651" spans="2:9" ht="12.75">
      <c r="B651" s="147" t="s">
        <v>436</v>
      </c>
      <c r="C651" s="133" t="s">
        <v>400</v>
      </c>
      <c r="D651" s="151"/>
      <c r="E651" s="151"/>
      <c r="F651" s="151"/>
      <c r="G651" s="151">
        <f t="shared" si="113"/>
        <v>0</v>
      </c>
      <c r="H651" s="151">
        <f>500416</f>
        <v>500416</v>
      </c>
      <c r="I651" s="151">
        <f t="shared" si="114"/>
        <v>500416</v>
      </c>
    </row>
    <row r="652" spans="2:9" ht="12.75">
      <c r="B652" s="146" t="s">
        <v>401</v>
      </c>
      <c r="C652" s="132" t="s">
        <v>402</v>
      </c>
      <c r="D652" s="150">
        <f>SUM(D653)</f>
        <v>0</v>
      </c>
      <c r="E652" s="150">
        <f>SUM(E653)</f>
        <v>0</v>
      </c>
      <c r="F652" s="150">
        <f>SUM(F653)</f>
        <v>0</v>
      </c>
      <c r="G652" s="150">
        <f t="shared" si="113"/>
        <v>0</v>
      </c>
      <c r="H652" s="150">
        <f>SUM(H653)</f>
        <v>0</v>
      </c>
      <c r="I652" s="150">
        <f t="shared" si="114"/>
        <v>0</v>
      </c>
    </row>
    <row r="653" spans="2:9" ht="12.75">
      <c r="B653" s="147" t="s">
        <v>437</v>
      </c>
      <c r="C653" s="133" t="s">
        <v>402</v>
      </c>
      <c r="D653" s="151"/>
      <c r="E653" s="151"/>
      <c r="F653" s="151"/>
      <c r="G653" s="151">
        <f t="shared" si="113"/>
        <v>0</v>
      </c>
      <c r="H653" s="151"/>
      <c r="I653" s="151">
        <f t="shared" si="114"/>
        <v>0</v>
      </c>
    </row>
    <row r="654" spans="2:9" ht="12.75">
      <c r="B654" s="146" t="s">
        <v>208</v>
      </c>
      <c r="C654" s="132" t="s">
        <v>440</v>
      </c>
      <c r="D654" s="150">
        <f>SUM(D655:D657)</f>
        <v>0</v>
      </c>
      <c r="E654" s="150">
        <f>SUM(E655:E657)</f>
        <v>0</v>
      </c>
      <c r="F654" s="150">
        <f>SUM(F655:F657)</f>
        <v>0</v>
      </c>
      <c r="G654" s="150">
        <f t="shared" si="113"/>
        <v>0</v>
      </c>
      <c r="H654" s="150">
        <f>SUM(H655:H657)</f>
        <v>252205</v>
      </c>
      <c r="I654" s="150">
        <f t="shared" si="114"/>
        <v>252205</v>
      </c>
    </row>
    <row r="655" spans="2:9" ht="12.75">
      <c r="B655" s="147" t="s">
        <v>438</v>
      </c>
      <c r="C655" s="133" t="s">
        <v>440</v>
      </c>
      <c r="D655" s="151"/>
      <c r="E655" s="151"/>
      <c r="F655" s="151"/>
      <c r="G655" s="151">
        <f t="shared" si="113"/>
        <v>0</v>
      </c>
      <c r="H655" s="151">
        <f>493420-241215</f>
        <v>252205</v>
      </c>
      <c r="I655" s="151">
        <f t="shared" si="114"/>
        <v>252205</v>
      </c>
    </row>
    <row r="656" spans="2:9" ht="12.75">
      <c r="B656" s="147" t="s">
        <v>439</v>
      </c>
      <c r="C656" s="133" t="s">
        <v>441</v>
      </c>
      <c r="D656" s="151"/>
      <c r="E656" s="151"/>
      <c r="F656" s="151"/>
      <c r="G656" s="151">
        <f t="shared" si="113"/>
        <v>0</v>
      </c>
      <c r="H656" s="151"/>
      <c r="I656" s="151">
        <f t="shared" si="114"/>
        <v>0</v>
      </c>
    </row>
    <row r="657" spans="2:9" ht="12.75">
      <c r="B657" s="147" t="s">
        <v>442</v>
      </c>
      <c r="C657" s="133" t="s">
        <v>443</v>
      </c>
      <c r="D657" s="151"/>
      <c r="E657" s="151"/>
      <c r="F657" s="151"/>
      <c r="G657" s="151">
        <f t="shared" si="113"/>
        <v>0</v>
      </c>
      <c r="H657" s="151"/>
      <c r="I657" s="151">
        <f t="shared" si="114"/>
        <v>0</v>
      </c>
    </row>
    <row r="658" spans="2:9" ht="12.75">
      <c r="B658" s="146" t="s">
        <v>444</v>
      </c>
      <c r="C658" s="132" t="s">
        <v>445</v>
      </c>
      <c r="D658" s="150">
        <f>SUM(D659:D661)</f>
        <v>25416.899999999994</v>
      </c>
      <c r="E658" s="150">
        <f>SUM(E659:E661)</f>
        <v>0</v>
      </c>
      <c r="F658" s="150">
        <f>SUM(F659:F661)</f>
        <v>352032.35</v>
      </c>
      <c r="G658" s="150">
        <f t="shared" si="113"/>
        <v>377449.25</v>
      </c>
      <c r="H658" s="150">
        <f>SUM(H659:H661)</f>
        <v>0</v>
      </c>
      <c r="I658" s="150">
        <f t="shared" si="114"/>
        <v>377449.25</v>
      </c>
    </row>
    <row r="659" spans="2:9" ht="12.75">
      <c r="B659" s="147" t="s">
        <v>446</v>
      </c>
      <c r="C659" s="133" t="s">
        <v>445</v>
      </c>
      <c r="D659" s="151">
        <f>127089.9-101673</f>
        <v>25416.899999999994</v>
      </c>
      <c r="E659" s="151"/>
      <c r="F659" s="151">
        <f>648504.35-296472</f>
        <v>352032.35</v>
      </c>
      <c r="G659" s="151">
        <f t="shared" si="113"/>
        <v>377449.25</v>
      </c>
      <c r="H659" s="151"/>
      <c r="I659" s="151">
        <f t="shared" si="114"/>
        <v>377449.25</v>
      </c>
    </row>
    <row r="660" spans="2:9" ht="12.75">
      <c r="B660" s="147" t="s">
        <v>447</v>
      </c>
      <c r="C660" s="133" t="s">
        <v>448</v>
      </c>
      <c r="D660" s="151"/>
      <c r="E660" s="151"/>
      <c r="F660" s="151"/>
      <c r="G660" s="151">
        <f t="shared" si="113"/>
        <v>0</v>
      </c>
      <c r="H660" s="151"/>
      <c r="I660" s="151">
        <f t="shared" si="114"/>
        <v>0</v>
      </c>
    </row>
    <row r="661" spans="2:9" ht="12.75">
      <c r="B661" s="147" t="s">
        <v>449</v>
      </c>
      <c r="C661" s="133" t="s">
        <v>450</v>
      </c>
      <c r="D661" s="151"/>
      <c r="E661" s="151"/>
      <c r="F661" s="151"/>
      <c r="G661" s="151">
        <f t="shared" si="113"/>
        <v>0</v>
      </c>
      <c r="H661" s="151"/>
      <c r="I661" s="151">
        <f t="shared" si="114"/>
        <v>0</v>
      </c>
    </row>
    <row r="662" spans="2:9" ht="12.75">
      <c r="B662" s="146" t="s">
        <v>451</v>
      </c>
      <c r="C662" s="132" t="s">
        <v>452</v>
      </c>
      <c r="D662" s="150">
        <f>SUM(D663:D667)</f>
        <v>0</v>
      </c>
      <c r="E662" s="150">
        <f>SUM(E663:E667)</f>
        <v>0</v>
      </c>
      <c r="F662" s="150">
        <f>SUM(F663:F667)</f>
        <v>0</v>
      </c>
      <c r="G662" s="150">
        <f t="shared" si="113"/>
        <v>0</v>
      </c>
      <c r="H662" s="150">
        <f>SUM(H663:H667)</f>
        <v>0</v>
      </c>
      <c r="I662" s="150">
        <f t="shared" si="114"/>
        <v>0</v>
      </c>
    </row>
    <row r="663" spans="2:9" ht="12.75">
      <c r="B663" s="147" t="s">
        <v>453</v>
      </c>
      <c r="C663" s="133" t="s">
        <v>452</v>
      </c>
      <c r="D663" s="151"/>
      <c r="E663" s="151"/>
      <c r="F663" s="151"/>
      <c r="G663" s="151">
        <f t="shared" si="113"/>
        <v>0</v>
      </c>
      <c r="H663" s="151"/>
      <c r="I663" s="151">
        <f t="shared" si="114"/>
        <v>0</v>
      </c>
    </row>
    <row r="664" spans="2:9" ht="12.75">
      <c r="B664" s="147" t="s">
        <v>454</v>
      </c>
      <c r="C664" s="133" t="s">
        <v>455</v>
      </c>
      <c r="D664" s="151"/>
      <c r="E664" s="151"/>
      <c r="F664" s="151"/>
      <c r="G664" s="151">
        <f t="shared" si="113"/>
        <v>0</v>
      </c>
      <c r="H664" s="151"/>
      <c r="I664" s="151">
        <f t="shared" si="114"/>
        <v>0</v>
      </c>
    </row>
    <row r="665" spans="2:9" ht="12.75">
      <c r="B665" s="147" t="s">
        <v>456</v>
      </c>
      <c r="C665" s="133" t="s">
        <v>457</v>
      </c>
      <c r="D665" s="151"/>
      <c r="E665" s="151"/>
      <c r="F665" s="151"/>
      <c r="G665" s="151">
        <f t="shared" si="113"/>
        <v>0</v>
      </c>
      <c r="H665" s="151"/>
      <c r="I665" s="151">
        <f t="shared" si="114"/>
        <v>0</v>
      </c>
    </row>
    <row r="666" spans="2:9" ht="12.75">
      <c r="B666" s="147" t="s">
        <v>458</v>
      </c>
      <c r="C666" s="133" t="s">
        <v>459</v>
      </c>
      <c r="D666" s="151"/>
      <c r="E666" s="151"/>
      <c r="F666" s="151"/>
      <c r="G666" s="151">
        <f t="shared" si="113"/>
        <v>0</v>
      </c>
      <c r="H666" s="151"/>
      <c r="I666" s="151">
        <f t="shared" si="114"/>
        <v>0</v>
      </c>
    </row>
    <row r="667" spans="2:9" ht="12.75">
      <c r="B667" s="147" t="s">
        <v>460</v>
      </c>
      <c r="C667" s="133" t="s">
        <v>461</v>
      </c>
      <c r="D667" s="151"/>
      <c r="E667" s="151"/>
      <c r="F667" s="151"/>
      <c r="G667" s="151">
        <f t="shared" si="113"/>
        <v>0</v>
      </c>
      <c r="H667" s="151"/>
      <c r="I667" s="151">
        <f t="shared" si="114"/>
        <v>0</v>
      </c>
    </row>
    <row r="668" spans="2:9" ht="12.75">
      <c r="B668" s="146" t="s">
        <v>462</v>
      </c>
      <c r="C668" s="132" t="s">
        <v>463</v>
      </c>
      <c r="D668" s="150">
        <f>SUM(D669:D670)</f>
        <v>0</v>
      </c>
      <c r="E668" s="150">
        <f>SUM(E669:E670)</f>
        <v>0</v>
      </c>
      <c r="F668" s="150">
        <f>SUM(F669:F670)</f>
        <v>0</v>
      </c>
      <c r="G668" s="150">
        <f t="shared" si="113"/>
        <v>0</v>
      </c>
      <c r="H668" s="150">
        <f>SUM(H669:H670)</f>
        <v>0</v>
      </c>
      <c r="I668" s="150">
        <f t="shared" si="114"/>
        <v>0</v>
      </c>
    </row>
    <row r="669" spans="2:9" ht="12.75">
      <c r="B669" s="147" t="s">
        <v>464</v>
      </c>
      <c r="C669" s="133" t="s">
        <v>465</v>
      </c>
      <c r="D669" s="151"/>
      <c r="E669" s="151"/>
      <c r="F669" s="151"/>
      <c r="G669" s="151">
        <f t="shared" si="113"/>
        <v>0</v>
      </c>
      <c r="H669" s="151"/>
      <c r="I669" s="151">
        <f t="shared" si="114"/>
        <v>0</v>
      </c>
    </row>
    <row r="670" spans="2:9" ht="12.75">
      <c r="B670" s="147" t="s">
        <v>466</v>
      </c>
      <c r="C670" s="133" t="s">
        <v>467</v>
      </c>
      <c r="D670" s="151"/>
      <c r="E670" s="151"/>
      <c r="F670" s="151"/>
      <c r="G670" s="151">
        <f t="shared" si="113"/>
        <v>0</v>
      </c>
      <c r="H670" s="151"/>
      <c r="I670" s="151">
        <f t="shared" si="114"/>
        <v>0</v>
      </c>
    </row>
    <row r="671" spans="2:9" ht="12.75">
      <c r="B671" s="146" t="s">
        <v>468</v>
      </c>
      <c r="C671" s="132" t="s">
        <v>469</v>
      </c>
      <c r="D671" s="150">
        <f>D672+D682+D684+D686+D689+D695+D698</f>
        <v>219715.75</v>
      </c>
      <c r="E671" s="150">
        <f>E672+E682+E684+E686+E689+E695+E698</f>
        <v>201618.9</v>
      </c>
      <c r="F671" s="150">
        <f>F672+F682+F684+F686+F689+F695+F698</f>
        <v>0</v>
      </c>
      <c r="G671" s="150">
        <f t="shared" si="113"/>
        <v>421334.65</v>
      </c>
      <c r="H671" s="150">
        <f>H672+H682+H684+H686+H689+H695+H698</f>
        <v>1709314</v>
      </c>
      <c r="I671" s="150">
        <f t="shared" si="114"/>
        <v>2130648.65</v>
      </c>
    </row>
    <row r="672" spans="2:9" ht="12.75">
      <c r="B672" s="146" t="s">
        <v>470</v>
      </c>
      <c r="C672" s="132" t="s">
        <v>471</v>
      </c>
      <c r="D672" s="150">
        <f>SUM(D673:D681)</f>
        <v>219715.75</v>
      </c>
      <c r="E672" s="150">
        <f>SUM(E673:E681)</f>
        <v>201618.9</v>
      </c>
      <c r="F672" s="150">
        <f>SUM(F673:F681)</f>
        <v>0</v>
      </c>
      <c r="G672" s="150">
        <f t="shared" si="113"/>
        <v>421334.65</v>
      </c>
      <c r="H672" s="150">
        <f>SUM(H673:H681)</f>
        <v>0</v>
      </c>
      <c r="I672" s="150">
        <f t="shared" si="114"/>
        <v>421334.65</v>
      </c>
    </row>
    <row r="673" spans="2:9" ht="12.75">
      <c r="B673" s="147" t="s">
        <v>472</v>
      </c>
      <c r="C673" s="133" t="s">
        <v>473</v>
      </c>
      <c r="D673" s="151"/>
      <c r="E673" s="151"/>
      <c r="F673" s="151"/>
      <c r="G673" s="151">
        <f t="shared" si="113"/>
        <v>0</v>
      </c>
      <c r="H673" s="151"/>
      <c r="I673" s="151">
        <f t="shared" si="114"/>
        <v>0</v>
      </c>
    </row>
    <row r="674" spans="2:9" ht="12.75">
      <c r="B674" s="147" t="s">
        <v>474</v>
      </c>
      <c r="C674" s="133" t="s">
        <v>475</v>
      </c>
      <c r="D674" s="151"/>
      <c r="E674" s="151"/>
      <c r="F674" s="151"/>
      <c r="G674" s="151">
        <f t="shared" si="113"/>
        <v>0</v>
      </c>
      <c r="H674" s="151"/>
      <c r="I674" s="151">
        <f t="shared" si="114"/>
        <v>0</v>
      </c>
    </row>
    <row r="675" spans="2:9" ht="12.75">
      <c r="B675" s="147" t="s">
        <v>476</v>
      </c>
      <c r="C675" s="133" t="s">
        <v>477</v>
      </c>
      <c r="D675" s="151"/>
      <c r="E675" s="151"/>
      <c r="F675" s="151"/>
      <c r="G675" s="151">
        <f t="shared" si="113"/>
        <v>0</v>
      </c>
      <c r="H675" s="151"/>
      <c r="I675" s="151">
        <f t="shared" si="114"/>
        <v>0</v>
      </c>
    </row>
    <row r="676" spans="2:9" ht="12.75">
      <c r="B676" s="147" t="s">
        <v>478</v>
      </c>
      <c r="C676" s="133" t="s">
        <v>479</v>
      </c>
      <c r="D676" s="151"/>
      <c r="E676" s="151">
        <f>141698.5</f>
        <v>141698.5</v>
      </c>
      <c r="F676" s="151"/>
      <c r="G676" s="151">
        <f t="shared" si="113"/>
        <v>141698.5</v>
      </c>
      <c r="H676" s="151"/>
      <c r="I676" s="151">
        <f t="shared" si="114"/>
        <v>141698.5</v>
      </c>
    </row>
    <row r="677" spans="2:9" ht="12.75">
      <c r="B677" s="147" t="s">
        <v>480</v>
      </c>
      <c r="C677" s="133" t="s">
        <v>481</v>
      </c>
      <c r="D677" s="151"/>
      <c r="E677" s="151"/>
      <c r="F677" s="151"/>
      <c r="G677" s="151">
        <f t="shared" si="113"/>
        <v>0</v>
      </c>
      <c r="H677" s="151"/>
      <c r="I677" s="151">
        <f t="shared" si="114"/>
        <v>0</v>
      </c>
    </row>
    <row r="678" spans="2:9" ht="12.75">
      <c r="B678" s="147" t="s">
        <v>482</v>
      </c>
      <c r="C678" s="133" t="s">
        <v>483</v>
      </c>
      <c r="D678" s="151">
        <f>219715.75</f>
        <v>219715.75</v>
      </c>
      <c r="E678" s="151">
        <f>59920.4</f>
        <v>59920.4</v>
      </c>
      <c r="F678" s="151"/>
      <c r="G678" s="151">
        <f t="shared" si="113"/>
        <v>279636.15</v>
      </c>
      <c r="H678" s="151"/>
      <c r="I678" s="151">
        <f t="shared" si="114"/>
        <v>279636.15</v>
      </c>
    </row>
    <row r="679" spans="2:9" ht="12.75">
      <c r="B679" s="147" t="s">
        <v>484</v>
      </c>
      <c r="C679" s="133" t="s">
        <v>485</v>
      </c>
      <c r="D679" s="151"/>
      <c r="E679" s="151"/>
      <c r="F679" s="151"/>
      <c r="G679" s="151">
        <f t="shared" si="113"/>
        <v>0</v>
      </c>
      <c r="H679" s="151"/>
      <c r="I679" s="151">
        <f t="shared" si="114"/>
        <v>0</v>
      </c>
    </row>
    <row r="680" spans="2:9" ht="12.75">
      <c r="B680" s="147" t="s">
        <v>486</v>
      </c>
      <c r="C680" s="133" t="s">
        <v>875</v>
      </c>
      <c r="D680" s="151"/>
      <c r="E680" s="151"/>
      <c r="F680" s="151"/>
      <c r="G680" s="151">
        <f t="shared" si="113"/>
        <v>0</v>
      </c>
      <c r="H680" s="151"/>
      <c r="I680" s="151">
        <f t="shared" si="114"/>
        <v>0</v>
      </c>
    </row>
    <row r="681" spans="2:9" ht="12.75">
      <c r="B681" s="147" t="s">
        <v>505</v>
      </c>
      <c r="C681" s="133" t="s">
        <v>487</v>
      </c>
      <c r="D681" s="151"/>
      <c r="E681" s="151"/>
      <c r="F681" s="151"/>
      <c r="G681" s="151">
        <f t="shared" si="113"/>
        <v>0</v>
      </c>
      <c r="H681" s="151"/>
      <c r="I681" s="151">
        <f t="shared" si="114"/>
        <v>0</v>
      </c>
    </row>
    <row r="682" spans="2:9" ht="12.75">
      <c r="B682" s="146" t="s">
        <v>488</v>
      </c>
      <c r="C682" s="132" t="s">
        <v>490</v>
      </c>
      <c r="D682" s="150">
        <f>SUM(D683)</f>
        <v>0</v>
      </c>
      <c r="E682" s="150">
        <f>SUM(E683)</f>
        <v>0</v>
      </c>
      <c r="F682" s="150">
        <f>SUM(F683)</f>
        <v>0</v>
      </c>
      <c r="G682" s="150">
        <f t="shared" si="113"/>
        <v>0</v>
      </c>
      <c r="H682" s="150">
        <f>SUM(H683)</f>
        <v>0</v>
      </c>
      <c r="I682" s="150">
        <f t="shared" si="114"/>
        <v>0</v>
      </c>
    </row>
    <row r="683" spans="2:9" ht="12.75">
      <c r="B683" s="147" t="s">
        <v>489</v>
      </c>
      <c r="C683" s="133" t="s">
        <v>490</v>
      </c>
      <c r="D683" s="151"/>
      <c r="E683" s="151"/>
      <c r="F683" s="151"/>
      <c r="G683" s="151">
        <f t="shared" si="113"/>
        <v>0</v>
      </c>
      <c r="H683" s="151"/>
      <c r="I683" s="151">
        <f t="shared" si="114"/>
        <v>0</v>
      </c>
    </row>
    <row r="684" spans="2:9" ht="12.75">
      <c r="B684" s="146" t="s">
        <v>491</v>
      </c>
      <c r="C684" s="132" t="s">
        <v>492</v>
      </c>
      <c r="D684" s="150">
        <f>SUM(D685)</f>
        <v>0</v>
      </c>
      <c r="E684" s="150">
        <f>SUM(E685)</f>
        <v>0</v>
      </c>
      <c r="F684" s="150">
        <f>SUM(F685)</f>
        <v>0</v>
      </c>
      <c r="G684" s="150">
        <f t="shared" si="113"/>
        <v>0</v>
      </c>
      <c r="H684" s="150">
        <f>SUM(H685)</f>
        <v>1108593</v>
      </c>
      <c r="I684" s="150">
        <f t="shared" si="114"/>
        <v>1108593</v>
      </c>
    </row>
    <row r="685" spans="2:9" ht="12.75">
      <c r="B685" s="147" t="s">
        <v>494</v>
      </c>
      <c r="C685" s="133" t="s">
        <v>492</v>
      </c>
      <c r="D685" s="151"/>
      <c r="E685" s="151"/>
      <c r="F685" s="151"/>
      <c r="G685" s="151">
        <f t="shared" si="113"/>
        <v>0</v>
      </c>
      <c r="H685" s="151">
        <f>1270594-162001</f>
        <v>1108593</v>
      </c>
      <c r="I685" s="151">
        <f t="shared" si="114"/>
        <v>1108593</v>
      </c>
    </row>
    <row r="686" spans="2:9" ht="12.75">
      <c r="B686" s="146" t="s">
        <v>493</v>
      </c>
      <c r="C686" s="132" t="s">
        <v>495</v>
      </c>
      <c r="D686" s="150">
        <f>SUM(D687:D688)</f>
        <v>0</v>
      </c>
      <c r="E686" s="150">
        <f>SUM(E687:E688)</f>
        <v>0</v>
      </c>
      <c r="F686" s="150">
        <f>SUM(F687:F688)</f>
        <v>0</v>
      </c>
      <c r="G686" s="150">
        <f t="shared" si="113"/>
        <v>0</v>
      </c>
      <c r="H686" s="150">
        <f>SUM(H687:H688)</f>
        <v>600721</v>
      </c>
      <c r="I686" s="150">
        <f t="shared" si="114"/>
        <v>600721</v>
      </c>
    </row>
    <row r="687" spans="2:9" ht="12.75">
      <c r="B687" s="147" t="s">
        <v>496</v>
      </c>
      <c r="C687" s="133" t="s">
        <v>497</v>
      </c>
      <c r="D687" s="151"/>
      <c r="E687" s="151"/>
      <c r="F687" s="151"/>
      <c r="G687" s="151">
        <f t="shared" si="113"/>
        <v>0</v>
      </c>
      <c r="H687" s="151">
        <f>600721</f>
        <v>600721</v>
      </c>
      <c r="I687" s="151">
        <f t="shared" si="114"/>
        <v>600721</v>
      </c>
    </row>
    <row r="688" spans="2:9" ht="12.75">
      <c r="B688" s="147" t="s">
        <v>498</v>
      </c>
      <c r="C688" s="133" t="s">
        <v>499</v>
      </c>
      <c r="D688" s="151"/>
      <c r="E688" s="151"/>
      <c r="F688" s="151"/>
      <c r="G688" s="151">
        <f t="shared" si="113"/>
        <v>0</v>
      </c>
      <c r="H688" s="151"/>
      <c r="I688" s="151">
        <f t="shared" si="114"/>
        <v>0</v>
      </c>
    </row>
    <row r="689" spans="2:9" ht="12.75">
      <c r="B689" s="147" t="s">
        <v>500</v>
      </c>
      <c r="C689" s="133" t="s">
        <v>501</v>
      </c>
      <c r="D689" s="151">
        <f>SUM(D690:D694)</f>
        <v>0</v>
      </c>
      <c r="E689" s="151">
        <f>SUM(E690:E694)</f>
        <v>0</v>
      </c>
      <c r="F689" s="151">
        <f>SUM(F690:F694)</f>
        <v>0</v>
      </c>
      <c r="G689" s="151">
        <f t="shared" si="113"/>
        <v>0</v>
      </c>
      <c r="H689" s="151">
        <f>SUM(H690:H694)</f>
        <v>0</v>
      </c>
      <c r="I689" s="151">
        <f t="shared" si="114"/>
        <v>0</v>
      </c>
    </row>
    <row r="690" spans="2:9" ht="12.75">
      <c r="B690" s="147" t="s">
        <v>502</v>
      </c>
      <c r="C690" s="133" t="s">
        <v>501</v>
      </c>
      <c r="D690" s="151"/>
      <c r="E690" s="151"/>
      <c r="F690" s="151"/>
      <c r="G690" s="151">
        <f t="shared" si="113"/>
        <v>0</v>
      </c>
      <c r="H690" s="151"/>
      <c r="I690" s="151">
        <f t="shared" si="114"/>
        <v>0</v>
      </c>
    </row>
    <row r="691" spans="2:9" ht="12.75">
      <c r="B691" s="146" t="s">
        <v>503</v>
      </c>
      <c r="C691" s="132" t="s">
        <v>504</v>
      </c>
      <c r="D691" s="150"/>
      <c r="E691" s="150"/>
      <c r="F691" s="150"/>
      <c r="G691" s="150">
        <f aca="true" t="shared" si="115" ref="G691:G751">SUM(D691:F691)</f>
        <v>0</v>
      </c>
      <c r="H691" s="150"/>
      <c r="I691" s="150">
        <f aca="true" t="shared" si="116" ref="I691:I751">SUM(G691:H691)</f>
        <v>0</v>
      </c>
    </row>
    <row r="692" spans="2:9" ht="12.75">
      <c r="B692" s="147" t="s">
        <v>506</v>
      </c>
      <c r="C692" s="133" t="s">
        <v>507</v>
      </c>
      <c r="D692" s="151"/>
      <c r="E692" s="151"/>
      <c r="F692" s="151"/>
      <c r="G692" s="151">
        <f t="shared" si="115"/>
        <v>0</v>
      </c>
      <c r="H692" s="151"/>
      <c r="I692" s="151">
        <f t="shared" si="116"/>
        <v>0</v>
      </c>
    </row>
    <row r="693" spans="2:9" ht="12.75">
      <c r="B693" s="147" t="s">
        <v>508</v>
      </c>
      <c r="C693" s="133" t="s">
        <v>509</v>
      </c>
      <c r="D693" s="151"/>
      <c r="E693" s="151"/>
      <c r="F693" s="151"/>
      <c r="G693" s="151">
        <f t="shared" si="115"/>
        <v>0</v>
      </c>
      <c r="H693" s="151"/>
      <c r="I693" s="151">
        <f t="shared" si="116"/>
        <v>0</v>
      </c>
    </row>
    <row r="694" spans="2:9" ht="12.75">
      <c r="B694" s="147" t="s">
        <v>510</v>
      </c>
      <c r="C694" s="133" t="s">
        <v>511</v>
      </c>
      <c r="D694" s="151"/>
      <c r="E694" s="151"/>
      <c r="F694" s="151"/>
      <c r="G694" s="151">
        <f t="shared" si="115"/>
        <v>0</v>
      </c>
      <c r="H694" s="151"/>
      <c r="I694" s="151">
        <f t="shared" si="116"/>
        <v>0</v>
      </c>
    </row>
    <row r="695" spans="2:9" ht="12.75">
      <c r="B695" s="146" t="s">
        <v>512</v>
      </c>
      <c r="C695" s="132" t="s">
        <v>513</v>
      </c>
      <c r="D695" s="150">
        <f>SUM(D696:D697)</f>
        <v>0</v>
      </c>
      <c r="E695" s="150">
        <f>SUM(E696:E697)</f>
        <v>0</v>
      </c>
      <c r="F695" s="150">
        <f>SUM(F696:F697)</f>
        <v>0</v>
      </c>
      <c r="G695" s="150">
        <f t="shared" si="115"/>
        <v>0</v>
      </c>
      <c r="H695" s="150">
        <f>SUM(H696:H697)</f>
        <v>0</v>
      </c>
      <c r="I695" s="150">
        <f t="shared" si="116"/>
        <v>0</v>
      </c>
    </row>
    <row r="696" spans="2:9" ht="12.75">
      <c r="B696" s="147" t="s">
        <v>514</v>
      </c>
      <c r="C696" s="133" t="s">
        <v>515</v>
      </c>
      <c r="D696" s="151"/>
      <c r="E696" s="151"/>
      <c r="F696" s="151"/>
      <c r="G696" s="151">
        <f t="shared" si="115"/>
        <v>0</v>
      </c>
      <c r="H696" s="151"/>
      <c r="I696" s="151">
        <f t="shared" si="116"/>
        <v>0</v>
      </c>
    </row>
    <row r="697" spans="2:9" ht="12.75">
      <c r="B697" s="147" t="s">
        <v>516</v>
      </c>
      <c r="C697" s="133" t="s">
        <v>517</v>
      </c>
      <c r="D697" s="151"/>
      <c r="E697" s="151"/>
      <c r="F697" s="151"/>
      <c r="G697" s="151">
        <f t="shared" si="115"/>
        <v>0</v>
      </c>
      <c r="H697" s="151"/>
      <c r="I697" s="151">
        <f t="shared" si="116"/>
        <v>0</v>
      </c>
    </row>
    <row r="698" spans="2:9" ht="12.75">
      <c r="B698" s="146" t="s">
        <v>209</v>
      </c>
      <c r="C698" s="132" t="s">
        <v>518</v>
      </c>
      <c r="D698" s="150">
        <f>SUM(D699)</f>
        <v>0</v>
      </c>
      <c r="E698" s="150">
        <f>SUM(E699)</f>
        <v>0</v>
      </c>
      <c r="F698" s="150">
        <f>SUM(F699)</f>
        <v>0</v>
      </c>
      <c r="G698" s="150">
        <f t="shared" si="115"/>
        <v>0</v>
      </c>
      <c r="H698" s="150">
        <f>SUM(H699)</f>
        <v>0</v>
      </c>
      <c r="I698" s="150">
        <f t="shared" si="116"/>
        <v>0</v>
      </c>
    </row>
    <row r="699" spans="2:9" ht="12.75">
      <c r="B699" s="147" t="s">
        <v>519</v>
      </c>
      <c r="C699" s="133" t="s">
        <v>520</v>
      </c>
      <c r="D699" s="151"/>
      <c r="E699" s="151"/>
      <c r="F699" s="151"/>
      <c r="G699" s="151">
        <f t="shared" si="115"/>
        <v>0</v>
      </c>
      <c r="H699" s="151"/>
      <c r="I699" s="151">
        <f t="shared" si="116"/>
        <v>0</v>
      </c>
    </row>
    <row r="700" spans="2:9" ht="12.75">
      <c r="B700" s="147" t="s">
        <v>521</v>
      </c>
      <c r="C700" s="133" t="s">
        <v>522</v>
      </c>
      <c r="D700" s="151"/>
      <c r="E700" s="151"/>
      <c r="F700" s="151"/>
      <c r="G700" s="151">
        <f t="shared" si="115"/>
        <v>0</v>
      </c>
      <c r="H700" s="151"/>
      <c r="I700" s="151">
        <f t="shared" si="116"/>
        <v>0</v>
      </c>
    </row>
    <row r="701" spans="2:9" ht="12.75">
      <c r="B701" s="146" t="s">
        <v>220</v>
      </c>
      <c r="C701" s="132" t="s">
        <v>523</v>
      </c>
      <c r="D701" s="150">
        <f>D702+D705+D709+D713+D716+D718</f>
        <v>0</v>
      </c>
      <c r="E701" s="150">
        <f>E702+E705+E709+E713+E716+E718</f>
        <v>172247.7</v>
      </c>
      <c r="F701" s="150">
        <f>F702+F705+F709+F713+F716+F718</f>
        <v>0</v>
      </c>
      <c r="G701" s="150">
        <f t="shared" si="115"/>
        <v>172247.7</v>
      </c>
      <c r="H701" s="150">
        <f>H702+H705+H709+H713+H716+H718</f>
        <v>0</v>
      </c>
      <c r="I701" s="150">
        <f t="shared" si="116"/>
        <v>172247.7</v>
      </c>
    </row>
    <row r="702" spans="2:9" ht="12.75">
      <c r="B702" s="146" t="s">
        <v>295</v>
      </c>
      <c r="C702" s="132" t="s">
        <v>524</v>
      </c>
      <c r="D702" s="150">
        <f>SUM(D703:D704)</f>
        <v>0</v>
      </c>
      <c r="E702" s="150">
        <f>SUM(E703:E704)</f>
        <v>0</v>
      </c>
      <c r="F702" s="150">
        <f>SUM(F703:F704)</f>
        <v>0</v>
      </c>
      <c r="G702" s="150">
        <f t="shared" si="115"/>
        <v>0</v>
      </c>
      <c r="H702" s="150">
        <f>SUM(H703:H704)</f>
        <v>0</v>
      </c>
      <c r="I702" s="150">
        <f t="shared" si="116"/>
        <v>0</v>
      </c>
    </row>
    <row r="703" spans="2:9" ht="12.75">
      <c r="B703" s="147" t="s">
        <v>525</v>
      </c>
      <c r="C703" s="133" t="s">
        <v>526</v>
      </c>
      <c r="D703" s="151"/>
      <c r="E703" s="151"/>
      <c r="F703" s="151"/>
      <c r="G703" s="151">
        <f t="shared" si="115"/>
        <v>0</v>
      </c>
      <c r="H703" s="151"/>
      <c r="I703" s="151">
        <f t="shared" si="116"/>
        <v>0</v>
      </c>
    </row>
    <row r="704" spans="2:9" ht="12.75">
      <c r="B704" s="147" t="s">
        <v>527</v>
      </c>
      <c r="C704" s="133" t="s">
        <v>528</v>
      </c>
      <c r="D704" s="151"/>
      <c r="E704" s="151"/>
      <c r="F704" s="151"/>
      <c r="G704" s="151">
        <f t="shared" si="115"/>
        <v>0</v>
      </c>
      <c r="H704" s="151"/>
      <c r="I704" s="151">
        <f t="shared" si="116"/>
        <v>0</v>
      </c>
    </row>
    <row r="705" spans="2:9" ht="12.75">
      <c r="B705" s="146" t="s">
        <v>529</v>
      </c>
      <c r="C705" s="132" t="s">
        <v>530</v>
      </c>
      <c r="D705" s="150">
        <f>SUM(D706:D708)</f>
        <v>0</v>
      </c>
      <c r="E705" s="150">
        <f>SUM(E706:E708)</f>
        <v>172247.7</v>
      </c>
      <c r="F705" s="150">
        <f>SUM(F706:F708)</f>
        <v>0</v>
      </c>
      <c r="G705" s="150">
        <f t="shared" si="115"/>
        <v>172247.7</v>
      </c>
      <c r="H705" s="150">
        <f>SUM(H706:H708)</f>
        <v>0</v>
      </c>
      <c r="I705" s="150">
        <f t="shared" si="116"/>
        <v>172247.7</v>
      </c>
    </row>
    <row r="706" spans="2:9" ht="12.75">
      <c r="B706" s="147" t="s">
        <v>531</v>
      </c>
      <c r="C706" s="133" t="s">
        <v>532</v>
      </c>
      <c r="D706" s="151"/>
      <c r="E706" s="151"/>
      <c r="F706" s="151"/>
      <c r="G706" s="151">
        <f t="shared" si="115"/>
        <v>0</v>
      </c>
      <c r="H706" s="151"/>
      <c r="I706" s="151">
        <f t="shared" si="116"/>
        <v>0</v>
      </c>
    </row>
    <row r="707" spans="2:9" ht="12.75">
      <c r="B707" s="147" t="s">
        <v>533</v>
      </c>
      <c r="C707" s="133" t="s">
        <v>534</v>
      </c>
      <c r="D707" s="151"/>
      <c r="E707" s="151"/>
      <c r="F707" s="151"/>
      <c r="G707" s="151">
        <f t="shared" si="115"/>
        <v>0</v>
      </c>
      <c r="H707" s="151"/>
      <c r="I707" s="151">
        <f t="shared" si="116"/>
        <v>0</v>
      </c>
    </row>
    <row r="708" spans="2:9" ht="12.75">
      <c r="B708" s="147" t="s">
        <v>535</v>
      </c>
      <c r="C708" s="133" t="s">
        <v>536</v>
      </c>
      <c r="D708" s="151"/>
      <c r="E708" s="151">
        <f>177956.7-5709</f>
        <v>172247.7</v>
      </c>
      <c r="F708" s="151"/>
      <c r="G708" s="151">
        <f t="shared" si="115"/>
        <v>172247.7</v>
      </c>
      <c r="H708" s="151"/>
      <c r="I708" s="151">
        <f t="shared" si="116"/>
        <v>172247.7</v>
      </c>
    </row>
    <row r="709" spans="2:9" ht="12.75">
      <c r="B709" s="146" t="s">
        <v>235</v>
      </c>
      <c r="C709" s="132" t="s">
        <v>537</v>
      </c>
      <c r="D709" s="150">
        <f>SUM(D710:D712)</f>
        <v>0</v>
      </c>
      <c r="E709" s="150">
        <f>SUM(E710:E712)</f>
        <v>0</v>
      </c>
      <c r="F709" s="150">
        <f>SUM(F710:F712)</f>
        <v>0</v>
      </c>
      <c r="G709" s="150">
        <f t="shared" si="115"/>
        <v>0</v>
      </c>
      <c r="H709" s="150">
        <f>SUM(H710:H712)</f>
        <v>0</v>
      </c>
      <c r="I709" s="150">
        <f t="shared" si="116"/>
        <v>0</v>
      </c>
    </row>
    <row r="710" spans="2:9" ht="12.75">
      <c r="B710" s="147" t="s">
        <v>538</v>
      </c>
      <c r="C710" s="133" t="s">
        <v>539</v>
      </c>
      <c r="D710" s="151"/>
      <c r="E710" s="151"/>
      <c r="F710" s="151"/>
      <c r="G710" s="151">
        <f t="shared" si="115"/>
        <v>0</v>
      </c>
      <c r="H710" s="151"/>
      <c r="I710" s="151">
        <f t="shared" si="116"/>
        <v>0</v>
      </c>
    </row>
    <row r="711" spans="2:9" ht="12.75">
      <c r="B711" s="147" t="s">
        <v>540</v>
      </c>
      <c r="C711" s="133" t="s">
        <v>541</v>
      </c>
      <c r="D711" s="151"/>
      <c r="E711" s="151"/>
      <c r="F711" s="151"/>
      <c r="G711" s="151">
        <f t="shared" si="115"/>
        <v>0</v>
      </c>
      <c r="H711" s="151"/>
      <c r="I711" s="151">
        <f t="shared" si="116"/>
        <v>0</v>
      </c>
    </row>
    <row r="712" spans="2:9" ht="12.75">
      <c r="B712" s="147" t="s">
        <v>542</v>
      </c>
      <c r="C712" s="133" t="s">
        <v>543</v>
      </c>
      <c r="D712" s="151"/>
      <c r="E712" s="151"/>
      <c r="F712" s="151"/>
      <c r="G712" s="151">
        <f t="shared" si="115"/>
        <v>0</v>
      </c>
      <c r="H712" s="151"/>
      <c r="I712" s="151">
        <f t="shared" si="116"/>
        <v>0</v>
      </c>
    </row>
    <row r="713" spans="2:9" ht="12.75">
      <c r="B713" s="146" t="s">
        <v>267</v>
      </c>
      <c r="C713" s="132" t="s">
        <v>544</v>
      </c>
      <c r="D713" s="150">
        <f>SUM(D714:D715)</f>
        <v>0</v>
      </c>
      <c r="E713" s="150">
        <f>SUM(E714:E715)</f>
        <v>0</v>
      </c>
      <c r="F713" s="150">
        <f>SUM(F714:F715)</f>
        <v>0</v>
      </c>
      <c r="G713" s="150">
        <f t="shared" si="115"/>
        <v>0</v>
      </c>
      <c r="H713" s="150">
        <f>SUM(H714:H715)</f>
        <v>0</v>
      </c>
      <c r="I713" s="150">
        <f t="shared" si="116"/>
        <v>0</v>
      </c>
    </row>
    <row r="714" spans="2:9" ht="12.75">
      <c r="B714" s="147" t="s">
        <v>545</v>
      </c>
      <c r="C714" s="133" t="s">
        <v>546</v>
      </c>
      <c r="D714" s="151"/>
      <c r="E714" s="151"/>
      <c r="F714" s="151"/>
      <c r="G714" s="151">
        <f t="shared" si="115"/>
        <v>0</v>
      </c>
      <c r="H714" s="151"/>
      <c r="I714" s="151">
        <f t="shared" si="116"/>
        <v>0</v>
      </c>
    </row>
    <row r="715" spans="2:9" ht="12.75">
      <c r="B715" s="147" t="s">
        <v>547</v>
      </c>
      <c r="C715" s="133" t="s">
        <v>548</v>
      </c>
      <c r="D715" s="151"/>
      <c r="E715" s="151"/>
      <c r="F715" s="151"/>
      <c r="G715" s="151">
        <f t="shared" si="115"/>
        <v>0</v>
      </c>
      <c r="H715" s="151"/>
      <c r="I715" s="151">
        <f t="shared" si="116"/>
        <v>0</v>
      </c>
    </row>
    <row r="716" spans="2:9" ht="12.75">
      <c r="B716" s="146" t="s">
        <v>287</v>
      </c>
      <c r="C716" s="132" t="s">
        <v>549</v>
      </c>
      <c r="D716" s="150">
        <f>SUM(D717)</f>
        <v>0</v>
      </c>
      <c r="E716" s="150">
        <f>SUM(E717)</f>
        <v>0</v>
      </c>
      <c r="F716" s="150">
        <f>SUM(F717)</f>
        <v>0</v>
      </c>
      <c r="G716" s="150">
        <f t="shared" si="115"/>
        <v>0</v>
      </c>
      <c r="H716" s="150">
        <f>SUM(H717)</f>
        <v>0</v>
      </c>
      <c r="I716" s="150">
        <f t="shared" si="116"/>
        <v>0</v>
      </c>
    </row>
    <row r="717" spans="2:9" ht="12.75">
      <c r="B717" s="147" t="s">
        <v>550</v>
      </c>
      <c r="C717" s="133" t="s">
        <v>938</v>
      </c>
      <c r="D717" s="151"/>
      <c r="E717" s="151"/>
      <c r="F717" s="151"/>
      <c r="G717" s="151">
        <f t="shared" si="115"/>
        <v>0</v>
      </c>
      <c r="H717" s="151"/>
      <c r="I717" s="151">
        <f t="shared" si="116"/>
        <v>0</v>
      </c>
    </row>
    <row r="718" spans="2:9" ht="12.75">
      <c r="B718" s="146" t="s">
        <v>223</v>
      </c>
      <c r="C718" s="132" t="s">
        <v>551</v>
      </c>
      <c r="D718" s="150">
        <f>SUM(D719:D720)</f>
        <v>0</v>
      </c>
      <c r="E718" s="150">
        <f>SUM(E719:E720)</f>
        <v>0</v>
      </c>
      <c r="F718" s="150">
        <f>SUM(F719:F720)</f>
        <v>0</v>
      </c>
      <c r="G718" s="150">
        <f t="shared" si="115"/>
        <v>0</v>
      </c>
      <c r="H718" s="150">
        <f>SUM(H719:H720)</f>
        <v>0</v>
      </c>
      <c r="I718" s="150">
        <f t="shared" si="116"/>
        <v>0</v>
      </c>
    </row>
    <row r="719" spans="2:9" ht="12.75">
      <c r="B719" s="147" t="s">
        <v>552</v>
      </c>
      <c r="C719" s="133" t="s">
        <v>553</v>
      </c>
      <c r="D719" s="151"/>
      <c r="E719" s="151"/>
      <c r="F719" s="151"/>
      <c r="G719" s="151">
        <f t="shared" si="115"/>
        <v>0</v>
      </c>
      <c r="H719" s="151"/>
      <c r="I719" s="151">
        <f t="shared" si="116"/>
        <v>0</v>
      </c>
    </row>
    <row r="720" spans="2:9" ht="12.75">
      <c r="B720" s="147" t="s">
        <v>554</v>
      </c>
      <c r="C720" s="133" t="s">
        <v>555</v>
      </c>
      <c r="D720" s="151"/>
      <c r="E720" s="151"/>
      <c r="F720" s="151"/>
      <c r="G720" s="151">
        <f t="shared" si="115"/>
        <v>0</v>
      </c>
      <c r="H720" s="151"/>
      <c r="I720" s="151">
        <f t="shared" si="116"/>
        <v>0</v>
      </c>
    </row>
    <row r="721" spans="2:9" ht="12.75">
      <c r="B721" s="146" t="s">
        <v>368</v>
      </c>
      <c r="C721" s="132" t="s">
        <v>556</v>
      </c>
      <c r="D721" s="150">
        <f>D722+D726+D729+D734+D736</f>
        <v>0</v>
      </c>
      <c r="E721" s="150">
        <f>E722+E726+E729+E734+E736</f>
        <v>0</v>
      </c>
      <c r="F721" s="150">
        <f>F722+F726+F729+F734+F736</f>
        <v>304695.65</v>
      </c>
      <c r="G721" s="150">
        <f t="shared" si="115"/>
        <v>304695.65</v>
      </c>
      <c r="H721" s="150">
        <f>H722+H726+H729+H734+H736</f>
        <v>3917736</v>
      </c>
      <c r="I721" s="150">
        <f t="shared" si="116"/>
        <v>4222431.65</v>
      </c>
    </row>
    <row r="722" spans="2:9" ht="12.75">
      <c r="B722" s="146" t="s">
        <v>249</v>
      </c>
      <c r="C722" s="132" t="s">
        <v>557</v>
      </c>
      <c r="D722" s="150">
        <f>SUM(D723:D725)</f>
        <v>0</v>
      </c>
      <c r="E722" s="150">
        <f>SUM(E723:E725)</f>
        <v>0</v>
      </c>
      <c r="F722" s="150">
        <f>SUM(F723:F725)</f>
        <v>304695.65</v>
      </c>
      <c r="G722" s="150">
        <f t="shared" si="115"/>
        <v>304695.65</v>
      </c>
      <c r="H722" s="150">
        <f>SUM(H723:H725)</f>
        <v>3917736</v>
      </c>
      <c r="I722" s="150">
        <f t="shared" si="116"/>
        <v>4222431.65</v>
      </c>
    </row>
    <row r="723" spans="2:9" ht="12.75">
      <c r="B723" s="147" t="s">
        <v>558</v>
      </c>
      <c r="C723" s="133" t="s">
        <v>559</v>
      </c>
      <c r="D723" s="151"/>
      <c r="E723" s="151"/>
      <c r="F723" s="151"/>
      <c r="G723" s="151">
        <f t="shared" si="115"/>
        <v>0</v>
      </c>
      <c r="H723" s="151">
        <f>3917736</f>
        <v>3917736</v>
      </c>
      <c r="I723" s="151">
        <f t="shared" si="116"/>
        <v>3917736</v>
      </c>
    </row>
    <row r="724" spans="2:9" ht="12.75">
      <c r="B724" s="147" t="s">
        <v>560</v>
      </c>
      <c r="C724" s="133" t="s">
        <v>561</v>
      </c>
      <c r="D724" s="151"/>
      <c r="E724" s="151"/>
      <c r="F724" s="151">
        <f>304695.65</f>
        <v>304695.65</v>
      </c>
      <c r="G724" s="151">
        <f t="shared" si="115"/>
        <v>304695.65</v>
      </c>
      <c r="H724" s="151"/>
      <c r="I724" s="151">
        <f t="shared" si="116"/>
        <v>304695.65</v>
      </c>
    </row>
    <row r="725" spans="2:9" ht="12.75">
      <c r="B725" s="147" t="s">
        <v>562</v>
      </c>
      <c r="C725" s="133" t="s">
        <v>563</v>
      </c>
      <c r="D725" s="151"/>
      <c r="E725" s="151"/>
      <c r="F725" s="151"/>
      <c r="G725" s="151">
        <f t="shared" si="115"/>
        <v>0</v>
      </c>
      <c r="H725" s="151"/>
      <c r="I725" s="151">
        <f t="shared" si="116"/>
        <v>0</v>
      </c>
    </row>
    <row r="726" spans="2:9" ht="12.75">
      <c r="B726" s="146" t="s">
        <v>250</v>
      </c>
      <c r="C726" s="132" t="s">
        <v>564</v>
      </c>
      <c r="D726" s="150">
        <f>SUM(D727:D728)</f>
        <v>0</v>
      </c>
      <c r="E726" s="150">
        <f>SUM(E727:E728)</f>
        <v>0</v>
      </c>
      <c r="F726" s="150">
        <f>SUM(F727:F728)</f>
        <v>0</v>
      </c>
      <c r="G726" s="150">
        <f t="shared" si="115"/>
        <v>0</v>
      </c>
      <c r="H726" s="150">
        <f>SUM(H727:H728)</f>
        <v>0</v>
      </c>
      <c r="I726" s="150">
        <f t="shared" si="116"/>
        <v>0</v>
      </c>
    </row>
    <row r="727" spans="2:9" ht="12.75">
      <c r="B727" s="147" t="s">
        <v>565</v>
      </c>
      <c r="C727" s="133" t="s">
        <v>564</v>
      </c>
      <c r="D727" s="151"/>
      <c r="E727" s="151"/>
      <c r="F727" s="151"/>
      <c r="G727" s="151">
        <f t="shared" si="115"/>
        <v>0</v>
      </c>
      <c r="H727" s="151"/>
      <c r="I727" s="151">
        <f t="shared" si="116"/>
        <v>0</v>
      </c>
    </row>
    <row r="728" spans="2:9" ht="12.75">
      <c r="B728" s="147" t="s">
        <v>566</v>
      </c>
      <c r="C728" s="133" t="s">
        <v>567</v>
      </c>
      <c r="D728" s="151"/>
      <c r="E728" s="151"/>
      <c r="F728" s="151"/>
      <c r="G728" s="151">
        <f t="shared" si="115"/>
        <v>0</v>
      </c>
      <c r="H728" s="151"/>
      <c r="I728" s="151">
        <f t="shared" si="116"/>
        <v>0</v>
      </c>
    </row>
    <row r="729" spans="2:9" ht="12.75">
      <c r="B729" s="146" t="s">
        <v>251</v>
      </c>
      <c r="C729" s="132" t="s">
        <v>568</v>
      </c>
      <c r="D729" s="150">
        <f>SUM(D730:D733)</f>
        <v>0</v>
      </c>
      <c r="E729" s="150">
        <f>SUM(E730:E733)</f>
        <v>0</v>
      </c>
      <c r="F729" s="150">
        <f>SUM(F730:F733)</f>
        <v>0</v>
      </c>
      <c r="G729" s="150">
        <f t="shared" si="115"/>
        <v>0</v>
      </c>
      <c r="H729" s="150">
        <f>SUM(H730:H733)</f>
        <v>0</v>
      </c>
      <c r="I729" s="150">
        <f t="shared" si="116"/>
        <v>0</v>
      </c>
    </row>
    <row r="730" spans="2:9" ht="12.75">
      <c r="B730" s="147" t="s">
        <v>569</v>
      </c>
      <c r="C730" s="133" t="s">
        <v>570</v>
      </c>
      <c r="D730" s="151"/>
      <c r="E730" s="151"/>
      <c r="F730" s="151"/>
      <c r="G730" s="151">
        <f t="shared" si="115"/>
        <v>0</v>
      </c>
      <c r="H730" s="151"/>
      <c r="I730" s="151">
        <f t="shared" si="116"/>
        <v>0</v>
      </c>
    </row>
    <row r="731" spans="2:9" ht="12.75">
      <c r="B731" s="147" t="s">
        <v>571</v>
      </c>
      <c r="C731" s="133" t="s">
        <v>572</v>
      </c>
      <c r="D731" s="151"/>
      <c r="E731" s="151"/>
      <c r="F731" s="151"/>
      <c r="G731" s="151">
        <f t="shared" si="115"/>
        <v>0</v>
      </c>
      <c r="H731" s="151"/>
      <c r="I731" s="151">
        <f t="shared" si="116"/>
        <v>0</v>
      </c>
    </row>
    <row r="732" spans="2:9" ht="12.75">
      <c r="B732" s="147" t="s">
        <v>573</v>
      </c>
      <c r="C732" s="133" t="s">
        <v>574</v>
      </c>
      <c r="D732" s="151"/>
      <c r="E732" s="151"/>
      <c r="F732" s="151"/>
      <c r="G732" s="151">
        <f t="shared" si="115"/>
        <v>0</v>
      </c>
      <c r="H732" s="151"/>
      <c r="I732" s="151">
        <f t="shared" si="116"/>
        <v>0</v>
      </c>
    </row>
    <row r="733" spans="2:9" ht="12.75">
      <c r="B733" s="147" t="s">
        <v>575</v>
      </c>
      <c r="C733" s="133" t="s">
        <v>576</v>
      </c>
      <c r="D733" s="151"/>
      <c r="E733" s="151"/>
      <c r="F733" s="151"/>
      <c r="G733" s="151">
        <f t="shared" si="115"/>
        <v>0</v>
      </c>
      <c r="H733" s="151"/>
      <c r="I733" s="151">
        <f t="shared" si="116"/>
        <v>0</v>
      </c>
    </row>
    <row r="734" spans="2:9" ht="12.75">
      <c r="B734" s="146" t="s">
        <v>304</v>
      </c>
      <c r="C734" s="132" t="s">
        <v>577</v>
      </c>
      <c r="D734" s="150">
        <f>SUM(D735)</f>
        <v>0</v>
      </c>
      <c r="E734" s="150">
        <f>SUM(E735)</f>
        <v>0</v>
      </c>
      <c r="F734" s="150">
        <f>SUM(F735)</f>
        <v>0</v>
      </c>
      <c r="G734" s="150">
        <f t="shared" si="115"/>
        <v>0</v>
      </c>
      <c r="H734" s="150">
        <f>SUM(H735)</f>
        <v>0</v>
      </c>
      <c r="I734" s="150">
        <f t="shared" si="116"/>
        <v>0</v>
      </c>
    </row>
    <row r="735" spans="2:9" ht="12.75">
      <c r="B735" s="147" t="s">
        <v>579</v>
      </c>
      <c r="C735" s="133" t="s">
        <v>577</v>
      </c>
      <c r="D735" s="151"/>
      <c r="E735" s="151"/>
      <c r="F735" s="151"/>
      <c r="G735" s="151">
        <f t="shared" si="115"/>
        <v>0</v>
      </c>
      <c r="H735" s="151"/>
      <c r="I735" s="151">
        <f t="shared" si="116"/>
        <v>0</v>
      </c>
    </row>
    <row r="736" spans="2:9" ht="12.75">
      <c r="B736" s="146" t="s">
        <v>366</v>
      </c>
      <c r="C736" s="132" t="s">
        <v>578</v>
      </c>
      <c r="D736" s="150">
        <f>SUM(D737)</f>
        <v>0</v>
      </c>
      <c r="E736" s="150">
        <f>SUM(E737)</f>
        <v>0</v>
      </c>
      <c r="F736" s="150">
        <f>SUM(F737)</f>
        <v>0</v>
      </c>
      <c r="G736" s="150">
        <f t="shared" si="115"/>
        <v>0</v>
      </c>
      <c r="H736" s="150">
        <f>SUM(H737)</f>
        <v>0</v>
      </c>
      <c r="I736" s="150">
        <f t="shared" si="116"/>
        <v>0</v>
      </c>
    </row>
    <row r="737" spans="2:9" ht="12.75">
      <c r="B737" s="147" t="s">
        <v>580</v>
      </c>
      <c r="C737" s="133" t="s">
        <v>578</v>
      </c>
      <c r="D737" s="151"/>
      <c r="E737" s="151"/>
      <c r="F737" s="151"/>
      <c r="G737" s="151">
        <f t="shared" si="115"/>
        <v>0</v>
      </c>
      <c r="H737" s="151"/>
      <c r="I737" s="151">
        <f t="shared" si="116"/>
        <v>0</v>
      </c>
    </row>
    <row r="738" spans="2:9" ht="12.75">
      <c r="B738" s="146" t="s">
        <v>372</v>
      </c>
      <c r="C738" s="132" t="s">
        <v>581</v>
      </c>
      <c r="D738" s="150">
        <f>D739+D744+D749+D755+D763+D767+D769+D775+D777</f>
        <v>0</v>
      </c>
      <c r="E738" s="150">
        <f>E739+E744+E749+E755+E763+E767+E769+E775+E777</f>
        <v>0</v>
      </c>
      <c r="F738" s="150">
        <f>F739+F744+F749+F755+F763+F767+F769+F775+F777</f>
        <v>0</v>
      </c>
      <c r="G738" s="150">
        <f t="shared" si="115"/>
        <v>0</v>
      </c>
      <c r="H738" s="150">
        <f>H739+H744+H749+H755+H763+H767+H769+H775+H777</f>
        <v>1799910</v>
      </c>
      <c r="I738" s="150">
        <f t="shared" si="116"/>
        <v>1799910</v>
      </c>
    </row>
    <row r="739" spans="2:9" ht="12.75">
      <c r="B739" s="146" t="s">
        <v>278</v>
      </c>
      <c r="C739" s="132" t="s">
        <v>584</v>
      </c>
      <c r="D739" s="150">
        <f>SUM(D740:D743)</f>
        <v>0</v>
      </c>
      <c r="E739" s="150">
        <f>SUM(E740:E743)</f>
        <v>0</v>
      </c>
      <c r="F739" s="150">
        <f>SUM(F740:F743)</f>
        <v>0</v>
      </c>
      <c r="G739" s="150">
        <f t="shared" si="115"/>
        <v>0</v>
      </c>
      <c r="H739" s="150">
        <f>SUM(H740:H743)</f>
        <v>0</v>
      </c>
      <c r="I739" s="150">
        <f t="shared" si="116"/>
        <v>0</v>
      </c>
    </row>
    <row r="740" spans="2:9" ht="12.75">
      <c r="B740" s="147" t="s">
        <v>582</v>
      </c>
      <c r="C740" s="133" t="s">
        <v>583</v>
      </c>
      <c r="D740" s="151"/>
      <c r="E740" s="151"/>
      <c r="F740" s="151"/>
      <c r="G740" s="151">
        <f t="shared" si="115"/>
        <v>0</v>
      </c>
      <c r="H740" s="151"/>
      <c r="I740" s="151">
        <f t="shared" si="116"/>
        <v>0</v>
      </c>
    </row>
    <row r="741" spans="2:9" ht="12.75">
      <c r="B741" s="147" t="s">
        <v>585</v>
      </c>
      <c r="C741" s="133" t="s">
        <v>586</v>
      </c>
      <c r="D741" s="151"/>
      <c r="E741" s="151"/>
      <c r="F741" s="151"/>
      <c r="G741" s="151">
        <f t="shared" si="115"/>
        <v>0</v>
      </c>
      <c r="H741" s="151"/>
      <c r="I741" s="151">
        <f t="shared" si="116"/>
        <v>0</v>
      </c>
    </row>
    <row r="742" spans="2:9" ht="12.75">
      <c r="B742" s="147" t="s">
        <v>587</v>
      </c>
      <c r="C742" s="133" t="s">
        <v>588</v>
      </c>
      <c r="D742" s="151"/>
      <c r="E742" s="151"/>
      <c r="F742" s="151"/>
      <c r="G742" s="151">
        <f t="shared" si="115"/>
        <v>0</v>
      </c>
      <c r="H742" s="151"/>
      <c r="I742" s="151">
        <f t="shared" si="116"/>
        <v>0</v>
      </c>
    </row>
    <row r="743" spans="2:9" ht="12.75">
      <c r="B743" s="147" t="s">
        <v>589</v>
      </c>
      <c r="C743" s="133" t="s">
        <v>590</v>
      </c>
      <c r="D743" s="151"/>
      <c r="E743" s="151"/>
      <c r="F743" s="151"/>
      <c r="G743" s="151">
        <f t="shared" si="115"/>
        <v>0</v>
      </c>
      <c r="H743" s="151"/>
      <c r="I743" s="151">
        <f t="shared" si="116"/>
        <v>0</v>
      </c>
    </row>
    <row r="744" spans="2:9" ht="12.75">
      <c r="B744" s="146" t="s">
        <v>280</v>
      </c>
      <c r="C744" s="132" t="s">
        <v>591</v>
      </c>
      <c r="D744" s="150">
        <f>SUM(D745:D748)</f>
        <v>0</v>
      </c>
      <c r="E744" s="150">
        <f>SUM(E745:E748)</f>
        <v>0</v>
      </c>
      <c r="F744" s="150">
        <f>SUM(F745:F748)</f>
        <v>0</v>
      </c>
      <c r="G744" s="150">
        <f t="shared" si="115"/>
        <v>0</v>
      </c>
      <c r="H744" s="150">
        <f>SUM(H745:H748)</f>
        <v>1600732</v>
      </c>
      <c r="I744" s="150">
        <f t="shared" si="116"/>
        <v>1600732</v>
      </c>
    </row>
    <row r="745" spans="2:9" ht="12.75">
      <c r="B745" s="147" t="s">
        <v>592</v>
      </c>
      <c r="C745" s="133" t="s">
        <v>593</v>
      </c>
      <c r="D745" s="151"/>
      <c r="E745" s="151"/>
      <c r="F745" s="151"/>
      <c r="G745" s="151">
        <f t="shared" si="115"/>
        <v>0</v>
      </c>
      <c r="H745" s="151"/>
      <c r="I745" s="151">
        <f t="shared" si="116"/>
        <v>0</v>
      </c>
    </row>
    <row r="746" spans="2:9" ht="12.75">
      <c r="B746" s="147" t="s">
        <v>594</v>
      </c>
      <c r="C746" s="133" t="s">
        <v>595</v>
      </c>
      <c r="D746" s="151"/>
      <c r="E746" s="151"/>
      <c r="F746" s="151"/>
      <c r="G746" s="151">
        <f t="shared" si="115"/>
        <v>0</v>
      </c>
      <c r="H746" s="151"/>
      <c r="I746" s="151">
        <f t="shared" si="116"/>
        <v>0</v>
      </c>
    </row>
    <row r="747" spans="2:9" ht="12.75">
      <c r="B747" s="147" t="s">
        <v>596</v>
      </c>
      <c r="C747" s="133" t="s">
        <v>597</v>
      </c>
      <c r="D747" s="151"/>
      <c r="E747" s="151"/>
      <c r="F747" s="151"/>
      <c r="G747" s="151">
        <f t="shared" si="115"/>
        <v>0</v>
      </c>
      <c r="H747" s="151">
        <v>1600732</v>
      </c>
      <c r="I747" s="151">
        <f t="shared" si="116"/>
        <v>1600732</v>
      </c>
    </row>
    <row r="748" spans="2:9" ht="12.75">
      <c r="B748" s="147" t="s">
        <v>598</v>
      </c>
      <c r="C748" s="133" t="s">
        <v>599</v>
      </c>
      <c r="D748" s="151"/>
      <c r="E748" s="151"/>
      <c r="F748" s="151"/>
      <c r="G748" s="151">
        <f t="shared" si="115"/>
        <v>0</v>
      </c>
      <c r="H748" s="151"/>
      <c r="I748" s="151">
        <f t="shared" si="116"/>
        <v>0</v>
      </c>
    </row>
    <row r="749" spans="2:9" ht="12.75">
      <c r="B749" s="146" t="s">
        <v>600</v>
      </c>
      <c r="C749" s="132" t="s">
        <v>601</v>
      </c>
      <c r="D749" s="150">
        <f>SUM(D750:D754)</f>
        <v>0</v>
      </c>
      <c r="E749" s="150">
        <f>SUM(E750:E754)</f>
        <v>0</v>
      </c>
      <c r="F749" s="150">
        <f>SUM(F750:F754)</f>
        <v>0</v>
      </c>
      <c r="G749" s="150">
        <f t="shared" si="115"/>
        <v>0</v>
      </c>
      <c r="H749" s="150">
        <f>SUM(H750:H754)</f>
        <v>0</v>
      </c>
      <c r="I749" s="150">
        <f t="shared" si="116"/>
        <v>0</v>
      </c>
    </row>
    <row r="750" spans="2:9" ht="12.75">
      <c r="B750" s="147" t="s">
        <v>602</v>
      </c>
      <c r="C750" s="133" t="s">
        <v>603</v>
      </c>
      <c r="D750" s="151"/>
      <c r="E750" s="151"/>
      <c r="F750" s="151"/>
      <c r="G750" s="151">
        <f t="shared" si="115"/>
        <v>0</v>
      </c>
      <c r="H750" s="151"/>
      <c r="I750" s="151">
        <f t="shared" si="116"/>
        <v>0</v>
      </c>
    </row>
    <row r="751" spans="2:9" ht="12.75">
      <c r="B751" s="147" t="s">
        <v>604</v>
      </c>
      <c r="C751" s="133" t="s">
        <v>605</v>
      </c>
      <c r="D751" s="151"/>
      <c r="E751" s="151"/>
      <c r="F751" s="151"/>
      <c r="G751" s="151">
        <f t="shared" si="115"/>
        <v>0</v>
      </c>
      <c r="H751" s="151"/>
      <c r="I751" s="151">
        <f t="shared" si="116"/>
        <v>0</v>
      </c>
    </row>
    <row r="752" spans="2:9" ht="12.75">
      <c r="B752" s="147" t="s">
        <v>606</v>
      </c>
      <c r="C752" s="133" t="s">
        <v>607</v>
      </c>
      <c r="D752" s="151"/>
      <c r="E752" s="151"/>
      <c r="F752" s="151"/>
      <c r="G752" s="151">
        <f aca="true" t="shared" si="117" ref="G752:G813">SUM(D752:F752)</f>
        <v>0</v>
      </c>
      <c r="H752" s="151"/>
      <c r="I752" s="151">
        <f aca="true" t="shared" si="118" ref="I752:I813">SUM(G752:H752)</f>
        <v>0</v>
      </c>
    </row>
    <row r="753" spans="2:9" ht="12.75">
      <c r="B753" s="147" t="s">
        <v>608</v>
      </c>
      <c r="C753" s="133" t="s">
        <v>609</v>
      </c>
      <c r="D753" s="151"/>
      <c r="E753" s="151"/>
      <c r="F753" s="151"/>
      <c r="G753" s="151">
        <f t="shared" si="117"/>
        <v>0</v>
      </c>
      <c r="H753" s="151"/>
      <c r="I753" s="151">
        <f t="shared" si="118"/>
        <v>0</v>
      </c>
    </row>
    <row r="754" spans="2:9" ht="12.75">
      <c r="B754" s="147" t="s">
        <v>610</v>
      </c>
      <c r="C754" s="133" t="s">
        <v>876</v>
      </c>
      <c r="D754" s="151"/>
      <c r="E754" s="151"/>
      <c r="F754" s="151"/>
      <c r="G754" s="151">
        <f t="shared" si="117"/>
        <v>0</v>
      </c>
      <c r="H754" s="151"/>
      <c r="I754" s="151">
        <f t="shared" si="118"/>
        <v>0</v>
      </c>
    </row>
    <row r="755" spans="2:9" ht="12.75">
      <c r="B755" s="146" t="s">
        <v>281</v>
      </c>
      <c r="C755" s="132" t="s">
        <v>611</v>
      </c>
      <c r="D755" s="150">
        <f>SUM(D756:D762)</f>
        <v>0</v>
      </c>
      <c r="E755" s="150">
        <f>SUM(E756:E762)</f>
        <v>0</v>
      </c>
      <c r="F755" s="150">
        <f>SUM(F756:F762)</f>
        <v>0</v>
      </c>
      <c r="G755" s="150">
        <f t="shared" si="117"/>
        <v>0</v>
      </c>
      <c r="H755" s="150">
        <f>SUM(H756:H762)</f>
        <v>0</v>
      </c>
      <c r="I755" s="150">
        <f t="shared" si="118"/>
        <v>0</v>
      </c>
    </row>
    <row r="756" spans="2:9" ht="12.75">
      <c r="B756" s="147" t="s">
        <v>612</v>
      </c>
      <c r="C756" s="133" t="s">
        <v>613</v>
      </c>
      <c r="D756" s="151"/>
      <c r="E756" s="151"/>
      <c r="F756" s="151"/>
      <c r="G756" s="151">
        <f t="shared" si="117"/>
        <v>0</v>
      </c>
      <c r="H756" s="151"/>
      <c r="I756" s="151">
        <f t="shared" si="118"/>
        <v>0</v>
      </c>
    </row>
    <row r="757" spans="2:9" ht="12.75">
      <c r="B757" s="147" t="s">
        <v>614</v>
      </c>
      <c r="C757" s="133" t="s">
        <v>615</v>
      </c>
      <c r="D757" s="151"/>
      <c r="E757" s="151"/>
      <c r="F757" s="151"/>
      <c r="G757" s="151">
        <f t="shared" si="117"/>
        <v>0</v>
      </c>
      <c r="H757" s="151"/>
      <c r="I757" s="151">
        <f t="shared" si="118"/>
        <v>0</v>
      </c>
    </row>
    <row r="758" spans="2:9" ht="12.75">
      <c r="B758" s="147" t="s">
        <v>616</v>
      </c>
      <c r="C758" s="133" t="s">
        <v>617</v>
      </c>
      <c r="D758" s="151"/>
      <c r="E758" s="151"/>
      <c r="F758" s="151"/>
      <c r="G758" s="151">
        <f t="shared" si="117"/>
        <v>0</v>
      </c>
      <c r="H758" s="151"/>
      <c r="I758" s="151">
        <f t="shared" si="118"/>
        <v>0</v>
      </c>
    </row>
    <row r="759" spans="2:9" ht="12.75">
      <c r="B759" s="147" t="s">
        <v>618</v>
      </c>
      <c r="C759" s="133" t="s">
        <v>619</v>
      </c>
      <c r="D759" s="151"/>
      <c r="E759" s="151"/>
      <c r="F759" s="151"/>
      <c r="G759" s="151">
        <f t="shared" si="117"/>
        <v>0</v>
      </c>
      <c r="H759" s="151"/>
      <c r="I759" s="151">
        <f t="shared" si="118"/>
        <v>0</v>
      </c>
    </row>
    <row r="760" spans="2:9" ht="12.75">
      <c r="B760" s="147" t="s">
        <v>620</v>
      </c>
      <c r="C760" s="133" t="s">
        <v>621</v>
      </c>
      <c r="D760" s="151"/>
      <c r="E760" s="151"/>
      <c r="F760" s="151"/>
      <c r="G760" s="151">
        <f t="shared" si="117"/>
        <v>0</v>
      </c>
      <c r="H760" s="151"/>
      <c r="I760" s="151">
        <f t="shared" si="118"/>
        <v>0</v>
      </c>
    </row>
    <row r="761" spans="2:9" ht="12.75">
      <c r="B761" s="147" t="s">
        <v>622</v>
      </c>
      <c r="C761" s="133" t="s">
        <v>623</v>
      </c>
      <c r="D761" s="151"/>
      <c r="E761" s="151"/>
      <c r="F761" s="151"/>
      <c r="G761" s="151">
        <f t="shared" si="117"/>
        <v>0</v>
      </c>
      <c r="H761" s="151"/>
      <c r="I761" s="151">
        <f t="shared" si="118"/>
        <v>0</v>
      </c>
    </row>
    <row r="762" spans="2:9" ht="12.75">
      <c r="B762" s="147" t="s">
        <v>624</v>
      </c>
      <c r="C762" s="133" t="s">
        <v>625</v>
      </c>
      <c r="D762" s="151"/>
      <c r="E762" s="151"/>
      <c r="F762" s="151"/>
      <c r="G762" s="151">
        <f t="shared" si="117"/>
        <v>0</v>
      </c>
      <c r="H762" s="151"/>
      <c r="I762" s="151">
        <f t="shared" si="118"/>
        <v>0</v>
      </c>
    </row>
    <row r="763" spans="2:9" ht="12.75">
      <c r="B763" s="146" t="s">
        <v>282</v>
      </c>
      <c r="C763" s="132" t="s">
        <v>626</v>
      </c>
      <c r="D763" s="150">
        <f>SUM(D764:D766)</f>
        <v>0</v>
      </c>
      <c r="E763" s="150">
        <f>SUM(E764:E766)</f>
        <v>0</v>
      </c>
      <c r="F763" s="150">
        <f>SUM(F764:F766)</f>
        <v>0</v>
      </c>
      <c r="G763" s="150">
        <f t="shared" si="117"/>
        <v>0</v>
      </c>
      <c r="H763" s="150">
        <f>SUM(H764:H766)</f>
        <v>0</v>
      </c>
      <c r="I763" s="150">
        <f t="shared" si="118"/>
        <v>0</v>
      </c>
    </row>
    <row r="764" spans="2:9" ht="12.75">
      <c r="B764" s="147" t="s">
        <v>627</v>
      </c>
      <c r="C764" s="133" t="s">
        <v>628</v>
      </c>
      <c r="D764" s="151"/>
      <c r="E764" s="151"/>
      <c r="F764" s="151"/>
      <c r="G764" s="151">
        <f t="shared" si="117"/>
        <v>0</v>
      </c>
      <c r="H764" s="151"/>
      <c r="I764" s="151">
        <f t="shared" si="118"/>
        <v>0</v>
      </c>
    </row>
    <row r="765" spans="2:9" ht="12.75">
      <c r="B765" s="147" t="s">
        <v>629</v>
      </c>
      <c r="C765" s="133" t="s">
        <v>630</v>
      </c>
      <c r="D765" s="151"/>
      <c r="E765" s="151"/>
      <c r="F765" s="151"/>
      <c r="G765" s="151">
        <f t="shared" si="117"/>
        <v>0</v>
      </c>
      <c r="H765" s="151"/>
      <c r="I765" s="151">
        <f t="shared" si="118"/>
        <v>0</v>
      </c>
    </row>
    <row r="766" spans="2:9" ht="12.75">
      <c r="B766" s="147" t="s">
        <v>631</v>
      </c>
      <c r="C766" s="133" t="s">
        <v>632</v>
      </c>
      <c r="D766" s="151"/>
      <c r="E766" s="151"/>
      <c r="F766" s="151"/>
      <c r="G766" s="151">
        <f t="shared" si="117"/>
        <v>0</v>
      </c>
      <c r="H766" s="151"/>
      <c r="I766" s="151">
        <f t="shared" si="118"/>
        <v>0</v>
      </c>
    </row>
    <row r="767" spans="2:9" ht="12.75">
      <c r="B767" s="146" t="s">
        <v>283</v>
      </c>
      <c r="C767" s="132" t="s">
        <v>633</v>
      </c>
      <c r="D767" s="150">
        <f>SUM(D768)</f>
        <v>0</v>
      </c>
      <c r="E767" s="150">
        <f>SUM(E768)</f>
        <v>0</v>
      </c>
      <c r="F767" s="150">
        <f>SUM(F768)</f>
        <v>0</v>
      </c>
      <c r="G767" s="150">
        <f t="shared" si="117"/>
        <v>0</v>
      </c>
      <c r="H767" s="150">
        <f>SUM(H768)</f>
        <v>0</v>
      </c>
      <c r="I767" s="150">
        <f t="shared" si="118"/>
        <v>0</v>
      </c>
    </row>
    <row r="768" spans="2:9" ht="12.75">
      <c r="B768" s="147" t="s">
        <v>634</v>
      </c>
      <c r="C768" s="133" t="s">
        <v>633</v>
      </c>
      <c r="D768" s="151"/>
      <c r="E768" s="151"/>
      <c r="F768" s="151"/>
      <c r="G768" s="151">
        <f t="shared" si="117"/>
        <v>0</v>
      </c>
      <c r="H768" s="151"/>
      <c r="I768" s="151">
        <f t="shared" si="118"/>
        <v>0</v>
      </c>
    </row>
    <row r="769" spans="2:9" ht="12.75">
      <c r="B769" s="146" t="s">
        <v>635</v>
      </c>
      <c r="C769" s="132" t="s">
        <v>636</v>
      </c>
      <c r="D769" s="150">
        <f>SUM(D770:D774)</f>
        <v>0</v>
      </c>
      <c r="E769" s="150">
        <f>SUM(E770:E774)</f>
        <v>0</v>
      </c>
      <c r="F769" s="150">
        <f>SUM(F770:F774)</f>
        <v>0</v>
      </c>
      <c r="G769" s="150">
        <f t="shared" si="117"/>
        <v>0</v>
      </c>
      <c r="H769" s="150">
        <f>SUM(H770:H774)</f>
        <v>199178</v>
      </c>
      <c r="I769" s="150">
        <f t="shared" si="118"/>
        <v>199178</v>
      </c>
    </row>
    <row r="770" spans="2:9" ht="12.75">
      <c r="B770" s="147" t="s">
        <v>637</v>
      </c>
      <c r="C770" s="133" t="s">
        <v>638</v>
      </c>
      <c r="D770" s="151"/>
      <c r="E770" s="151"/>
      <c r="F770" s="151"/>
      <c r="G770" s="151">
        <f t="shared" si="117"/>
        <v>0</v>
      </c>
      <c r="H770" s="151"/>
      <c r="I770" s="151">
        <f t="shared" si="118"/>
        <v>0</v>
      </c>
    </row>
    <row r="771" spans="2:9" ht="12.75">
      <c r="B771" s="147" t="s">
        <v>639</v>
      </c>
      <c r="C771" s="133" t="s">
        <v>640</v>
      </c>
      <c r="D771" s="151"/>
      <c r="E771" s="151"/>
      <c r="F771" s="151"/>
      <c r="G771" s="151">
        <f t="shared" si="117"/>
        <v>0</v>
      </c>
      <c r="H771" s="151"/>
      <c r="I771" s="151">
        <f t="shared" si="118"/>
        <v>0</v>
      </c>
    </row>
    <row r="772" spans="2:9" ht="12.75">
      <c r="B772" s="147" t="s">
        <v>641</v>
      </c>
      <c r="C772" s="133" t="s">
        <v>642</v>
      </c>
      <c r="D772" s="151"/>
      <c r="E772" s="151"/>
      <c r="F772" s="151"/>
      <c r="G772" s="151">
        <f t="shared" si="117"/>
        <v>0</v>
      </c>
      <c r="H772" s="151"/>
      <c r="I772" s="151">
        <f t="shared" si="118"/>
        <v>0</v>
      </c>
    </row>
    <row r="773" spans="2:9" ht="12.75">
      <c r="B773" s="147" t="s">
        <v>643</v>
      </c>
      <c r="C773" s="133" t="s">
        <v>644</v>
      </c>
      <c r="D773" s="151"/>
      <c r="E773" s="151"/>
      <c r="F773" s="151"/>
      <c r="G773" s="151">
        <f t="shared" si="117"/>
        <v>0</v>
      </c>
      <c r="H773" s="151"/>
      <c r="I773" s="151">
        <f t="shared" si="118"/>
        <v>0</v>
      </c>
    </row>
    <row r="774" spans="2:9" ht="12.75">
      <c r="B774" s="147" t="s">
        <v>645</v>
      </c>
      <c r="C774" s="133" t="s">
        <v>646</v>
      </c>
      <c r="D774" s="151"/>
      <c r="E774" s="151"/>
      <c r="F774" s="151"/>
      <c r="G774" s="151">
        <f t="shared" si="117"/>
        <v>0</v>
      </c>
      <c r="H774" s="151">
        <f>199178</f>
        <v>199178</v>
      </c>
      <c r="I774" s="151">
        <f t="shared" si="118"/>
        <v>199178</v>
      </c>
    </row>
    <row r="775" spans="2:9" ht="12.75">
      <c r="B775" s="146" t="s">
        <v>647</v>
      </c>
      <c r="C775" s="132" t="s">
        <v>648</v>
      </c>
      <c r="D775" s="150">
        <f>SUM(D776)</f>
        <v>0</v>
      </c>
      <c r="E775" s="150">
        <f>SUM(E776)</f>
        <v>0</v>
      </c>
      <c r="F775" s="150">
        <f>SUM(F776)</f>
        <v>0</v>
      </c>
      <c r="G775" s="150">
        <f t="shared" si="117"/>
        <v>0</v>
      </c>
      <c r="H775" s="150">
        <f>SUM(H776)</f>
        <v>0</v>
      </c>
      <c r="I775" s="150">
        <f t="shared" si="118"/>
        <v>0</v>
      </c>
    </row>
    <row r="776" spans="2:9" ht="12.75">
      <c r="B776" s="147" t="s">
        <v>650</v>
      </c>
      <c r="C776" s="133" t="s">
        <v>648</v>
      </c>
      <c r="D776" s="151"/>
      <c r="E776" s="151"/>
      <c r="F776" s="151"/>
      <c r="G776" s="151">
        <f t="shared" si="117"/>
        <v>0</v>
      </c>
      <c r="H776" s="151"/>
      <c r="I776" s="151">
        <f t="shared" si="118"/>
        <v>0</v>
      </c>
    </row>
    <row r="777" spans="2:9" ht="12.75">
      <c r="B777" s="146" t="s">
        <v>649</v>
      </c>
      <c r="C777" s="132" t="s">
        <v>651</v>
      </c>
      <c r="D777" s="150">
        <f>SUM(D778:D780)</f>
        <v>0</v>
      </c>
      <c r="E777" s="150">
        <f>SUM(E778:E780)</f>
        <v>0</v>
      </c>
      <c r="F777" s="150">
        <f>SUM(F778:F780)</f>
        <v>0</v>
      </c>
      <c r="G777" s="150">
        <f t="shared" si="117"/>
        <v>0</v>
      </c>
      <c r="H777" s="150">
        <f>SUM(H778:H780)</f>
        <v>0</v>
      </c>
      <c r="I777" s="150">
        <f t="shared" si="118"/>
        <v>0</v>
      </c>
    </row>
    <row r="778" spans="2:9" ht="12.75">
      <c r="B778" s="147" t="s">
        <v>652</v>
      </c>
      <c r="C778" s="133" t="s">
        <v>653</v>
      </c>
      <c r="D778" s="151"/>
      <c r="E778" s="151"/>
      <c r="F778" s="151"/>
      <c r="G778" s="151">
        <f t="shared" si="117"/>
        <v>0</v>
      </c>
      <c r="H778" s="151"/>
      <c r="I778" s="151">
        <f t="shared" si="118"/>
        <v>0</v>
      </c>
    </row>
    <row r="779" spans="2:9" ht="12.75">
      <c r="B779" s="147" t="s">
        <v>654</v>
      </c>
      <c r="C779" s="133" t="s">
        <v>655</v>
      </c>
      <c r="D779" s="151"/>
      <c r="E779" s="151"/>
      <c r="F779" s="151"/>
      <c r="G779" s="151">
        <f t="shared" si="117"/>
        <v>0</v>
      </c>
      <c r="H779" s="151"/>
      <c r="I779" s="151">
        <f t="shared" si="118"/>
        <v>0</v>
      </c>
    </row>
    <row r="780" spans="2:9" ht="12.75">
      <c r="B780" s="147" t="s">
        <v>656</v>
      </c>
      <c r="C780" s="133" t="s">
        <v>657</v>
      </c>
      <c r="D780" s="151"/>
      <c r="E780" s="151"/>
      <c r="F780" s="151"/>
      <c r="G780" s="151">
        <f t="shared" si="117"/>
        <v>0</v>
      </c>
      <c r="H780" s="151"/>
      <c r="I780" s="151">
        <f t="shared" si="118"/>
        <v>0</v>
      </c>
    </row>
    <row r="781" spans="2:9" ht="12.75">
      <c r="B781" s="146" t="s">
        <v>373</v>
      </c>
      <c r="C781" s="132" t="s">
        <v>658</v>
      </c>
      <c r="D781" s="150">
        <f>D782+D789+D794+D799+D801</f>
        <v>1385433.1</v>
      </c>
      <c r="E781" s="150">
        <f>E782+E789+E794+E799+E801</f>
        <v>300254.6</v>
      </c>
      <c r="F781" s="150">
        <f>F782+F789+F794+F799+F801</f>
        <v>751130.55</v>
      </c>
      <c r="G781" s="150">
        <f t="shared" si="117"/>
        <v>2436818.25</v>
      </c>
      <c r="H781" s="150">
        <f>H782+H789+H794+H799+H801</f>
        <v>-1427526</v>
      </c>
      <c r="I781" s="150">
        <f t="shared" si="118"/>
        <v>1009292.25</v>
      </c>
    </row>
    <row r="782" spans="2:9" ht="12.75">
      <c r="B782" s="146" t="s">
        <v>659</v>
      </c>
      <c r="C782" s="132" t="s">
        <v>660</v>
      </c>
      <c r="D782" s="150">
        <f>SUM(D783:D788)</f>
        <v>1385433.1</v>
      </c>
      <c r="E782" s="150">
        <f>SUM(E783:E788)</f>
        <v>300254.6</v>
      </c>
      <c r="F782" s="150">
        <f>SUM(F783:F788)</f>
        <v>751130.55</v>
      </c>
      <c r="G782" s="150">
        <f t="shared" si="117"/>
        <v>2436818.25</v>
      </c>
      <c r="H782" s="150">
        <f>SUM(H783:H788)</f>
        <v>-1924523</v>
      </c>
      <c r="I782" s="150">
        <f t="shared" si="118"/>
        <v>512295.25</v>
      </c>
    </row>
    <row r="783" spans="2:9" ht="12.75">
      <c r="B783" s="147" t="s">
        <v>661</v>
      </c>
      <c r="C783" s="133" t="s">
        <v>662</v>
      </c>
      <c r="D783" s="151"/>
      <c r="E783" s="151"/>
      <c r="F783" s="151"/>
      <c r="G783" s="151">
        <f t="shared" si="117"/>
        <v>0</v>
      </c>
      <c r="H783" s="151"/>
      <c r="I783" s="151">
        <f t="shared" si="118"/>
        <v>0</v>
      </c>
    </row>
    <row r="784" spans="2:9" ht="12.75">
      <c r="B784" s="147" t="s">
        <v>663</v>
      </c>
      <c r="C784" s="133" t="s">
        <v>664</v>
      </c>
      <c r="D784" s="151"/>
      <c r="E784" s="151"/>
      <c r="F784" s="151"/>
      <c r="G784" s="151">
        <f t="shared" si="117"/>
        <v>0</v>
      </c>
      <c r="H784" s="151"/>
      <c r="I784" s="151">
        <f t="shared" si="118"/>
        <v>0</v>
      </c>
    </row>
    <row r="785" spans="2:9" ht="12.75">
      <c r="B785" s="147" t="s">
        <v>665</v>
      </c>
      <c r="C785" s="133" t="s">
        <v>666</v>
      </c>
      <c r="D785" s="151">
        <v>171507.95</v>
      </c>
      <c r="E785" s="151">
        <f>51311.9</f>
        <v>51311.9</v>
      </c>
      <c r="F785" s="151">
        <f>406378.4</f>
        <v>406378.4</v>
      </c>
      <c r="G785" s="151">
        <f t="shared" si="117"/>
        <v>629198.25</v>
      </c>
      <c r="H785" s="151">
        <f>2700274-4694914</f>
        <v>-1994640</v>
      </c>
      <c r="I785" s="151">
        <f t="shared" si="118"/>
        <v>-1365441.75</v>
      </c>
    </row>
    <row r="786" spans="2:9" ht="12.75">
      <c r="B786" s="147" t="s">
        <v>667</v>
      </c>
      <c r="C786" s="133" t="s">
        <v>668</v>
      </c>
      <c r="D786" s="151">
        <f>882187.6-135000</f>
        <v>747187.6</v>
      </c>
      <c r="E786" s="151">
        <f>86499.7</f>
        <v>86499.7</v>
      </c>
      <c r="F786" s="151">
        <f>422632.15-77880</f>
        <v>344752.15</v>
      </c>
      <c r="G786" s="151">
        <f t="shared" si="117"/>
        <v>1178439.45</v>
      </c>
      <c r="H786" s="151">
        <f>70117</f>
        <v>70117</v>
      </c>
      <c r="I786" s="151">
        <f t="shared" si="118"/>
        <v>1248556.45</v>
      </c>
    </row>
    <row r="787" spans="2:9" ht="12.75">
      <c r="B787" s="147" t="s">
        <v>669</v>
      </c>
      <c r="C787" s="133" t="s">
        <v>670</v>
      </c>
      <c r="D787" s="151"/>
      <c r="E787" s="151"/>
      <c r="F787" s="151"/>
      <c r="G787" s="151">
        <f t="shared" si="117"/>
        <v>0</v>
      </c>
      <c r="H787" s="151"/>
      <c r="I787" s="151">
        <f t="shared" si="118"/>
        <v>0</v>
      </c>
    </row>
    <row r="788" spans="2:9" ht="12.75">
      <c r="B788" s="147" t="s">
        <v>671</v>
      </c>
      <c r="C788" s="133" t="s">
        <v>672</v>
      </c>
      <c r="D788" s="151">
        <f>466737.55</f>
        <v>466737.55</v>
      </c>
      <c r="E788" s="151">
        <f>162443</f>
        <v>162443</v>
      </c>
      <c r="F788" s="151"/>
      <c r="G788" s="151">
        <f t="shared" si="117"/>
        <v>629180.55</v>
      </c>
      <c r="H788" s="151"/>
      <c r="I788" s="151">
        <f t="shared" si="118"/>
        <v>629180.55</v>
      </c>
    </row>
    <row r="789" spans="2:9" ht="12.75">
      <c r="B789" s="146" t="s">
        <v>673</v>
      </c>
      <c r="C789" s="132" t="s">
        <v>674</v>
      </c>
      <c r="D789" s="150">
        <f>SUM(D790:D793)</f>
        <v>0</v>
      </c>
      <c r="E789" s="150">
        <f>SUM(E790:E793)</f>
        <v>0</v>
      </c>
      <c r="F789" s="150">
        <f>SUM(F790:F793)</f>
        <v>0</v>
      </c>
      <c r="G789" s="150">
        <f t="shared" si="117"/>
        <v>0</v>
      </c>
      <c r="H789" s="150">
        <f>SUM(H790:H793)</f>
        <v>496997</v>
      </c>
      <c r="I789" s="150">
        <f t="shared" si="118"/>
        <v>496997</v>
      </c>
    </row>
    <row r="790" spans="2:9" ht="12.75">
      <c r="B790" s="147" t="s">
        <v>675</v>
      </c>
      <c r="C790" s="133" t="s">
        <v>676</v>
      </c>
      <c r="D790" s="151"/>
      <c r="E790" s="151"/>
      <c r="F790" s="151"/>
      <c r="G790" s="151">
        <f t="shared" si="117"/>
        <v>0</v>
      </c>
      <c r="H790" s="151"/>
      <c r="I790" s="151">
        <f t="shared" si="118"/>
        <v>0</v>
      </c>
    </row>
    <row r="791" spans="2:9" ht="12.75">
      <c r="B791" s="147" t="s">
        <v>677</v>
      </c>
      <c r="C791" s="133" t="s">
        <v>678</v>
      </c>
      <c r="D791" s="151"/>
      <c r="E791" s="151"/>
      <c r="F791" s="151"/>
      <c r="G791" s="151">
        <f t="shared" si="117"/>
        <v>0</v>
      </c>
      <c r="H791" s="151"/>
      <c r="I791" s="151">
        <f t="shared" si="118"/>
        <v>0</v>
      </c>
    </row>
    <row r="792" spans="2:9" ht="12.75">
      <c r="B792" s="147" t="s">
        <v>679</v>
      </c>
      <c r="C792" s="133" t="s">
        <v>680</v>
      </c>
      <c r="D792" s="151"/>
      <c r="E792" s="151"/>
      <c r="F792" s="151"/>
      <c r="G792" s="151">
        <f t="shared" si="117"/>
        <v>0</v>
      </c>
      <c r="H792" s="151"/>
      <c r="I792" s="151">
        <f t="shared" si="118"/>
        <v>0</v>
      </c>
    </row>
    <row r="793" spans="2:9" ht="12.75">
      <c r="B793" s="147" t="s">
        <v>681</v>
      </c>
      <c r="C793" s="133" t="s">
        <v>682</v>
      </c>
      <c r="D793" s="151"/>
      <c r="E793" s="151"/>
      <c r="F793" s="151"/>
      <c r="G793" s="151">
        <f t="shared" si="117"/>
        <v>0</v>
      </c>
      <c r="H793" s="151">
        <f>496997</f>
        <v>496997</v>
      </c>
      <c r="I793" s="151">
        <f t="shared" si="118"/>
        <v>496997</v>
      </c>
    </row>
    <row r="794" spans="2:9" ht="12.75">
      <c r="B794" s="146" t="s">
        <v>683</v>
      </c>
      <c r="C794" s="132" t="s">
        <v>684</v>
      </c>
      <c r="D794" s="150">
        <f>SUM(D795:D798)</f>
        <v>0</v>
      </c>
      <c r="E794" s="150">
        <f>SUM(E795:E798)</f>
        <v>0</v>
      </c>
      <c r="F794" s="150">
        <f>SUM(F795:F798)</f>
        <v>0</v>
      </c>
      <c r="G794" s="150">
        <f t="shared" si="117"/>
        <v>0</v>
      </c>
      <c r="H794" s="150">
        <f>SUM(H795:H798)</f>
        <v>0</v>
      </c>
      <c r="I794" s="150">
        <f t="shared" si="118"/>
        <v>0</v>
      </c>
    </row>
    <row r="795" spans="2:9" ht="12.75">
      <c r="B795" s="147" t="s">
        <v>685</v>
      </c>
      <c r="C795" s="133" t="s">
        <v>686</v>
      </c>
      <c r="D795" s="151"/>
      <c r="E795" s="151"/>
      <c r="F795" s="151"/>
      <c r="G795" s="151">
        <f t="shared" si="117"/>
        <v>0</v>
      </c>
      <c r="H795" s="151"/>
      <c r="I795" s="151">
        <f t="shared" si="118"/>
        <v>0</v>
      </c>
    </row>
    <row r="796" spans="2:9" ht="12.75">
      <c r="B796" s="147" t="s">
        <v>687</v>
      </c>
      <c r="C796" s="133" t="s">
        <v>688</v>
      </c>
      <c r="D796" s="151"/>
      <c r="E796" s="151"/>
      <c r="F796" s="151"/>
      <c r="G796" s="151">
        <f t="shared" si="117"/>
        <v>0</v>
      </c>
      <c r="H796" s="151"/>
      <c r="I796" s="151">
        <f t="shared" si="118"/>
        <v>0</v>
      </c>
    </row>
    <row r="797" spans="2:9" ht="12.75">
      <c r="B797" s="147" t="s">
        <v>689</v>
      </c>
      <c r="C797" s="133" t="s">
        <v>690</v>
      </c>
      <c r="D797" s="151"/>
      <c r="E797" s="151"/>
      <c r="F797" s="151"/>
      <c r="G797" s="151">
        <f t="shared" si="117"/>
        <v>0</v>
      </c>
      <c r="H797" s="151"/>
      <c r="I797" s="151">
        <f t="shared" si="118"/>
        <v>0</v>
      </c>
    </row>
    <row r="798" spans="2:9" ht="12.75">
      <c r="B798" s="147" t="s">
        <v>691</v>
      </c>
      <c r="C798" s="133" t="s">
        <v>692</v>
      </c>
      <c r="D798" s="151"/>
      <c r="E798" s="151"/>
      <c r="F798" s="151"/>
      <c r="G798" s="151">
        <f t="shared" si="117"/>
        <v>0</v>
      </c>
      <c r="H798" s="151"/>
      <c r="I798" s="151">
        <f t="shared" si="118"/>
        <v>0</v>
      </c>
    </row>
    <row r="799" spans="2:9" ht="12.75">
      <c r="B799" s="146" t="s">
        <v>693</v>
      </c>
      <c r="C799" s="132" t="s">
        <v>696</v>
      </c>
      <c r="D799" s="150">
        <f>SUM(D800)</f>
        <v>0</v>
      </c>
      <c r="E799" s="150">
        <f>SUM(E800)</f>
        <v>0</v>
      </c>
      <c r="F799" s="150">
        <f>SUM(F800)</f>
        <v>0</v>
      </c>
      <c r="G799" s="150">
        <f t="shared" si="117"/>
        <v>0</v>
      </c>
      <c r="H799" s="150">
        <f>SUM(H800)</f>
        <v>0</v>
      </c>
      <c r="I799" s="150">
        <f t="shared" si="118"/>
        <v>0</v>
      </c>
    </row>
    <row r="800" spans="2:9" ht="12.75">
      <c r="B800" s="147" t="s">
        <v>694</v>
      </c>
      <c r="C800" s="133" t="s">
        <v>695</v>
      </c>
      <c r="D800" s="151"/>
      <c r="E800" s="151"/>
      <c r="F800" s="151"/>
      <c r="G800" s="151">
        <f t="shared" si="117"/>
        <v>0</v>
      </c>
      <c r="H800" s="151"/>
      <c r="I800" s="151">
        <f t="shared" si="118"/>
        <v>0</v>
      </c>
    </row>
    <row r="801" spans="2:9" ht="12.75">
      <c r="B801" s="146" t="s">
        <v>697</v>
      </c>
      <c r="C801" s="132" t="s">
        <v>698</v>
      </c>
      <c r="D801" s="150">
        <f>SUM(D802:D803)</f>
        <v>0</v>
      </c>
      <c r="E801" s="150">
        <f>SUM(E802:E803)</f>
        <v>0</v>
      </c>
      <c r="F801" s="150">
        <f>SUM(F802:F803)</f>
        <v>0</v>
      </c>
      <c r="G801" s="150">
        <f t="shared" si="117"/>
        <v>0</v>
      </c>
      <c r="H801" s="150">
        <f>SUM(H802:H803)</f>
        <v>0</v>
      </c>
      <c r="I801" s="150">
        <f t="shared" si="118"/>
        <v>0</v>
      </c>
    </row>
    <row r="802" spans="2:9" ht="12.75">
      <c r="B802" s="147" t="s">
        <v>699</v>
      </c>
      <c r="C802" s="133" t="s">
        <v>700</v>
      </c>
      <c r="D802" s="151"/>
      <c r="E802" s="151"/>
      <c r="F802" s="151"/>
      <c r="G802" s="151">
        <f t="shared" si="117"/>
        <v>0</v>
      </c>
      <c r="H802" s="151"/>
      <c r="I802" s="151">
        <f t="shared" si="118"/>
        <v>0</v>
      </c>
    </row>
    <row r="803" spans="2:9" ht="12.75">
      <c r="B803" s="147" t="s">
        <v>701</v>
      </c>
      <c r="C803" s="133" t="s">
        <v>702</v>
      </c>
      <c r="D803" s="151"/>
      <c r="E803" s="151"/>
      <c r="F803" s="151"/>
      <c r="G803" s="151">
        <f t="shared" si="117"/>
        <v>0</v>
      </c>
      <c r="H803" s="151"/>
      <c r="I803" s="151">
        <f t="shared" si="118"/>
        <v>0</v>
      </c>
    </row>
    <row r="804" spans="2:9" ht="12.75">
      <c r="B804" s="146" t="s">
        <v>703</v>
      </c>
      <c r="C804" s="163" t="s">
        <v>1030</v>
      </c>
      <c r="D804" s="150">
        <f>D805+D808+D812+D816+D819+D821+D824+D828+D831</f>
        <v>2037687.4000000001</v>
      </c>
      <c r="E804" s="150">
        <f>E805+E808+E812+E816+E819+E821+E824+E828+E831</f>
        <v>1237031.4000000001</v>
      </c>
      <c r="F804" s="150">
        <f>F805+F808+F812+F816+F819+F821+F824+F828+F831</f>
        <v>642990.6799999999</v>
      </c>
      <c r="G804" s="150">
        <f t="shared" si="117"/>
        <v>3917709.4800000004</v>
      </c>
      <c r="H804" s="150">
        <f>H805+H808+H812+H816+H819+H821+H824+H828+H831</f>
        <v>4963760</v>
      </c>
      <c r="I804" s="150">
        <f t="shared" si="118"/>
        <v>8881469.48</v>
      </c>
    </row>
    <row r="805" spans="2:9" ht="12.75">
      <c r="B805" s="146" t="s">
        <v>705</v>
      </c>
      <c r="C805" s="132" t="s">
        <v>706</v>
      </c>
      <c r="D805" s="150">
        <f>SUM(D806:D807)</f>
        <v>1003882.24</v>
      </c>
      <c r="E805" s="150">
        <f>SUM(E806:E807)</f>
        <v>0</v>
      </c>
      <c r="F805" s="150">
        <f>SUM(F806:F807)</f>
        <v>759030.72</v>
      </c>
      <c r="G805" s="150">
        <f t="shared" si="117"/>
        <v>1762912.96</v>
      </c>
      <c r="H805" s="150">
        <f>SUM(H806:H807)</f>
        <v>0</v>
      </c>
      <c r="I805" s="150">
        <f t="shared" si="118"/>
        <v>1762912.96</v>
      </c>
    </row>
    <row r="806" spans="2:9" ht="12.75">
      <c r="B806" s="147" t="s">
        <v>707</v>
      </c>
      <c r="C806" s="133" t="s">
        <v>708</v>
      </c>
      <c r="D806" s="151"/>
      <c r="E806" s="151"/>
      <c r="F806" s="151"/>
      <c r="G806" s="151">
        <f t="shared" si="117"/>
        <v>0</v>
      </c>
      <c r="H806" s="151"/>
      <c r="I806" s="151">
        <f t="shared" si="118"/>
        <v>0</v>
      </c>
    </row>
    <row r="807" spans="2:9" ht="12.75">
      <c r="B807" s="147" t="s">
        <v>709</v>
      </c>
      <c r="C807" s="133" t="s">
        <v>710</v>
      </c>
      <c r="D807" s="151">
        <f>1197051.24-193169</f>
        <v>1003882.24</v>
      </c>
      <c r="E807" s="151"/>
      <c r="F807" s="151">
        <f>1324863.22-565832.5</f>
        <v>759030.72</v>
      </c>
      <c r="G807" s="151">
        <f t="shared" si="117"/>
        <v>1762912.96</v>
      </c>
      <c r="H807" s="151"/>
      <c r="I807" s="151">
        <f t="shared" si="118"/>
        <v>1762912.96</v>
      </c>
    </row>
    <row r="808" spans="2:9" ht="12.75">
      <c r="B808" s="146" t="s">
        <v>711</v>
      </c>
      <c r="C808" s="132" t="s">
        <v>712</v>
      </c>
      <c r="D808" s="150">
        <f>SUM(D809:D811)</f>
        <v>571728.66</v>
      </c>
      <c r="E808" s="150">
        <f>SUM(E809:E811)</f>
        <v>-77259.5</v>
      </c>
      <c r="F808" s="150">
        <f>SUM(F809:F811)</f>
        <v>-552357.54</v>
      </c>
      <c r="G808" s="150">
        <f t="shared" si="117"/>
        <v>-57888.380000000005</v>
      </c>
      <c r="H808" s="150">
        <f>SUM(H809:H811)</f>
        <v>27650</v>
      </c>
      <c r="I808" s="150">
        <f t="shared" si="118"/>
        <v>-30238.380000000005</v>
      </c>
    </row>
    <row r="809" spans="2:9" ht="12.75">
      <c r="B809" s="147" t="s">
        <v>713</v>
      </c>
      <c r="C809" s="133" t="s">
        <v>714</v>
      </c>
      <c r="D809" s="151"/>
      <c r="E809" s="151"/>
      <c r="F809" s="151"/>
      <c r="G809" s="151">
        <f t="shared" si="117"/>
        <v>0</v>
      </c>
      <c r="H809" s="151"/>
      <c r="I809" s="151">
        <f t="shared" si="118"/>
        <v>0</v>
      </c>
    </row>
    <row r="810" spans="2:9" ht="12.75">
      <c r="B810" s="147" t="s">
        <v>715</v>
      </c>
      <c r="C810" s="133" t="s">
        <v>716</v>
      </c>
      <c r="D810" s="151">
        <f>744353.06-172624.4</f>
        <v>571728.66</v>
      </c>
      <c r="E810" s="151">
        <f>-77259.5</f>
        <v>-77259.5</v>
      </c>
      <c r="F810" s="151">
        <f>172667.86-725025.4</f>
        <v>-552357.54</v>
      </c>
      <c r="G810" s="151">
        <f t="shared" si="117"/>
        <v>-57888.380000000005</v>
      </c>
      <c r="H810" s="151"/>
      <c r="I810" s="151">
        <f t="shared" si="118"/>
        <v>-57888.380000000005</v>
      </c>
    </row>
    <row r="811" spans="2:9" ht="12.75">
      <c r="B811" s="147" t="s">
        <v>868</v>
      </c>
      <c r="C811" s="133" t="s">
        <v>717</v>
      </c>
      <c r="D811" s="151"/>
      <c r="E811" s="151"/>
      <c r="F811" s="151"/>
      <c r="G811" s="151">
        <f t="shared" si="117"/>
        <v>0</v>
      </c>
      <c r="H811" s="151">
        <f>59147-31497</f>
        <v>27650</v>
      </c>
      <c r="I811" s="151">
        <f t="shared" si="118"/>
        <v>27650</v>
      </c>
    </row>
    <row r="812" spans="2:9" ht="12.75">
      <c r="B812" s="146" t="s">
        <v>718</v>
      </c>
      <c r="C812" s="132" t="s">
        <v>719</v>
      </c>
      <c r="D812" s="150">
        <f>SUM(D813:D815)</f>
        <v>1851.85</v>
      </c>
      <c r="E812" s="150">
        <f>SUM(E813:E815)</f>
        <v>0</v>
      </c>
      <c r="F812" s="150">
        <f>SUM(F813:F815)</f>
        <v>7184.15</v>
      </c>
      <c r="G812" s="150">
        <f t="shared" si="117"/>
        <v>9036</v>
      </c>
      <c r="H812" s="150">
        <f>SUM(H813:H815)</f>
        <v>0</v>
      </c>
      <c r="I812" s="150">
        <f t="shared" si="118"/>
        <v>9036</v>
      </c>
    </row>
    <row r="813" spans="2:9" ht="12.75">
      <c r="B813" s="147" t="s">
        <v>720</v>
      </c>
      <c r="C813" s="133" t="s">
        <v>723</v>
      </c>
      <c r="D813" s="151"/>
      <c r="E813" s="151"/>
      <c r="F813" s="151"/>
      <c r="G813" s="151">
        <f t="shared" si="117"/>
        <v>0</v>
      </c>
      <c r="H813" s="151"/>
      <c r="I813" s="151">
        <f t="shared" si="118"/>
        <v>0</v>
      </c>
    </row>
    <row r="814" spans="2:9" ht="12.75">
      <c r="B814" s="147" t="s">
        <v>721</v>
      </c>
      <c r="C814" s="133" t="s">
        <v>722</v>
      </c>
      <c r="D814" s="151">
        <f>1851.85</f>
        <v>1851.85</v>
      </c>
      <c r="E814" s="151"/>
      <c r="F814" s="151">
        <f>7184.15</f>
        <v>7184.15</v>
      </c>
      <c r="G814" s="151">
        <f aca="true" t="shared" si="119" ref="G814:G875">SUM(D814:F814)</f>
        <v>9036</v>
      </c>
      <c r="H814" s="151"/>
      <c r="I814" s="151">
        <f aca="true" t="shared" si="120" ref="I814:I875">SUM(G814:H814)</f>
        <v>9036</v>
      </c>
    </row>
    <row r="815" spans="2:9" ht="12.75">
      <c r="B815" s="147" t="s">
        <v>724</v>
      </c>
      <c r="C815" s="133" t="s">
        <v>725</v>
      </c>
      <c r="D815" s="151"/>
      <c r="E815" s="151"/>
      <c r="F815" s="151"/>
      <c r="G815" s="151">
        <f t="shared" si="119"/>
        <v>0</v>
      </c>
      <c r="H815" s="151"/>
      <c r="I815" s="151">
        <f t="shared" si="120"/>
        <v>0</v>
      </c>
    </row>
    <row r="816" spans="2:9" ht="12.75">
      <c r="B816" s="146" t="s">
        <v>726</v>
      </c>
      <c r="C816" s="132" t="s">
        <v>727</v>
      </c>
      <c r="D816" s="150">
        <f>SUM(D817:D818)</f>
        <v>345517.85</v>
      </c>
      <c r="E816" s="150">
        <f>SUM(E817:E818)</f>
        <v>1164215.9000000001</v>
      </c>
      <c r="F816" s="150">
        <f>SUM(F817:F818)</f>
        <v>365843.85</v>
      </c>
      <c r="G816" s="150">
        <f t="shared" si="119"/>
        <v>1875577.6</v>
      </c>
      <c r="H816" s="150">
        <f>SUM(H817:H818)</f>
        <v>4575132</v>
      </c>
      <c r="I816" s="150">
        <f t="shared" si="120"/>
        <v>6450709.6</v>
      </c>
    </row>
    <row r="817" spans="2:9" ht="12.75">
      <c r="B817" s="147" t="s">
        <v>728</v>
      </c>
      <c r="C817" s="133" t="s">
        <v>872</v>
      </c>
      <c r="D817" s="151">
        <f>1195451.25-872931.75</f>
        <v>322519.5</v>
      </c>
      <c r="E817" s="151">
        <f>2237379.6-1073163.7</f>
        <v>1164215.9000000001</v>
      </c>
      <c r="F817" s="151">
        <f>365843.85</f>
        <v>365843.85</v>
      </c>
      <c r="G817" s="151">
        <f t="shared" si="119"/>
        <v>1852579.25</v>
      </c>
      <c r="H817" s="151">
        <f>7239568-2664436</f>
        <v>4575132</v>
      </c>
      <c r="I817" s="151">
        <f t="shared" si="120"/>
        <v>6427711.25</v>
      </c>
    </row>
    <row r="818" spans="2:9" ht="12.75">
      <c r="B818" s="147" t="s">
        <v>729</v>
      </c>
      <c r="C818" s="133" t="s">
        <v>730</v>
      </c>
      <c r="D818" s="151">
        <f>385139.8-362141.45</f>
        <v>22998.349999999977</v>
      </c>
      <c r="E818" s="151"/>
      <c r="F818" s="151"/>
      <c r="G818" s="151">
        <f t="shared" si="119"/>
        <v>22998.349999999977</v>
      </c>
      <c r="H818" s="151"/>
      <c r="I818" s="151">
        <f t="shared" si="120"/>
        <v>22998.349999999977</v>
      </c>
    </row>
    <row r="819" spans="2:9" ht="12.75">
      <c r="B819" s="146" t="s">
        <v>731</v>
      </c>
      <c r="C819" s="132" t="s">
        <v>732</v>
      </c>
      <c r="D819" s="150">
        <f>SUM(C820)</f>
        <v>0</v>
      </c>
      <c r="E819" s="150">
        <f>SUM(D820)</f>
        <v>0</v>
      </c>
      <c r="F819" s="150">
        <f>SUM(E820)</f>
        <v>0</v>
      </c>
      <c r="G819" s="150">
        <f t="shared" si="119"/>
        <v>0</v>
      </c>
      <c r="H819" s="150">
        <f>SUM(H820)</f>
        <v>120534</v>
      </c>
      <c r="I819" s="150">
        <f t="shared" si="120"/>
        <v>120534</v>
      </c>
    </row>
    <row r="820" spans="2:9" ht="12.75">
      <c r="B820" s="147" t="s">
        <v>733</v>
      </c>
      <c r="C820" s="133" t="s">
        <v>732</v>
      </c>
      <c r="D820" s="151"/>
      <c r="E820" s="151"/>
      <c r="F820" s="151"/>
      <c r="G820" s="151">
        <f t="shared" si="119"/>
        <v>0</v>
      </c>
      <c r="H820" s="151">
        <f>541534-421000</f>
        <v>120534</v>
      </c>
      <c r="I820" s="151">
        <f t="shared" si="120"/>
        <v>120534</v>
      </c>
    </row>
    <row r="821" spans="2:9" ht="12.75">
      <c r="B821" s="146" t="s">
        <v>734</v>
      </c>
      <c r="C821" s="132" t="s">
        <v>735</v>
      </c>
      <c r="D821" s="150">
        <f>SUM(D822:D823)</f>
        <v>0</v>
      </c>
      <c r="E821" s="150">
        <f>SUM(E822:E823)</f>
        <v>0</v>
      </c>
      <c r="F821" s="150">
        <f>SUM(F822:F823)</f>
        <v>0</v>
      </c>
      <c r="G821" s="150">
        <f t="shared" si="119"/>
        <v>0</v>
      </c>
      <c r="H821" s="150">
        <f>SUM(H822:H823)</f>
        <v>240444</v>
      </c>
      <c r="I821" s="150">
        <f t="shared" si="120"/>
        <v>240444</v>
      </c>
    </row>
    <row r="822" spans="2:9" ht="12.75">
      <c r="B822" s="147" t="s">
        <v>736</v>
      </c>
      <c r="C822" s="133" t="s">
        <v>737</v>
      </c>
      <c r="D822" s="151"/>
      <c r="E822" s="151"/>
      <c r="F822" s="151"/>
      <c r="G822" s="151">
        <f t="shared" si="119"/>
        <v>0</v>
      </c>
      <c r="H822" s="151"/>
      <c r="I822" s="151">
        <f t="shared" si="120"/>
        <v>0</v>
      </c>
    </row>
    <row r="823" spans="2:9" ht="12.75">
      <c r="B823" s="147" t="s">
        <v>866</v>
      </c>
      <c r="C823" s="133" t="s">
        <v>738</v>
      </c>
      <c r="D823" s="151"/>
      <c r="E823" s="151"/>
      <c r="F823" s="151"/>
      <c r="G823" s="151">
        <f t="shared" si="119"/>
        <v>0</v>
      </c>
      <c r="H823" s="151">
        <f>391417-150973</f>
        <v>240444</v>
      </c>
      <c r="I823" s="151">
        <f t="shared" si="120"/>
        <v>240444</v>
      </c>
    </row>
    <row r="824" spans="2:9" ht="12.75">
      <c r="B824" s="146" t="s">
        <v>739</v>
      </c>
      <c r="C824" s="132" t="s">
        <v>740</v>
      </c>
      <c r="D824" s="150">
        <f>SUM(D825:D827)</f>
        <v>0</v>
      </c>
      <c r="E824" s="150">
        <f>SUM(E825:E827)</f>
        <v>0</v>
      </c>
      <c r="F824" s="150">
        <f>SUM(F825:F827)</f>
        <v>0</v>
      </c>
      <c r="G824" s="150">
        <f t="shared" si="119"/>
        <v>0</v>
      </c>
      <c r="H824" s="150">
        <f>SUM(H825:H827)</f>
        <v>0</v>
      </c>
      <c r="I824" s="150">
        <f t="shared" si="120"/>
        <v>0</v>
      </c>
    </row>
    <row r="825" spans="2:9" ht="12.75">
      <c r="B825" s="147" t="s">
        <v>741</v>
      </c>
      <c r="C825" s="133" t="s">
        <v>742</v>
      </c>
      <c r="D825" s="151"/>
      <c r="E825" s="151"/>
      <c r="F825" s="151"/>
      <c r="G825" s="151">
        <f t="shared" si="119"/>
        <v>0</v>
      </c>
      <c r="H825" s="151"/>
      <c r="I825" s="151">
        <f t="shared" si="120"/>
        <v>0</v>
      </c>
    </row>
    <row r="826" spans="2:9" ht="12.75">
      <c r="B826" s="147" t="s">
        <v>743</v>
      </c>
      <c r="C826" s="133" t="s">
        <v>744</v>
      </c>
      <c r="D826" s="151"/>
      <c r="E826" s="151"/>
      <c r="F826" s="151"/>
      <c r="G826" s="151">
        <f t="shared" si="119"/>
        <v>0</v>
      </c>
      <c r="H826" s="151"/>
      <c r="I826" s="151">
        <f t="shared" si="120"/>
        <v>0</v>
      </c>
    </row>
    <row r="827" spans="2:9" ht="12.75">
      <c r="B827" s="147" t="s">
        <v>745</v>
      </c>
      <c r="C827" s="133" t="s">
        <v>746</v>
      </c>
      <c r="D827" s="151"/>
      <c r="E827" s="151"/>
      <c r="F827" s="151"/>
      <c r="G827" s="151">
        <f t="shared" si="119"/>
        <v>0</v>
      </c>
      <c r="H827" s="151"/>
      <c r="I827" s="151">
        <f t="shared" si="120"/>
        <v>0</v>
      </c>
    </row>
    <row r="828" spans="2:9" ht="12.75">
      <c r="B828" s="146" t="s">
        <v>747</v>
      </c>
      <c r="C828" s="132" t="s">
        <v>748</v>
      </c>
      <c r="D828" s="150">
        <f>SUM(D829:D830)</f>
        <v>0</v>
      </c>
      <c r="E828" s="150">
        <f>SUM(E829:E830)</f>
        <v>0</v>
      </c>
      <c r="F828" s="150">
        <f>SUM(F829:F830)</f>
        <v>0</v>
      </c>
      <c r="G828" s="150">
        <f t="shared" si="119"/>
        <v>0</v>
      </c>
      <c r="H828" s="150">
        <f>SUM(H829:H830)</f>
        <v>0</v>
      </c>
      <c r="I828" s="150">
        <f t="shared" si="120"/>
        <v>0</v>
      </c>
    </row>
    <row r="829" spans="2:9" ht="12.75">
      <c r="B829" s="147" t="s">
        <v>749</v>
      </c>
      <c r="C829" s="133" t="s">
        <v>750</v>
      </c>
      <c r="D829" s="151"/>
      <c r="E829" s="151"/>
      <c r="F829" s="151"/>
      <c r="G829" s="151">
        <f t="shared" si="119"/>
        <v>0</v>
      </c>
      <c r="H829" s="151"/>
      <c r="I829" s="151">
        <f t="shared" si="120"/>
        <v>0</v>
      </c>
    </row>
    <row r="830" spans="2:9" ht="12.75">
      <c r="B830" s="147" t="s">
        <v>751</v>
      </c>
      <c r="C830" s="133" t="s">
        <v>752</v>
      </c>
      <c r="D830" s="151"/>
      <c r="E830" s="151"/>
      <c r="F830" s="151"/>
      <c r="G830" s="151">
        <f t="shared" si="119"/>
        <v>0</v>
      </c>
      <c r="H830" s="151"/>
      <c r="I830" s="151">
        <f t="shared" si="120"/>
        <v>0</v>
      </c>
    </row>
    <row r="831" spans="2:9" ht="12.75">
      <c r="B831" s="146" t="s">
        <v>753</v>
      </c>
      <c r="C831" s="132" t="s">
        <v>754</v>
      </c>
      <c r="D831" s="150">
        <f>SUM(D832:D833)</f>
        <v>114706.8</v>
      </c>
      <c r="E831" s="150">
        <f>SUM(E832:E833)</f>
        <v>150075</v>
      </c>
      <c r="F831" s="150">
        <f>SUM(F832:F833)</f>
        <v>63289.5</v>
      </c>
      <c r="G831" s="150">
        <f t="shared" si="119"/>
        <v>328071.3</v>
      </c>
      <c r="H831" s="150">
        <f>SUM(H832:H833)</f>
        <v>0</v>
      </c>
      <c r="I831" s="150">
        <f t="shared" si="120"/>
        <v>328071.3</v>
      </c>
    </row>
    <row r="832" spans="2:9" ht="12.75">
      <c r="B832" s="147" t="s">
        <v>755</v>
      </c>
      <c r="C832" s="133" t="s">
        <v>756</v>
      </c>
      <c r="D832" s="151">
        <f>114706.8</f>
        <v>114706.8</v>
      </c>
      <c r="E832" s="151">
        <f>150075</f>
        <v>150075</v>
      </c>
      <c r="F832" s="151">
        <f>63289.5</f>
        <v>63289.5</v>
      </c>
      <c r="G832" s="151">
        <f t="shared" si="119"/>
        <v>328071.3</v>
      </c>
      <c r="H832" s="151"/>
      <c r="I832" s="151">
        <f t="shared" si="120"/>
        <v>328071.3</v>
      </c>
    </row>
    <row r="833" spans="2:9" ht="12.75">
      <c r="B833" s="147" t="s">
        <v>757</v>
      </c>
      <c r="C833" s="133" t="s">
        <v>758</v>
      </c>
      <c r="D833" s="151"/>
      <c r="E833" s="151"/>
      <c r="F833" s="151"/>
      <c r="G833" s="151">
        <f t="shared" si="119"/>
        <v>0</v>
      </c>
      <c r="H833" s="151"/>
      <c r="I833" s="151">
        <f t="shared" si="120"/>
        <v>0</v>
      </c>
    </row>
    <row r="834" spans="2:9" ht="12.75">
      <c r="B834" s="146" t="s">
        <v>759</v>
      </c>
      <c r="C834" s="132" t="s">
        <v>760</v>
      </c>
      <c r="D834" s="150">
        <f>D835+D845+D847+D849+D851+D853+D855+D864+D869</f>
        <v>701594.8</v>
      </c>
      <c r="E834" s="150">
        <f>E835+E845+E847+E849+E851+E853+E855+E864+E869</f>
        <v>44700</v>
      </c>
      <c r="F834" s="150">
        <f>F835+F845+F847+F849+F851+F853+F855+F864+F869</f>
        <v>1103898.25</v>
      </c>
      <c r="G834" s="150">
        <f t="shared" si="119"/>
        <v>1850193.05</v>
      </c>
      <c r="H834" s="150">
        <f>H835+H845+H847+H849+H851+H853+H855+H864+H869</f>
        <v>4143580</v>
      </c>
      <c r="I834" s="150">
        <f t="shared" si="120"/>
        <v>5993773.05</v>
      </c>
    </row>
    <row r="835" spans="2:9" ht="12.75">
      <c r="B835" s="146" t="s">
        <v>761</v>
      </c>
      <c r="C835" s="132" t="s">
        <v>762</v>
      </c>
      <c r="D835" s="150">
        <f>SUM(D836:D844)</f>
        <v>579141.25</v>
      </c>
      <c r="E835" s="150">
        <f>SUM(E836:E844)</f>
        <v>0</v>
      </c>
      <c r="F835" s="150">
        <f>SUM(F836:F844)</f>
        <v>25445</v>
      </c>
      <c r="G835" s="150">
        <f t="shared" si="119"/>
        <v>604586.25</v>
      </c>
      <c r="H835" s="150">
        <f>SUM(H836:H844)</f>
        <v>1043067</v>
      </c>
      <c r="I835" s="150">
        <f t="shared" si="120"/>
        <v>1647653.25</v>
      </c>
    </row>
    <row r="836" spans="2:9" ht="12.75">
      <c r="B836" s="147" t="s">
        <v>763</v>
      </c>
      <c r="C836" s="133" t="s">
        <v>764</v>
      </c>
      <c r="D836" s="151"/>
      <c r="E836" s="151"/>
      <c r="F836" s="151"/>
      <c r="G836" s="151">
        <f t="shared" si="119"/>
        <v>0</v>
      </c>
      <c r="H836" s="151"/>
      <c r="I836" s="151">
        <f t="shared" si="120"/>
        <v>0</v>
      </c>
    </row>
    <row r="837" spans="2:9" ht="12.75">
      <c r="B837" s="147" t="s">
        <v>765</v>
      </c>
      <c r="C837" s="133" t="s">
        <v>766</v>
      </c>
      <c r="D837" s="151"/>
      <c r="E837" s="151"/>
      <c r="F837" s="151"/>
      <c r="G837" s="151">
        <f t="shared" si="119"/>
        <v>0</v>
      </c>
      <c r="H837" s="151">
        <f>2278869-1235802</f>
        <v>1043067</v>
      </c>
      <c r="I837" s="151">
        <f t="shared" si="120"/>
        <v>1043067</v>
      </c>
    </row>
    <row r="838" spans="2:9" ht="12.75">
      <c r="B838" s="147" t="s">
        <v>767</v>
      </c>
      <c r="C838" s="133" t="s">
        <v>768</v>
      </c>
      <c r="D838" s="151"/>
      <c r="E838" s="151"/>
      <c r="F838" s="151"/>
      <c r="G838" s="151">
        <f t="shared" si="119"/>
        <v>0</v>
      </c>
      <c r="H838" s="151"/>
      <c r="I838" s="151">
        <f t="shared" si="120"/>
        <v>0</v>
      </c>
    </row>
    <row r="839" spans="2:9" ht="12.75">
      <c r="B839" s="147" t="s">
        <v>769</v>
      </c>
      <c r="C839" s="133" t="s">
        <v>770</v>
      </c>
      <c r="D839" s="151"/>
      <c r="E839" s="151"/>
      <c r="F839" s="151"/>
      <c r="G839" s="151">
        <f t="shared" si="119"/>
        <v>0</v>
      </c>
      <c r="H839" s="151"/>
      <c r="I839" s="151">
        <f t="shared" si="120"/>
        <v>0</v>
      </c>
    </row>
    <row r="840" spans="2:9" ht="12.75">
      <c r="B840" s="147" t="s">
        <v>771</v>
      </c>
      <c r="C840" s="133" t="s">
        <v>772</v>
      </c>
      <c r="D840" s="151"/>
      <c r="E840" s="151"/>
      <c r="F840" s="151"/>
      <c r="G840" s="151">
        <f t="shared" si="119"/>
        <v>0</v>
      </c>
      <c r="H840" s="151"/>
      <c r="I840" s="151">
        <f t="shared" si="120"/>
        <v>0</v>
      </c>
    </row>
    <row r="841" spans="2:9" ht="12.75">
      <c r="B841" s="147" t="s">
        <v>773</v>
      </c>
      <c r="C841" s="133" t="s">
        <v>774</v>
      </c>
      <c r="D841" s="151"/>
      <c r="E841" s="151"/>
      <c r="F841" s="151"/>
      <c r="G841" s="151">
        <f t="shared" si="119"/>
        <v>0</v>
      </c>
      <c r="H841" s="151"/>
      <c r="I841" s="151">
        <f t="shared" si="120"/>
        <v>0</v>
      </c>
    </row>
    <row r="842" spans="2:9" ht="12.75">
      <c r="B842" s="147" t="s">
        <v>775</v>
      </c>
      <c r="C842" s="133" t="s">
        <v>776</v>
      </c>
      <c r="D842" s="151"/>
      <c r="E842" s="151"/>
      <c r="F842" s="151"/>
      <c r="G842" s="151">
        <f t="shared" si="119"/>
        <v>0</v>
      </c>
      <c r="H842" s="151"/>
      <c r="I842" s="151">
        <f t="shared" si="120"/>
        <v>0</v>
      </c>
    </row>
    <row r="843" spans="2:9" ht="12.75">
      <c r="B843" s="147" t="s">
        <v>777</v>
      </c>
      <c r="C843" s="133" t="s">
        <v>778</v>
      </c>
      <c r="D843" s="151">
        <f>1670587.25-1091446</f>
        <v>579141.25</v>
      </c>
      <c r="E843" s="151"/>
      <c r="F843" s="151">
        <f>25445</f>
        <v>25445</v>
      </c>
      <c r="G843" s="151">
        <f t="shared" si="119"/>
        <v>604586.25</v>
      </c>
      <c r="H843" s="151"/>
      <c r="I843" s="151">
        <f t="shared" si="120"/>
        <v>604586.25</v>
      </c>
    </row>
    <row r="844" spans="2:9" ht="12.75">
      <c r="B844" s="147" t="s">
        <v>779</v>
      </c>
      <c r="C844" s="133" t="s">
        <v>780</v>
      </c>
      <c r="D844" s="151"/>
      <c r="E844" s="151"/>
      <c r="F844" s="151"/>
      <c r="G844" s="151">
        <f t="shared" si="119"/>
        <v>0</v>
      </c>
      <c r="H844" s="151"/>
      <c r="I844" s="151">
        <f t="shared" si="120"/>
        <v>0</v>
      </c>
    </row>
    <row r="845" spans="2:9" ht="12.75">
      <c r="B845" s="146" t="s">
        <v>781</v>
      </c>
      <c r="C845" s="132" t="s">
        <v>782</v>
      </c>
      <c r="D845" s="150">
        <f>SUM(D846)</f>
        <v>122453.54999999999</v>
      </c>
      <c r="E845" s="150">
        <f>SUM(E846)</f>
        <v>44700</v>
      </c>
      <c r="F845" s="150">
        <f>SUM(F846)</f>
        <v>1078453.25</v>
      </c>
      <c r="G845" s="150">
        <f t="shared" si="119"/>
        <v>1245606.8</v>
      </c>
      <c r="H845" s="150">
        <f>SUM(H846)</f>
        <v>3111313</v>
      </c>
      <c r="I845" s="150">
        <f t="shared" si="120"/>
        <v>4356919.8</v>
      </c>
    </row>
    <row r="846" spans="2:9" ht="12.75">
      <c r="B846" s="147" t="s">
        <v>783</v>
      </c>
      <c r="C846" s="133" t="s">
        <v>782</v>
      </c>
      <c r="D846" s="151">
        <f>256726.25-134272.7</f>
        <v>122453.54999999999</v>
      </c>
      <c r="E846" s="151">
        <f>44700</f>
        <v>44700</v>
      </c>
      <c r="F846" s="151">
        <f>1916858.25-838405</f>
        <v>1078453.25</v>
      </c>
      <c r="G846" s="151">
        <f t="shared" si="119"/>
        <v>1245606.8</v>
      </c>
      <c r="H846" s="151">
        <f>5843043-2731730</f>
        <v>3111313</v>
      </c>
      <c r="I846" s="151">
        <f t="shared" si="120"/>
        <v>4356919.8</v>
      </c>
    </row>
    <row r="847" spans="2:9" ht="12.75">
      <c r="B847" s="146" t="s">
        <v>784</v>
      </c>
      <c r="C847" s="132" t="s">
        <v>785</v>
      </c>
      <c r="D847" s="150">
        <f>SUM(D848)</f>
        <v>0</v>
      </c>
      <c r="E847" s="150">
        <f>SUM(E848)</f>
        <v>0</v>
      </c>
      <c r="F847" s="150">
        <f>SUM(F848)</f>
        <v>0</v>
      </c>
      <c r="G847" s="150">
        <f t="shared" si="119"/>
        <v>0</v>
      </c>
      <c r="H847" s="150">
        <f>SUM(H848)</f>
        <v>0</v>
      </c>
      <c r="I847" s="150">
        <f t="shared" si="120"/>
        <v>0</v>
      </c>
    </row>
    <row r="848" spans="2:9" ht="12.75">
      <c r="B848" s="147" t="s">
        <v>786</v>
      </c>
      <c r="C848" s="133" t="s">
        <v>785</v>
      </c>
      <c r="D848" s="151"/>
      <c r="E848" s="151"/>
      <c r="F848" s="151"/>
      <c r="G848" s="151">
        <f t="shared" si="119"/>
        <v>0</v>
      </c>
      <c r="H848" s="151"/>
      <c r="I848" s="151">
        <f t="shared" si="120"/>
        <v>0</v>
      </c>
    </row>
    <row r="849" spans="2:9" ht="12.75">
      <c r="B849" s="146" t="s">
        <v>787</v>
      </c>
      <c r="C849" s="132" t="s">
        <v>788</v>
      </c>
      <c r="D849" s="150">
        <f>SUM(D850)</f>
        <v>0</v>
      </c>
      <c r="E849" s="150">
        <f>SUM(E850)</f>
        <v>0</v>
      </c>
      <c r="F849" s="150">
        <f>SUM(F850)</f>
        <v>0</v>
      </c>
      <c r="G849" s="150">
        <f t="shared" si="119"/>
        <v>0</v>
      </c>
      <c r="H849" s="150">
        <f>SUM(H850)</f>
        <v>0</v>
      </c>
      <c r="I849" s="150">
        <f t="shared" si="120"/>
        <v>0</v>
      </c>
    </row>
    <row r="850" spans="2:9" ht="12.75">
      <c r="B850" s="147" t="s">
        <v>791</v>
      </c>
      <c r="C850" s="133" t="s">
        <v>788</v>
      </c>
      <c r="D850" s="151"/>
      <c r="E850" s="151"/>
      <c r="F850" s="151"/>
      <c r="G850" s="151">
        <f t="shared" si="119"/>
        <v>0</v>
      </c>
      <c r="H850" s="151"/>
      <c r="I850" s="151">
        <f t="shared" si="120"/>
        <v>0</v>
      </c>
    </row>
    <row r="851" spans="2:9" ht="12.75">
      <c r="B851" s="146" t="s">
        <v>789</v>
      </c>
      <c r="C851" s="132" t="s">
        <v>790</v>
      </c>
      <c r="D851" s="150">
        <f>SUM(D852)</f>
        <v>0</v>
      </c>
      <c r="E851" s="150">
        <f>SUM(E852)</f>
        <v>0</v>
      </c>
      <c r="F851" s="150">
        <f>SUM(F852)</f>
        <v>0</v>
      </c>
      <c r="G851" s="150">
        <f t="shared" si="119"/>
        <v>0</v>
      </c>
      <c r="H851" s="150">
        <f>SUM(H852)</f>
        <v>-10800</v>
      </c>
      <c r="I851" s="150">
        <f t="shared" si="120"/>
        <v>-10800</v>
      </c>
    </row>
    <row r="852" spans="2:9" ht="12.75">
      <c r="B852" s="147" t="s">
        <v>792</v>
      </c>
      <c r="C852" s="133" t="s">
        <v>790</v>
      </c>
      <c r="D852" s="151"/>
      <c r="E852" s="151"/>
      <c r="F852" s="151"/>
      <c r="G852" s="151">
        <f t="shared" si="119"/>
        <v>0</v>
      </c>
      <c r="H852" s="151">
        <f>110000-120800</f>
        <v>-10800</v>
      </c>
      <c r="I852" s="151">
        <f t="shared" si="120"/>
        <v>-10800</v>
      </c>
    </row>
    <row r="853" spans="2:9" ht="12.75">
      <c r="B853" s="146" t="s">
        <v>793</v>
      </c>
      <c r="C853" s="132" t="s">
        <v>794</v>
      </c>
      <c r="D853" s="150">
        <f>SUM(D854)</f>
        <v>0</v>
      </c>
      <c r="E853" s="150">
        <f>SUM(E854)</f>
        <v>0</v>
      </c>
      <c r="F853" s="150">
        <f>SUM(F854)</f>
        <v>0</v>
      </c>
      <c r="G853" s="150">
        <f t="shared" si="119"/>
        <v>0</v>
      </c>
      <c r="H853" s="150">
        <f>SUM(H854)</f>
        <v>0</v>
      </c>
      <c r="I853" s="150">
        <f t="shared" si="120"/>
        <v>0</v>
      </c>
    </row>
    <row r="854" spans="2:9" ht="12.75">
      <c r="B854" s="147" t="s">
        <v>795</v>
      </c>
      <c r="C854" s="133" t="s">
        <v>794</v>
      </c>
      <c r="D854" s="151"/>
      <c r="E854" s="151"/>
      <c r="F854" s="151"/>
      <c r="G854" s="151">
        <f t="shared" si="119"/>
        <v>0</v>
      </c>
      <c r="H854" s="151"/>
      <c r="I854" s="151">
        <f t="shared" si="120"/>
        <v>0</v>
      </c>
    </row>
    <row r="855" spans="2:9" ht="12.75">
      <c r="B855" s="146" t="s">
        <v>796</v>
      </c>
      <c r="C855" s="132" t="s">
        <v>797</v>
      </c>
      <c r="D855" s="150">
        <f>SUM(D856:D863)</f>
        <v>0</v>
      </c>
      <c r="E855" s="150">
        <f>SUM(E856:E863)</f>
        <v>0</v>
      </c>
      <c r="F855" s="150">
        <f>SUM(F856:F863)</f>
        <v>0</v>
      </c>
      <c r="G855" s="150">
        <f t="shared" si="119"/>
        <v>0</v>
      </c>
      <c r="H855" s="150">
        <f>SUM(H856:H863)</f>
        <v>0</v>
      </c>
      <c r="I855" s="150">
        <f t="shared" si="120"/>
        <v>0</v>
      </c>
    </row>
    <row r="856" spans="2:9" ht="12.75">
      <c r="B856" s="147" t="s">
        <v>798</v>
      </c>
      <c r="C856" s="133" t="s">
        <v>799</v>
      </c>
      <c r="D856" s="151"/>
      <c r="E856" s="151"/>
      <c r="F856" s="151"/>
      <c r="G856" s="151">
        <f t="shared" si="119"/>
        <v>0</v>
      </c>
      <c r="H856" s="151"/>
      <c r="I856" s="151">
        <f t="shared" si="120"/>
        <v>0</v>
      </c>
    </row>
    <row r="857" spans="2:9" ht="12.75">
      <c r="B857" s="147" t="s">
        <v>801</v>
      </c>
      <c r="C857" s="133" t="s">
        <v>800</v>
      </c>
      <c r="D857" s="151"/>
      <c r="E857" s="151"/>
      <c r="F857" s="151"/>
      <c r="G857" s="151">
        <f t="shared" si="119"/>
        <v>0</v>
      </c>
      <c r="H857" s="151"/>
      <c r="I857" s="151">
        <f t="shared" si="120"/>
        <v>0</v>
      </c>
    </row>
    <row r="858" spans="2:9" ht="12.75">
      <c r="B858" s="147" t="s">
        <v>802</v>
      </c>
      <c r="C858" s="133" t="s">
        <v>803</v>
      </c>
      <c r="D858" s="151"/>
      <c r="E858" s="151"/>
      <c r="F858" s="151"/>
      <c r="G858" s="151">
        <f t="shared" si="119"/>
        <v>0</v>
      </c>
      <c r="H858" s="151"/>
      <c r="I858" s="151">
        <f t="shared" si="120"/>
        <v>0</v>
      </c>
    </row>
    <row r="859" spans="2:9" ht="12.75">
      <c r="B859" s="147" t="s">
        <v>804</v>
      </c>
      <c r="C859" s="133" t="s">
        <v>805</v>
      </c>
      <c r="D859" s="151"/>
      <c r="E859" s="151"/>
      <c r="F859" s="151"/>
      <c r="G859" s="151">
        <f t="shared" si="119"/>
        <v>0</v>
      </c>
      <c r="H859" s="151"/>
      <c r="I859" s="151">
        <f t="shared" si="120"/>
        <v>0</v>
      </c>
    </row>
    <row r="860" spans="2:9" ht="12.75">
      <c r="B860" s="147" t="s">
        <v>806</v>
      </c>
      <c r="C860" s="133" t="s">
        <v>807</v>
      </c>
      <c r="D860" s="151"/>
      <c r="E860" s="151"/>
      <c r="F860" s="151"/>
      <c r="G860" s="151">
        <f t="shared" si="119"/>
        <v>0</v>
      </c>
      <c r="H860" s="151"/>
      <c r="I860" s="151">
        <f t="shared" si="120"/>
        <v>0</v>
      </c>
    </row>
    <row r="861" spans="2:9" ht="12.75">
      <c r="B861" s="147" t="s">
        <v>808</v>
      </c>
      <c r="C861" s="133" t="s">
        <v>809</v>
      </c>
      <c r="D861" s="151"/>
      <c r="E861" s="151"/>
      <c r="F861" s="151"/>
      <c r="G861" s="151">
        <f t="shared" si="119"/>
        <v>0</v>
      </c>
      <c r="H861" s="151"/>
      <c r="I861" s="151">
        <f t="shared" si="120"/>
        <v>0</v>
      </c>
    </row>
    <row r="862" spans="2:9" ht="12.75">
      <c r="B862" s="147" t="s">
        <v>810</v>
      </c>
      <c r="C862" s="133" t="s">
        <v>811</v>
      </c>
      <c r="D862" s="151"/>
      <c r="E862" s="151"/>
      <c r="F862" s="151"/>
      <c r="G862" s="151">
        <f t="shared" si="119"/>
        <v>0</v>
      </c>
      <c r="H862" s="151"/>
      <c r="I862" s="151">
        <f t="shared" si="120"/>
        <v>0</v>
      </c>
    </row>
    <row r="863" spans="2:9" ht="12.75">
      <c r="B863" s="147" t="s">
        <v>812</v>
      </c>
      <c r="C863" s="133" t="s">
        <v>813</v>
      </c>
      <c r="D863" s="151"/>
      <c r="E863" s="151"/>
      <c r="F863" s="151"/>
      <c r="G863" s="151">
        <f t="shared" si="119"/>
        <v>0</v>
      </c>
      <c r="H863" s="151"/>
      <c r="I863" s="151">
        <f t="shared" si="120"/>
        <v>0</v>
      </c>
    </row>
    <row r="864" spans="2:9" ht="12.75">
      <c r="B864" s="146" t="s">
        <v>815</v>
      </c>
      <c r="C864" s="132" t="s">
        <v>816</v>
      </c>
      <c r="D864" s="150">
        <f>SUM(D865:D868)</f>
        <v>0</v>
      </c>
      <c r="E864" s="150">
        <f>SUM(E865:E868)</f>
        <v>0</v>
      </c>
      <c r="F864" s="150">
        <f>SUM(F865:F868)</f>
        <v>0</v>
      </c>
      <c r="G864" s="150">
        <f t="shared" si="119"/>
        <v>0</v>
      </c>
      <c r="H864" s="150">
        <f>SUM(H865:H868)</f>
        <v>0</v>
      </c>
      <c r="I864" s="150">
        <f t="shared" si="120"/>
        <v>0</v>
      </c>
    </row>
    <row r="865" spans="2:9" ht="12.75">
      <c r="B865" s="147" t="s">
        <v>817</v>
      </c>
      <c r="C865" s="133" t="s">
        <v>818</v>
      </c>
      <c r="D865" s="151"/>
      <c r="E865" s="151"/>
      <c r="F865" s="151"/>
      <c r="G865" s="151">
        <f t="shared" si="119"/>
        <v>0</v>
      </c>
      <c r="H865" s="151"/>
      <c r="I865" s="151">
        <f t="shared" si="120"/>
        <v>0</v>
      </c>
    </row>
    <row r="866" spans="2:9" ht="12.75">
      <c r="B866" s="147" t="s">
        <v>819</v>
      </c>
      <c r="C866" s="133" t="s">
        <v>820</v>
      </c>
      <c r="D866" s="151"/>
      <c r="E866" s="151"/>
      <c r="F866" s="151"/>
      <c r="G866" s="151">
        <f t="shared" si="119"/>
        <v>0</v>
      </c>
      <c r="H866" s="151"/>
      <c r="I866" s="151">
        <f t="shared" si="120"/>
        <v>0</v>
      </c>
    </row>
    <row r="867" spans="2:9" ht="12.75">
      <c r="B867" s="147" t="s">
        <v>821</v>
      </c>
      <c r="C867" s="133" t="s">
        <v>822</v>
      </c>
      <c r="D867" s="151"/>
      <c r="E867" s="151"/>
      <c r="F867" s="151"/>
      <c r="G867" s="151">
        <f t="shared" si="119"/>
        <v>0</v>
      </c>
      <c r="H867" s="151"/>
      <c r="I867" s="151">
        <f t="shared" si="120"/>
        <v>0</v>
      </c>
    </row>
    <row r="868" spans="2:9" ht="12.75">
      <c r="B868" s="147" t="s">
        <v>823</v>
      </c>
      <c r="C868" s="133" t="s">
        <v>824</v>
      </c>
      <c r="D868" s="151"/>
      <c r="E868" s="151"/>
      <c r="F868" s="151"/>
      <c r="G868" s="151">
        <f t="shared" si="119"/>
        <v>0</v>
      </c>
      <c r="H868" s="151"/>
      <c r="I868" s="151">
        <f t="shared" si="120"/>
        <v>0</v>
      </c>
    </row>
    <row r="869" spans="2:9" ht="12.75">
      <c r="B869" s="146" t="s">
        <v>825</v>
      </c>
      <c r="C869" s="132" t="s">
        <v>826</v>
      </c>
      <c r="D869" s="150">
        <f>SUM(D870)</f>
        <v>0</v>
      </c>
      <c r="E869" s="150">
        <f>SUM(E870)</f>
        <v>0</v>
      </c>
      <c r="F869" s="150">
        <f>SUM(F870)</f>
        <v>0</v>
      </c>
      <c r="G869" s="150">
        <f t="shared" si="119"/>
        <v>0</v>
      </c>
      <c r="H869" s="150">
        <f>SUM(H870)</f>
        <v>0</v>
      </c>
      <c r="I869" s="150">
        <f t="shared" si="120"/>
        <v>0</v>
      </c>
    </row>
    <row r="870" spans="2:9" ht="12.75">
      <c r="B870" s="147" t="s">
        <v>827</v>
      </c>
      <c r="C870" s="133" t="s">
        <v>826</v>
      </c>
      <c r="D870" s="151"/>
      <c r="E870" s="151"/>
      <c r="F870" s="151"/>
      <c r="G870" s="151">
        <f t="shared" si="119"/>
        <v>0</v>
      </c>
      <c r="H870" s="151"/>
      <c r="I870" s="151">
        <f t="shared" si="120"/>
        <v>0</v>
      </c>
    </row>
    <row r="871" spans="2:9" ht="12.75">
      <c r="B871" s="146" t="s">
        <v>828</v>
      </c>
      <c r="C871" s="132" t="s">
        <v>829</v>
      </c>
      <c r="D871" s="150">
        <f>D872+D875+D877+D879+D881+D883+D888+D890</f>
        <v>-4457740.75</v>
      </c>
      <c r="E871" s="150">
        <f>E872+E875+E877+E879+E881+E883+E888+E890</f>
        <v>-2251555.7</v>
      </c>
      <c r="F871" s="150">
        <f>F872+F875+F877+F879+F881+F883+F888+F890</f>
        <v>-3154747.48</v>
      </c>
      <c r="G871" s="150">
        <f t="shared" si="119"/>
        <v>-9864043.93</v>
      </c>
      <c r="H871" s="150">
        <f>H872+H875+H877+H879+H881+H883+H888+H890</f>
        <v>-17685731</v>
      </c>
      <c r="I871" s="150">
        <f t="shared" si="120"/>
        <v>-27549774.93</v>
      </c>
    </row>
    <row r="872" spans="2:9" ht="12.75">
      <c r="B872" s="146" t="s">
        <v>830</v>
      </c>
      <c r="C872" s="132" t="s">
        <v>831</v>
      </c>
      <c r="D872" s="150">
        <f>SUM(D873:D874)</f>
        <v>0</v>
      </c>
      <c r="E872" s="150">
        <f>SUM(E873:E874)</f>
        <v>0</v>
      </c>
      <c r="F872" s="150">
        <f>SUM(F873:F874)</f>
        <v>0</v>
      </c>
      <c r="G872" s="150">
        <f t="shared" si="119"/>
        <v>0</v>
      </c>
      <c r="H872" s="150">
        <f>SUM(H873:H874)</f>
        <v>0</v>
      </c>
      <c r="I872" s="150">
        <f t="shared" si="120"/>
        <v>0</v>
      </c>
    </row>
    <row r="873" spans="2:9" ht="12.75">
      <c r="B873" s="147" t="s">
        <v>832</v>
      </c>
      <c r="C873" s="133" t="s">
        <v>833</v>
      </c>
      <c r="D873" s="151"/>
      <c r="E873" s="151"/>
      <c r="F873" s="151"/>
      <c r="G873" s="151">
        <f t="shared" si="119"/>
        <v>0</v>
      </c>
      <c r="H873" s="151"/>
      <c r="I873" s="151">
        <f t="shared" si="120"/>
        <v>0</v>
      </c>
    </row>
    <row r="874" spans="2:9" ht="12.75">
      <c r="B874" s="147" t="s">
        <v>834</v>
      </c>
      <c r="C874" s="133" t="s">
        <v>835</v>
      </c>
      <c r="D874" s="151"/>
      <c r="E874" s="151"/>
      <c r="F874" s="151"/>
      <c r="G874" s="151">
        <f t="shared" si="119"/>
        <v>0</v>
      </c>
      <c r="H874" s="151"/>
      <c r="I874" s="151">
        <f t="shared" si="120"/>
        <v>0</v>
      </c>
    </row>
    <row r="875" spans="2:9" ht="12.75">
      <c r="B875" s="146" t="s">
        <v>836</v>
      </c>
      <c r="C875" s="132" t="s">
        <v>837</v>
      </c>
      <c r="D875" s="150">
        <f>SUM(D876)</f>
        <v>0</v>
      </c>
      <c r="E875" s="150">
        <f>SUM(E876)</f>
        <v>0</v>
      </c>
      <c r="F875" s="150">
        <f>SUM(F876)</f>
        <v>0</v>
      </c>
      <c r="G875" s="150">
        <f t="shared" si="119"/>
        <v>0</v>
      </c>
      <c r="H875" s="150">
        <f>SUM(H876)</f>
        <v>0</v>
      </c>
      <c r="I875" s="150">
        <f t="shared" si="120"/>
        <v>0</v>
      </c>
    </row>
    <row r="876" spans="2:9" ht="12.75">
      <c r="B876" s="147" t="s">
        <v>838</v>
      </c>
      <c r="C876" s="133" t="s">
        <v>837</v>
      </c>
      <c r="D876" s="151"/>
      <c r="E876" s="151"/>
      <c r="F876" s="151"/>
      <c r="G876" s="151">
        <f aca="true" t="shared" si="121" ref="G876:G895">SUM(D876:F876)</f>
        <v>0</v>
      </c>
      <c r="H876" s="151"/>
      <c r="I876" s="151">
        <f aca="true" t="shared" si="122" ref="I876:I895">SUM(G876:H876)</f>
        <v>0</v>
      </c>
    </row>
    <row r="877" spans="2:9" ht="12.75">
      <c r="B877" s="146" t="s">
        <v>839</v>
      </c>
      <c r="C877" s="132" t="s">
        <v>81</v>
      </c>
      <c r="D877" s="150">
        <f>SUM(D878)</f>
        <v>0</v>
      </c>
      <c r="E877" s="150">
        <f>SUM(E878)</f>
        <v>0</v>
      </c>
      <c r="F877" s="150">
        <f>SUM(F878)</f>
        <v>0</v>
      </c>
      <c r="G877" s="150">
        <f t="shared" si="121"/>
        <v>0</v>
      </c>
      <c r="H877" s="150">
        <f>SUM(H878)</f>
        <v>0</v>
      </c>
      <c r="I877" s="150">
        <f t="shared" si="122"/>
        <v>0</v>
      </c>
    </row>
    <row r="878" spans="2:9" ht="12.75">
      <c r="B878" s="147" t="s">
        <v>840</v>
      </c>
      <c r="C878" s="133" t="s">
        <v>81</v>
      </c>
      <c r="D878" s="151"/>
      <c r="E878" s="151"/>
      <c r="F878" s="151"/>
      <c r="G878" s="151">
        <f t="shared" si="121"/>
        <v>0</v>
      </c>
      <c r="H878" s="151"/>
      <c r="I878" s="151">
        <f t="shared" si="122"/>
        <v>0</v>
      </c>
    </row>
    <row r="879" spans="2:9" ht="12.75">
      <c r="B879" s="146" t="s">
        <v>841</v>
      </c>
      <c r="C879" s="132" t="s">
        <v>842</v>
      </c>
      <c r="D879" s="150">
        <f>SUM(D880)</f>
        <v>0</v>
      </c>
      <c r="E879" s="150">
        <f>SUM(E880)</f>
        <v>0</v>
      </c>
      <c r="F879" s="150">
        <f>SUM(F880)</f>
        <v>0</v>
      </c>
      <c r="G879" s="150">
        <f t="shared" si="121"/>
        <v>0</v>
      </c>
      <c r="H879" s="150">
        <f>SUM(H880)</f>
        <v>0</v>
      </c>
      <c r="I879" s="150">
        <f t="shared" si="122"/>
        <v>0</v>
      </c>
    </row>
    <row r="880" spans="2:9" ht="12.75">
      <c r="B880" s="147" t="s">
        <v>843</v>
      </c>
      <c r="C880" s="133" t="s">
        <v>842</v>
      </c>
      <c r="D880" s="151"/>
      <c r="E880" s="151"/>
      <c r="F880" s="151"/>
      <c r="G880" s="151">
        <f t="shared" si="121"/>
        <v>0</v>
      </c>
      <c r="H880" s="151"/>
      <c r="I880" s="151">
        <f t="shared" si="122"/>
        <v>0</v>
      </c>
    </row>
    <row r="881" spans="2:9" ht="12.75">
      <c r="B881" s="146" t="s">
        <v>844</v>
      </c>
      <c r="C881" s="132" t="s">
        <v>845</v>
      </c>
      <c r="D881" s="150">
        <f>SUM(D882)</f>
        <v>0</v>
      </c>
      <c r="E881" s="150">
        <f>SUM(E882)</f>
        <v>0</v>
      </c>
      <c r="F881" s="150">
        <f>SUM(F882)</f>
        <v>0</v>
      </c>
      <c r="G881" s="150">
        <f t="shared" si="121"/>
        <v>0</v>
      </c>
      <c r="H881" s="150">
        <f>SUM(H882)</f>
        <v>0</v>
      </c>
      <c r="I881" s="150">
        <f t="shared" si="122"/>
        <v>0</v>
      </c>
    </row>
    <row r="882" spans="2:9" ht="12.75">
      <c r="B882" s="147" t="s">
        <v>846</v>
      </c>
      <c r="C882" s="133" t="s">
        <v>845</v>
      </c>
      <c r="D882" s="151"/>
      <c r="E882" s="151"/>
      <c r="F882" s="151"/>
      <c r="G882" s="151">
        <f t="shared" si="121"/>
        <v>0</v>
      </c>
      <c r="H882" s="151"/>
      <c r="I882" s="151">
        <f t="shared" si="122"/>
        <v>0</v>
      </c>
    </row>
    <row r="883" spans="2:9" ht="12.75">
      <c r="B883" s="146" t="s">
        <v>847</v>
      </c>
      <c r="C883" s="132" t="s">
        <v>864</v>
      </c>
      <c r="D883" s="150">
        <f>SUM(D884:D887)</f>
        <v>29836.300000000003</v>
      </c>
      <c r="E883" s="150">
        <f>SUM(E884:E887)</f>
        <v>0</v>
      </c>
      <c r="F883" s="150">
        <f>SUM(F884:F887)</f>
        <v>0</v>
      </c>
      <c r="G883" s="150">
        <f t="shared" si="121"/>
        <v>29836.300000000003</v>
      </c>
      <c r="H883" s="150">
        <f>SUM(H884:H887)</f>
        <v>0</v>
      </c>
      <c r="I883" s="150">
        <f t="shared" si="122"/>
        <v>29836.300000000003</v>
      </c>
    </row>
    <row r="884" spans="2:9" ht="12.75">
      <c r="B884" s="147" t="s">
        <v>848</v>
      </c>
      <c r="C884" s="133" t="s">
        <v>849</v>
      </c>
      <c r="D884" s="151"/>
      <c r="E884" s="151"/>
      <c r="F884" s="151"/>
      <c r="G884" s="151">
        <f t="shared" si="121"/>
        <v>0</v>
      </c>
      <c r="H884" s="151"/>
      <c r="I884" s="151">
        <f t="shared" si="122"/>
        <v>0</v>
      </c>
    </row>
    <row r="885" spans="2:9" ht="12.75">
      <c r="B885" s="147" t="s">
        <v>850</v>
      </c>
      <c r="C885" s="133" t="s">
        <v>851</v>
      </c>
      <c r="D885" s="151"/>
      <c r="E885" s="151"/>
      <c r="F885" s="151"/>
      <c r="G885" s="151">
        <f t="shared" si="121"/>
        <v>0</v>
      </c>
      <c r="H885" s="151"/>
      <c r="I885" s="151">
        <f t="shared" si="122"/>
        <v>0</v>
      </c>
    </row>
    <row r="886" spans="2:9" ht="12.75">
      <c r="B886" s="147" t="s">
        <v>852</v>
      </c>
      <c r="C886" s="133" t="s">
        <v>853</v>
      </c>
      <c r="D886" s="151">
        <f>130376.3-100540</f>
        <v>29836.300000000003</v>
      </c>
      <c r="E886" s="151"/>
      <c r="F886" s="151"/>
      <c r="G886" s="151">
        <f t="shared" si="121"/>
        <v>29836.300000000003</v>
      </c>
      <c r="H886" s="151"/>
      <c r="I886" s="151">
        <f t="shared" si="122"/>
        <v>29836.300000000003</v>
      </c>
    </row>
    <row r="887" spans="2:9" ht="12.75">
      <c r="B887" s="147" t="s">
        <v>854</v>
      </c>
      <c r="C887" s="133" t="s">
        <v>855</v>
      </c>
      <c r="D887" s="151"/>
      <c r="E887" s="151"/>
      <c r="F887" s="151"/>
      <c r="G887" s="151">
        <f t="shared" si="121"/>
        <v>0</v>
      </c>
      <c r="H887" s="151"/>
      <c r="I887" s="151">
        <f t="shared" si="122"/>
        <v>0</v>
      </c>
    </row>
    <row r="888" spans="2:9" ht="12.75">
      <c r="B888" s="146" t="s">
        <v>856</v>
      </c>
      <c r="C888" s="132" t="s">
        <v>857</v>
      </c>
      <c r="D888" s="150">
        <f>SUM(D889)</f>
        <v>0</v>
      </c>
      <c r="E888" s="150">
        <f>SUM(E889)</f>
        <v>0</v>
      </c>
      <c r="F888" s="150">
        <f>SUM(F889)</f>
        <v>0</v>
      </c>
      <c r="G888" s="150">
        <f t="shared" si="121"/>
        <v>0</v>
      </c>
      <c r="H888" s="150">
        <f>SUM(H889)</f>
        <v>0</v>
      </c>
      <c r="I888" s="150">
        <f t="shared" si="122"/>
        <v>0</v>
      </c>
    </row>
    <row r="889" spans="2:9" ht="12.75">
      <c r="B889" s="147" t="s">
        <v>858</v>
      </c>
      <c r="C889" s="133" t="s">
        <v>859</v>
      </c>
      <c r="D889" s="151"/>
      <c r="E889" s="151"/>
      <c r="F889" s="151"/>
      <c r="G889" s="151">
        <f t="shared" si="121"/>
        <v>0</v>
      </c>
      <c r="H889" s="151"/>
      <c r="I889" s="151">
        <f t="shared" si="122"/>
        <v>0</v>
      </c>
    </row>
    <row r="890" spans="2:9" ht="12.75">
      <c r="B890" s="146" t="s">
        <v>814</v>
      </c>
      <c r="C890" s="132" t="s">
        <v>870</v>
      </c>
      <c r="D890" s="150">
        <f>SUM(D891:D893)</f>
        <v>-4487577.05</v>
      </c>
      <c r="E890" s="150">
        <f>SUM(E891:E893)</f>
        <v>-2251555.7</v>
      </c>
      <c r="F890" s="150">
        <f>SUM(F891:F893)</f>
        <v>-3154747.48</v>
      </c>
      <c r="G890" s="150">
        <f t="shared" si="121"/>
        <v>-9893880.23</v>
      </c>
      <c r="H890" s="150">
        <f>SUM(H891:H893)</f>
        <v>-17685731</v>
      </c>
      <c r="I890" s="150">
        <f t="shared" si="122"/>
        <v>-27579611.23</v>
      </c>
    </row>
    <row r="891" spans="2:9" ht="12.75">
      <c r="B891" s="147" t="s">
        <v>861</v>
      </c>
      <c r="C891" s="133" t="s">
        <v>860</v>
      </c>
      <c r="D891" s="151"/>
      <c r="E891" s="151"/>
      <c r="F891" s="151"/>
      <c r="G891" s="151">
        <f t="shared" si="121"/>
        <v>0</v>
      </c>
      <c r="H891" s="151"/>
      <c r="I891" s="151">
        <f t="shared" si="122"/>
        <v>0</v>
      </c>
    </row>
    <row r="892" spans="2:9" ht="12.75">
      <c r="B892" s="147" t="s">
        <v>862</v>
      </c>
      <c r="C892" s="133" t="s">
        <v>869</v>
      </c>
      <c r="D892" s="151"/>
      <c r="E892" s="151"/>
      <c r="F892" s="151"/>
      <c r="G892" s="151">
        <f t="shared" si="121"/>
        <v>0</v>
      </c>
      <c r="H892" s="151"/>
      <c r="I892" s="151">
        <f t="shared" si="122"/>
        <v>0</v>
      </c>
    </row>
    <row r="893" spans="2:9" ht="12.75">
      <c r="B893" s="147" t="s">
        <v>863</v>
      </c>
      <c r="C893" s="133" t="s">
        <v>871</v>
      </c>
      <c r="D893" s="151">
        <f>3163798.3-7651375.35</f>
        <v>-4487577.05</v>
      </c>
      <c r="E893" s="151">
        <f>1156132.2-3407687.9</f>
        <v>-2251555.7</v>
      </c>
      <c r="F893" s="151">
        <f>2503614.9-5658362.38</f>
        <v>-3154747.48</v>
      </c>
      <c r="G893" s="151">
        <f t="shared" si="121"/>
        <v>-9893880.23</v>
      </c>
      <c r="H893" s="151">
        <f>-17685731</f>
        <v>-17685731</v>
      </c>
      <c r="I893" s="151">
        <f t="shared" si="122"/>
        <v>-27579611.23</v>
      </c>
    </row>
    <row r="894" spans="2:9" ht="12.75">
      <c r="B894" s="147"/>
      <c r="C894" s="133"/>
      <c r="D894" s="151"/>
      <c r="E894" s="151"/>
      <c r="F894" s="151"/>
      <c r="G894" s="150">
        <f t="shared" si="121"/>
        <v>0</v>
      </c>
      <c r="H894" s="151"/>
      <c r="I894" s="150">
        <f t="shared" si="122"/>
        <v>0</v>
      </c>
    </row>
    <row r="895" spans="2:9" ht="12.75">
      <c r="B895" s="146"/>
      <c r="C895" s="132" t="s">
        <v>865</v>
      </c>
      <c r="D895" s="160">
        <f>D628+D645+D671+D701+D721+D738+D781+D804+D834+D871</f>
        <v>0</v>
      </c>
      <c r="E895" s="150">
        <f>E628+E645+E671+E701+E721+E738+E781+E804+E834+E871</f>
        <v>0</v>
      </c>
      <c r="F895" s="150">
        <f>F628+F645+F671+F701+F721+F738+F781+F804+F834+F871</f>
        <v>0</v>
      </c>
      <c r="G895" s="150">
        <f t="shared" si="121"/>
        <v>0</v>
      </c>
      <c r="H895" s="150">
        <f>H628+H645+H671+H701+H721+H738+H781+H804+H834+H871</f>
        <v>0</v>
      </c>
      <c r="I895" s="150">
        <f t="shared" si="122"/>
        <v>0</v>
      </c>
    </row>
    <row r="896" spans="2:9" ht="13.5" thickBot="1">
      <c r="B896" s="158"/>
      <c r="C896" s="137" t="s">
        <v>6</v>
      </c>
      <c r="D896" s="161">
        <f>IF(-D343+D344=-D893,-D343+D344+D893,Meldungen!C6)</f>
        <v>0</v>
      </c>
      <c r="E896" s="161">
        <f>IF(-E343+E344=-E893,-E343+E344+E893,Meldungen!D6)</f>
        <v>0</v>
      </c>
      <c r="F896" s="161">
        <f>IF(-F343+F344=-F893,-F343+F344+F893,Meldungen!E6)</f>
        <v>0</v>
      </c>
      <c r="G896" s="161">
        <f>IF(-G343+G344=-G893,-G343+G344+G893,Meldungen!F6)</f>
        <v>-1.862645149230957E-09</v>
      </c>
      <c r="H896" s="161">
        <f>IF(-H343+H344=-H893,-H343+H344+H893,Meldungen!G6)</f>
        <v>0</v>
      </c>
      <c r="I896" s="161">
        <f>IF(-I343+I344=-I893,-I343+I344+I893,Meldungen!H6)</f>
        <v>-3.725290298461914E-09</v>
      </c>
    </row>
    <row r="897" spans="2:9" ht="12.75">
      <c r="B897" s="66"/>
      <c r="C897" s="10"/>
      <c r="D897" s="145">
        <f aca="true" t="shared" si="123" ref="D897:I897">D628+D645+D671+D701+D721+D738+D781+D804+D834+D871</f>
        <v>0</v>
      </c>
      <c r="E897" s="145">
        <f t="shared" si="123"/>
        <v>0</v>
      </c>
      <c r="F897" s="145">
        <f t="shared" si="123"/>
        <v>0</v>
      </c>
      <c r="G897" s="145">
        <f t="shared" si="123"/>
        <v>0</v>
      </c>
      <c r="H897" s="145">
        <f t="shared" si="123"/>
        <v>0</v>
      </c>
      <c r="I897" s="145">
        <f t="shared" si="123"/>
        <v>0</v>
      </c>
    </row>
    <row r="898" spans="2:9" ht="12.75">
      <c r="B898" s="66"/>
      <c r="C898" s="10"/>
      <c r="D898" s="10"/>
      <c r="E898" s="10"/>
      <c r="F898" s="10"/>
      <c r="G898" s="10"/>
      <c r="H898" s="145"/>
      <c r="I898" s="10"/>
    </row>
    <row r="899" spans="2:9" ht="13.5" thickBot="1">
      <c r="B899" s="167" t="s">
        <v>953</v>
      </c>
      <c r="C899" s="10"/>
      <c r="D899" s="10"/>
      <c r="E899" s="10"/>
      <c r="F899" s="10"/>
      <c r="G899" s="10"/>
      <c r="H899" s="145"/>
      <c r="I899" s="10"/>
    </row>
    <row r="900" spans="1:10" ht="12.75">
      <c r="A900" s="11"/>
      <c r="B900" s="4"/>
      <c r="C900" s="12" t="s">
        <v>198</v>
      </c>
      <c r="D900" s="44"/>
      <c r="E900" s="44"/>
      <c r="F900" s="44"/>
      <c r="G900" s="44"/>
      <c r="H900" s="44"/>
      <c r="I900" s="44"/>
      <c r="J900" s="60"/>
    </row>
    <row r="901" spans="1:10" ht="12.75">
      <c r="A901" s="13" t="s">
        <v>20</v>
      </c>
      <c r="B901" s="5">
        <v>200</v>
      </c>
      <c r="C901" s="20" t="s">
        <v>199</v>
      </c>
      <c r="D901" s="45">
        <f aca="true" t="shared" si="124" ref="D901:I902">-D25</f>
        <v>-6181550.44</v>
      </c>
      <c r="E901" s="45">
        <f t="shared" si="124"/>
        <v>-4892078.05</v>
      </c>
      <c r="F901" s="45">
        <f t="shared" si="124"/>
        <v>-7204552.1</v>
      </c>
      <c r="G901" s="45">
        <f t="shared" si="124"/>
        <v>-18278180.59</v>
      </c>
      <c r="H901" s="45">
        <f t="shared" si="124"/>
        <v>-58805076.1</v>
      </c>
      <c r="I901" s="45">
        <f t="shared" si="124"/>
        <v>-77083256.69</v>
      </c>
      <c r="J901" s="61"/>
    </row>
    <row r="902" spans="1:10" ht="12.75">
      <c r="A902" s="13" t="s">
        <v>20</v>
      </c>
      <c r="B902" s="5">
        <v>201</v>
      </c>
      <c r="C902" s="20" t="s">
        <v>200</v>
      </c>
      <c r="D902" s="46">
        <f t="shared" si="124"/>
        <v>-100000</v>
      </c>
      <c r="E902" s="46">
        <f t="shared" si="124"/>
        <v>-5024139.8</v>
      </c>
      <c r="F902" s="46">
        <f t="shared" si="124"/>
        <v>-17251265</v>
      </c>
      <c r="G902" s="46">
        <f t="shared" si="124"/>
        <v>-22375404.8</v>
      </c>
      <c r="H902" s="46">
        <f t="shared" si="124"/>
        <v>-20425000</v>
      </c>
      <c r="I902" s="46">
        <f t="shared" si="124"/>
        <v>-42800404.8</v>
      </c>
      <c r="J902" s="61"/>
    </row>
    <row r="903" spans="1:10" ht="12.75">
      <c r="A903" s="13" t="s">
        <v>19</v>
      </c>
      <c r="B903" s="5">
        <v>2016</v>
      </c>
      <c r="C903" s="20" t="s">
        <v>201</v>
      </c>
      <c r="D903" s="46">
        <f aca="true" t="shared" si="125" ref="D903:I903">D348</f>
        <v>0</v>
      </c>
      <c r="E903" s="46">
        <f t="shared" si="125"/>
        <v>0</v>
      </c>
      <c r="F903" s="46">
        <f t="shared" si="125"/>
        <v>0</v>
      </c>
      <c r="G903" s="46">
        <f t="shared" si="125"/>
        <v>0</v>
      </c>
      <c r="H903" s="46">
        <f t="shared" si="125"/>
        <v>0</v>
      </c>
      <c r="I903" s="46">
        <f t="shared" si="125"/>
        <v>0</v>
      </c>
      <c r="J903" s="61"/>
    </row>
    <row r="904" spans="1:10" ht="13.5" thickBot="1">
      <c r="A904" s="13" t="s">
        <v>20</v>
      </c>
      <c r="B904" s="5">
        <v>206</v>
      </c>
      <c r="C904" s="20" t="s">
        <v>41</v>
      </c>
      <c r="D904" s="47">
        <f aca="true" t="shared" si="126" ref="D904:I904">-D29</f>
        <v>-24159034.8</v>
      </c>
      <c r="E904" s="47">
        <f t="shared" si="126"/>
        <v>-22520000</v>
      </c>
      <c r="F904" s="47">
        <f t="shared" si="126"/>
        <v>-24392462.25</v>
      </c>
      <c r="G904" s="47">
        <f t="shared" si="126"/>
        <v>-71071497.05</v>
      </c>
      <c r="H904" s="47">
        <f t="shared" si="126"/>
        <v>-82935209.94</v>
      </c>
      <c r="I904" s="47">
        <f t="shared" si="126"/>
        <v>-154006706.99</v>
      </c>
      <c r="J904" s="61"/>
    </row>
    <row r="905" spans="1:10" ht="12.75">
      <c r="A905" s="13" t="s">
        <v>17</v>
      </c>
      <c r="B905" s="5"/>
      <c r="C905" s="14" t="s">
        <v>332</v>
      </c>
      <c r="D905" s="48">
        <f aca="true" t="shared" si="127" ref="D905:I905">SUM(D901:D904)</f>
        <v>-30440585.240000002</v>
      </c>
      <c r="E905" s="48">
        <f t="shared" si="127"/>
        <v>-32436217.85</v>
      </c>
      <c r="F905" s="48">
        <f t="shared" si="127"/>
        <v>-48848279.35</v>
      </c>
      <c r="G905" s="48">
        <f t="shared" si="127"/>
        <v>-111725082.44</v>
      </c>
      <c r="H905" s="48">
        <f t="shared" si="127"/>
        <v>-162165286.04</v>
      </c>
      <c r="I905" s="48">
        <f t="shared" si="127"/>
        <v>-273890368.48</v>
      </c>
      <c r="J905" s="61"/>
    </row>
    <row r="906" spans="1:10" ht="13.5" thickBot="1">
      <c r="A906" s="21"/>
      <c r="B906" s="9"/>
      <c r="C906" s="22"/>
      <c r="D906" s="49"/>
      <c r="E906" s="49"/>
      <c r="F906" s="49"/>
      <c r="G906" s="49"/>
      <c r="H906" s="49"/>
      <c r="I906" s="49"/>
      <c r="J906" s="62"/>
    </row>
    <row r="907" spans="1:10" ht="12.75">
      <c r="A907" s="13"/>
      <c r="B907" s="5"/>
      <c r="C907" s="27" t="s">
        <v>202</v>
      </c>
      <c r="D907" s="45"/>
      <c r="E907" s="45"/>
      <c r="F907" s="45"/>
      <c r="G907" s="45"/>
      <c r="H907" s="45"/>
      <c r="I907" s="45"/>
      <c r="J907" s="60"/>
    </row>
    <row r="908" spans="1:10" ht="12.75">
      <c r="A908" s="13" t="s">
        <v>20</v>
      </c>
      <c r="B908" s="5">
        <v>40</v>
      </c>
      <c r="C908" s="15" t="s">
        <v>203</v>
      </c>
      <c r="D908" s="45">
        <f aca="true" t="shared" si="128" ref="D908:I908">D117</f>
        <v>21059526.4</v>
      </c>
      <c r="E908" s="45">
        <f t="shared" si="128"/>
        <v>28157267.209999997</v>
      </c>
      <c r="F908" s="45">
        <f t="shared" si="128"/>
        <v>36121013.41</v>
      </c>
      <c r="G908" s="45">
        <f t="shared" si="128"/>
        <v>85337807.02</v>
      </c>
      <c r="H908" s="45">
        <f t="shared" si="128"/>
        <v>110076004</v>
      </c>
      <c r="I908" s="45">
        <f t="shared" si="128"/>
        <v>195413811.01999998</v>
      </c>
      <c r="J908" s="61"/>
    </row>
    <row r="909" spans="1:10" ht="12.75">
      <c r="A909" s="13" t="s">
        <v>20</v>
      </c>
      <c r="B909" s="5">
        <v>41</v>
      </c>
      <c r="C909" s="20" t="s">
        <v>105</v>
      </c>
      <c r="D909" s="46">
        <f aca="true" t="shared" si="129" ref="D909:I909">D122</f>
        <v>1125800.55</v>
      </c>
      <c r="E909" s="46">
        <f t="shared" si="129"/>
        <v>599623.35</v>
      </c>
      <c r="F909" s="46">
        <f t="shared" si="129"/>
        <v>299542.1</v>
      </c>
      <c r="G909" s="46">
        <f t="shared" si="129"/>
        <v>2024966</v>
      </c>
      <c r="H909" s="46">
        <f t="shared" si="129"/>
        <v>16143638</v>
      </c>
      <c r="I909" s="46">
        <f t="shared" si="129"/>
        <v>18168604</v>
      </c>
      <c r="J909" s="61"/>
    </row>
    <row r="910" spans="1:10" ht="12.75">
      <c r="A910" s="13" t="s">
        <v>20</v>
      </c>
      <c r="B910" s="5">
        <v>42</v>
      </c>
      <c r="C910" s="20" t="s">
        <v>12</v>
      </c>
      <c r="D910" s="46">
        <f aca="true" t="shared" si="130" ref="D910:I910">D132</f>
        <v>7722533.61</v>
      </c>
      <c r="E910" s="46">
        <f t="shared" si="130"/>
        <v>5713645.430000001</v>
      </c>
      <c r="F910" s="46">
        <f t="shared" si="130"/>
        <v>8828829.7</v>
      </c>
      <c r="G910" s="46">
        <f t="shared" si="130"/>
        <v>22265008.740000006</v>
      </c>
      <c r="H910" s="46">
        <f t="shared" si="130"/>
        <v>58263121</v>
      </c>
      <c r="I910" s="46">
        <f t="shared" si="130"/>
        <v>80528129.74000001</v>
      </c>
      <c r="J910" s="61"/>
    </row>
    <row r="911" spans="1:10" ht="12.75">
      <c r="A911" s="13" t="s">
        <v>20</v>
      </c>
      <c r="B911" s="5">
        <v>43</v>
      </c>
      <c r="C911" s="20" t="s">
        <v>115</v>
      </c>
      <c r="D911" s="46">
        <f aca="true" t="shared" si="131" ref="D911:I911">D137</f>
        <v>175823.2</v>
      </c>
      <c r="E911" s="46">
        <f t="shared" si="131"/>
        <v>789</v>
      </c>
      <c r="F911" s="46">
        <f t="shared" si="131"/>
        <v>255735.5</v>
      </c>
      <c r="G911" s="46">
        <f t="shared" si="131"/>
        <v>432347.7</v>
      </c>
      <c r="H911" s="46">
        <f t="shared" si="131"/>
        <v>135589</v>
      </c>
      <c r="I911" s="46">
        <f t="shared" si="131"/>
        <v>567936.7000000001</v>
      </c>
      <c r="J911" s="61"/>
    </row>
    <row r="912" spans="1:10" ht="13.5" thickBot="1">
      <c r="A912" s="13" t="s">
        <v>20</v>
      </c>
      <c r="B912" s="5">
        <v>46</v>
      </c>
      <c r="C912" s="23" t="s">
        <v>133</v>
      </c>
      <c r="D912" s="50">
        <f aca="true" t="shared" si="132" ref="D912:I912">D157</f>
        <v>5415474.090000001</v>
      </c>
      <c r="E912" s="50">
        <f t="shared" si="132"/>
        <v>2000740.26</v>
      </c>
      <c r="F912" s="50">
        <f t="shared" si="132"/>
        <v>4527555.32</v>
      </c>
      <c r="G912" s="50">
        <f t="shared" si="132"/>
        <v>11943769.670000002</v>
      </c>
      <c r="H912" s="50">
        <f t="shared" si="132"/>
        <v>118667814</v>
      </c>
      <c r="I912" s="50">
        <f t="shared" si="132"/>
        <v>130611583.67</v>
      </c>
      <c r="J912" s="61"/>
    </row>
    <row r="913" spans="1:10" ht="12.75">
      <c r="A913" s="13" t="s">
        <v>17</v>
      </c>
      <c r="B913" s="5"/>
      <c r="C913" s="15" t="s">
        <v>204</v>
      </c>
      <c r="D913" s="51">
        <f aca="true" t="shared" si="133" ref="D913:I913">SUM(D908:D912)</f>
        <v>35499157.85</v>
      </c>
      <c r="E913" s="51">
        <f t="shared" si="133"/>
        <v>36472065.25</v>
      </c>
      <c r="F913" s="51">
        <f t="shared" si="133"/>
        <v>50032676.029999994</v>
      </c>
      <c r="G913" s="51">
        <f t="shared" si="133"/>
        <v>122003899.13000001</v>
      </c>
      <c r="H913" s="51">
        <f t="shared" si="133"/>
        <v>303286166</v>
      </c>
      <c r="I913" s="51">
        <f t="shared" si="133"/>
        <v>425290065.13</v>
      </c>
      <c r="J913" s="61" t="s">
        <v>310</v>
      </c>
    </row>
    <row r="914" spans="1:10" ht="12.75">
      <c r="A914" s="13"/>
      <c r="B914" s="5"/>
      <c r="C914" s="15"/>
      <c r="D914" s="51"/>
      <c r="E914" s="51"/>
      <c r="F914" s="51"/>
      <c r="G914" s="51"/>
      <c r="H914" s="51"/>
      <c r="I914" s="51"/>
      <c r="J914" s="61" t="s">
        <v>311</v>
      </c>
    </row>
    <row r="915" spans="1:10" ht="12.75">
      <c r="A915" s="13"/>
      <c r="B915" s="5"/>
      <c r="C915" s="14"/>
      <c r="D915" s="52"/>
      <c r="E915" s="52"/>
      <c r="F915" s="52"/>
      <c r="G915" s="52"/>
      <c r="H915" s="52"/>
      <c r="I915" s="52"/>
      <c r="J915" s="61" t="s">
        <v>312</v>
      </c>
    </row>
    <row r="916" spans="1:10" ht="12.75">
      <c r="A916" s="16"/>
      <c r="B916" s="6"/>
      <c r="C916" s="14" t="s">
        <v>292</v>
      </c>
      <c r="D916" s="74">
        <f aca="true" t="shared" si="134" ref="D916:I916">((-D905)/D913)</f>
        <v>0.8575016164784879</v>
      </c>
      <c r="E916" s="74">
        <f t="shared" si="134"/>
        <v>0.8893441494926039</v>
      </c>
      <c r="F916" s="74">
        <f t="shared" si="134"/>
        <v>0.9763275368423264</v>
      </c>
      <c r="G916" s="74">
        <f t="shared" si="134"/>
        <v>0.9157500968141393</v>
      </c>
      <c r="H916" s="74">
        <f t="shared" si="134"/>
        <v>0.5346939762494805</v>
      </c>
      <c r="I916" s="74">
        <f t="shared" si="134"/>
        <v>0.6440083861264874</v>
      </c>
      <c r="J916" s="61" t="s">
        <v>313</v>
      </c>
    </row>
    <row r="917" spans="1:10" ht="13.5" thickBot="1">
      <c r="A917" s="17"/>
      <c r="B917" s="7"/>
      <c r="C917" s="18"/>
      <c r="D917" s="53"/>
      <c r="E917" s="53"/>
      <c r="F917" s="53"/>
      <c r="G917" s="53"/>
      <c r="H917" s="53"/>
      <c r="I917" s="53"/>
      <c r="J917" s="62" t="s">
        <v>349</v>
      </c>
    </row>
    <row r="918" spans="1:10" ht="12.75">
      <c r="A918" s="19"/>
      <c r="B918" s="8"/>
      <c r="C918" s="12" t="s">
        <v>205</v>
      </c>
      <c r="D918" s="44"/>
      <c r="E918" s="44"/>
      <c r="F918" s="44"/>
      <c r="G918" s="44"/>
      <c r="H918" s="44"/>
      <c r="I918" s="44"/>
      <c r="J918" s="60"/>
    </row>
    <row r="919" spans="1:10" ht="12.75">
      <c r="A919" s="16" t="s">
        <v>20</v>
      </c>
      <c r="B919" s="6" t="s">
        <v>25</v>
      </c>
      <c r="C919" s="15" t="s">
        <v>206</v>
      </c>
      <c r="D919" s="45">
        <f aca="true" t="shared" si="135" ref="D919:I919">-D32</f>
        <v>-36417308.54</v>
      </c>
      <c r="E919" s="45">
        <f t="shared" si="135"/>
        <v>-34822128.15</v>
      </c>
      <c r="F919" s="45">
        <f t="shared" si="135"/>
        <v>-52841872.84</v>
      </c>
      <c r="G919" s="45">
        <f t="shared" si="135"/>
        <v>-124081309.52999999</v>
      </c>
      <c r="H919" s="45">
        <f t="shared" si="135"/>
        <v>-194722046.48</v>
      </c>
      <c r="I919" s="45">
        <f t="shared" si="135"/>
        <v>-318803356.01</v>
      </c>
      <c r="J919" s="61"/>
    </row>
    <row r="920" spans="1:10" ht="13.5" thickBot="1">
      <c r="A920" s="16" t="s">
        <v>19</v>
      </c>
      <c r="B920" s="6" t="s">
        <v>207</v>
      </c>
      <c r="C920" s="15" t="s">
        <v>0</v>
      </c>
      <c r="D920" s="50">
        <f aca="true" t="shared" si="136" ref="D920:I920">D14</f>
        <v>59428229.45999999</v>
      </c>
      <c r="E920" s="50">
        <f t="shared" si="136"/>
        <v>53103543.74</v>
      </c>
      <c r="F920" s="50">
        <f t="shared" si="136"/>
        <v>84386532.89</v>
      </c>
      <c r="G920" s="50">
        <f t="shared" si="136"/>
        <v>196918306.09</v>
      </c>
      <c r="H920" s="50">
        <f t="shared" si="136"/>
        <v>373964951.52</v>
      </c>
      <c r="I920" s="50">
        <f t="shared" si="136"/>
        <v>570883257.61</v>
      </c>
      <c r="J920" s="61"/>
    </row>
    <row r="921" spans="1:10" ht="12.75">
      <c r="A921" s="16" t="s">
        <v>17</v>
      </c>
      <c r="B921" s="6"/>
      <c r="C921" s="14" t="s">
        <v>214</v>
      </c>
      <c r="D921" s="48">
        <f aca="true" t="shared" si="137" ref="D921:I921">SUM(D919:D920)</f>
        <v>23010920.919999994</v>
      </c>
      <c r="E921" s="48">
        <f t="shared" si="137"/>
        <v>18281415.590000004</v>
      </c>
      <c r="F921" s="48">
        <f t="shared" si="137"/>
        <v>31544660.049999997</v>
      </c>
      <c r="G921" s="48">
        <f t="shared" si="137"/>
        <v>72836996.56000002</v>
      </c>
      <c r="H921" s="48">
        <f t="shared" si="137"/>
        <v>179242905.04</v>
      </c>
      <c r="I921" s="48">
        <f t="shared" si="137"/>
        <v>252079901.60000002</v>
      </c>
      <c r="J921" s="61"/>
    </row>
    <row r="922" spans="1:10" ht="13.5" thickBot="1">
      <c r="A922" s="17"/>
      <c r="B922" s="7"/>
      <c r="C922" s="18"/>
      <c r="D922" s="50"/>
      <c r="E922" s="50"/>
      <c r="F922" s="50"/>
      <c r="G922" s="50"/>
      <c r="H922" s="50"/>
      <c r="I922" s="50"/>
      <c r="J922" s="62"/>
    </row>
    <row r="923" spans="1:10" ht="12.75">
      <c r="A923" s="19"/>
      <c r="B923" s="8"/>
      <c r="C923" s="12" t="s">
        <v>210</v>
      </c>
      <c r="D923" s="54"/>
      <c r="E923" s="54"/>
      <c r="F923" s="54"/>
      <c r="G923" s="54"/>
      <c r="H923" s="54"/>
      <c r="I923" s="54"/>
      <c r="J923" s="60"/>
    </row>
    <row r="924" spans="1:10" ht="12.75">
      <c r="A924" s="16" t="s">
        <v>20</v>
      </c>
      <c r="B924" s="6" t="s">
        <v>208</v>
      </c>
      <c r="C924" s="15" t="s">
        <v>1</v>
      </c>
      <c r="D924" s="45">
        <f aca="true" t="shared" si="138" ref="D924:I924">-D21</f>
        <v>-37330152.3</v>
      </c>
      <c r="E924" s="45">
        <f t="shared" si="138"/>
        <v>-37801259</v>
      </c>
      <c r="F924" s="45">
        <f t="shared" si="138"/>
        <v>-60634948.99</v>
      </c>
      <c r="G924" s="45">
        <f t="shared" si="138"/>
        <v>-135766360.29</v>
      </c>
      <c r="H924" s="45">
        <f t="shared" si="138"/>
        <v>-199271970.89</v>
      </c>
      <c r="I924" s="45">
        <f t="shared" si="138"/>
        <v>-335038331.18</v>
      </c>
      <c r="J924" s="61"/>
    </row>
    <row r="925" spans="1:10" ht="12.75">
      <c r="A925" s="16" t="s">
        <v>19</v>
      </c>
      <c r="B925" s="6" t="s">
        <v>211</v>
      </c>
      <c r="C925" s="15" t="s">
        <v>35</v>
      </c>
      <c r="D925" s="45">
        <f aca="true" t="shared" si="139" ref="D925:I926">D17</f>
        <v>17409</v>
      </c>
      <c r="E925" s="45">
        <f t="shared" si="139"/>
        <v>31001</v>
      </c>
      <c r="F925" s="45">
        <f t="shared" si="139"/>
        <v>3224000</v>
      </c>
      <c r="G925" s="45">
        <f t="shared" si="139"/>
        <v>3272410</v>
      </c>
      <c r="H925" s="45">
        <f t="shared" si="139"/>
        <v>28436436.3</v>
      </c>
      <c r="I925" s="45">
        <f t="shared" si="139"/>
        <v>31708846.3</v>
      </c>
      <c r="J925" s="61"/>
    </row>
    <row r="926" spans="1:10" ht="12.75">
      <c r="A926" s="16" t="s">
        <v>19</v>
      </c>
      <c r="B926" s="6" t="s">
        <v>212</v>
      </c>
      <c r="C926" s="15" t="s">
        <v>213</v>
      </c>
      <c r="D926" s="45">
        <f t="shared" si="139"/>
        <v>8230969.5</v>
      </c>
      <c r="E926" s="45">
        <f t="shared" si="139"/>
        <v>13283257</v>
      </c>
      <c r="F926" s="45">
        <f t="shared" si="139"/>
        <v>5191445.8</v>
      </c>
      <c r="G926" s="45">
        <f t="shared" si="139"/>
        <v>26705672.3</v>
      </c>
      <c r="H926" s="45">
        <f t="shared" si="139"/>
        <v>79744927.6</v>
      </c>
      <c r="I926" s="45">
        <f t="shared" si="139"/>
        <v>106450599.89999999</v>
      </c>
      <c r="J926" s="61"/>
    </row>
    <row r="927" spans="1:10" ht="13.5" thickBot="1">
      <c r="A927" s="16" t="s">
        <v>19</v>
      </c>
      <c r="B927" s="6" t="s">
        <v>209</v>
      </c>
      <c r="C927" s="15" t="s">
        <v>18</v>
      </c>
      <c r="D927" s="50">
        <f aca="true" t="shared" si="140" ref="D927:I927">D41</f>
        <v>60341073.22</v>
      </c>
      <c r="E927" s="50">
        <f t="shared" si="140"/>
        <v>56082674.589999996</v>
      </c>
      <c r="F927" s="50">
        <f t="shared" si="140"/>
        <v>92179609.04</v>
      </c>
      <c r="G927" s="50">
        <f t="shared" si="140"/>
        <v>208603356.85000002</v>
      </c>
      <c r="H927" s="50">
        <f t="shared" si="140"/>
        <v>378514875.93</v>
      </c>
      <c r="I927" s="50">
        <f t="shared" si="140"/>
        <v>587118232.78</v>
      </c>
      <c r="J927" s="61"/>
    </row>
    <row r="928" spans="1:10" ht="12.75">
      <c r="A928" s="16" t="s">
        <v>17</v>
      </c>
      <c r="B928" s="6"/>
      <c r="C928" s="14" t="s">
        <v>215</v>
      </c>
      <c r="D928" s="48">
        <f aca="true" t="shared" si="141" ref="D928:I928">SUM(D924:D927)</f>
        <v>31259299.42</v>
      </c>
      <c r="E928" s="48">
        <f t="shared" si="141"/>
        <v>31595673.589999996</v>
      </c>
      <c r="F928" s="48">
        <f t="shared" si="141"/>
        <v>39960105.85</v>
      </c>
      <c r="G928" s="48">
        <f t="shared" si="141"/>
        <v>102815078.86000003</v>
      </c>
      <c r="H928" s="48">
        <f t="shared" si="141"/>
        <v>287424268.94000006</v>
      </c>
      <c r="I928" s="48">
        <f t="shared" si="141"/>
        <v>390239347.79999995</v>
      </c>
      <c r="J928" s="61"/>
    </row>
    <row r="929" spans="1:10" ht="12.75">
      <c r="A929" s="16"/>
      <c r="B929" s="6"/>
      <c r="C929" s="15"/>
      <c r="D929" s="45"/>
      <c r="E929" s="45"/>
      <c r="F929" s="45"/>
      <c r="G929" s="45"/>
      <c r="H929" s="45"/>
      <c r="I929" s="45"/>
      <c r="J929" s="61"/>
    </row>
    <row r="930" spans="1:10" ht="12.75">
      <c r="A930" s="16"/>
      <c r="B930" s="6"/>
      <c r="C930" s="15" t="s">
        <v>6</v>
      </c>
      <c r="D930" s="45"/>
      <c r="E930" s="45"/>
      <c r="F930" s="45"/>
      <c r="G930" s="45"/>
      <c r="H930" s="45"/>
      <c r="I930" s="45"/>
      <c r="J930" s="61"/>
    </row>
    <row r="931" spans="1:10" ht="12.75">
      <c r="A931" s="16" t="s">
        <v>20</v>
      </c>
      <c r="B931" s="6" t="s">
        <v>25</v>
      </c>
      <c r="C931" s="15" t="s">
        <v>5</v>
      </c>
      <c r="D931" s="45">
        <f aca="true" t="shared" si="142" ref="D931:I931">-D32</f>
        <v>-36417308.54</v>
      </c>
      <c r="E931" s="45">
        <f t="shared" si="142"/>
        <v>-34822128.15</v>
      </c>
      <c r="F931" s="45">
        <f t="shared" si="142"/>
        <v>-52841872.84</v>
      </c>
      <c r="G931" s="45">
        <f t="shared" si="142"/>
        <v>-124081309.52999999</v>
      </c>
      <c r="H931" s="45">
        <f t="shared" si="142"/>
        <v>-194722046.48</v>
      </c>
      <c r="I931" s="45">
        <f t="shared" si="142"/>
        <v>-318803356.01</v>
      </c>
      <c r="J931" s="61"/>
    </row>
    <row r="932" spans="1:10" ht="12.75">
      <c r="A932" s="16" t="s">
        <v>19</v>
      </c>
      <c r="B932" s="6" t="s">
        <v>207</v>
      </c>
      <c r="C932" s="15" t="s">
        <v>0</v>
      </c>
      <c r="D932" s="45">
        <f aca="true" t="shared" si="143" ref="D932:I932">D14</f>
        <v>59428229.45999999</v>
      </c>
      <c r="E932" s="45">
        <f t="shared" si="143"/>
        <v>53103543.74</v>
      </c>
      <c r="F932" s="45">
        <f t="shared" si="143"/>
        <v>84386532.89</v>
      </c>
      <c r="G932" s="45">
        <f t="shared" si="143"/>
        <v>196918306.09</v>
      </c>
      <c r="H932" s="45">
        <f t="shared" si="143"/>
        <v>373964951.52</v>
      </c>
      <c r="I932" s="45">
        <f t="shared" si="143"/>
        <v>570883257.61</v>
      </c>
      <c r="J932" s="61"/>
    </row>
    <row r="933" spans="1:10" ht="12.75">
      <c r="A933" s="16" t="s">
        <v>19</v>
      </c>
      <c r="B933" s="6" t="s">
        <v>211</v>
      </c>
      <c r="C933" s="15" t="s">
        <v>35</v>
      </c>
      <c r="D933" s="45">
        <f aca="true" t="shared" si="144" ref="D933:I934">D17</f>
        <v>17409</v>
      </c>
      <c r="E933" s="45">
        <f t="shared" si="144"/>
        <v>31001</v>
      </c>
      <c r="F933" s="45">
        <f t="shared" si="144"/>
        <v>3224000</v>
      </c>
      <c r="G933" s="45">
        <f t="shared" si="144"/>
        <v>3272410</v>
      </c>
      <c r="H933" s="45">
        <f t="shared" si="144"/>
        <v>28436436.3</v>
      </c>
      <c r="I933" s="45">
        <f t="shared" si="144"/>
        <v>31708846.3</v>
      </c>
      <c r="J933" s="61"/>
    </row>
    <row r="934" spans="1:10" ht="13.5" thickBot="1">
      <c r="A934" s="16" t="s">
        <v>19</v>
      </c>
      <c r="B934" s="6" t="s">
        <v>212</v>
      </c>
      <c r="C934" s="15" t="s">
        <v>213</v>
      </c>
      <c r="D934" s="50">
        <f t="shared" si="144"/>
        <v>8230969.5</v>
      </c>
      <c r="E934" s="50">
        <f t="shared" si="144"/>
        <v>13283257</v>
      </c>
      <c r="F934" s="50">
        <f t="shared" si="144"/>
        <v>5191445.8</v>
      </c>
      <c r="G934" s="50">
        <f t="shared" si="144"/>
        <v>26705672.3</v>
      </c>
      <c r="H934" s="50">
        <f t="shared" si="144"/>
        <v>79744927.6</v>
      </c>
      <c r="I934" s="50">
        <f t="shared" si="144"/>
        <v>106450599.89999999</v>
      </c>
      <c r="J934" s="61"/>
    </row>
    <row r="935" spans="1:10" ht="12.75">
      <c r="A935" s="16" t="s">
        <v>17</v>
      </c>
      <c r="B935" s="6"/>
      <c r="C935" s="14" t="s">
        <v>215</v>
      </c>
      <c r="D935" s="48">
        <f aca="true" t="shared" si="145" ref="D935:I935">SUM(D931:D934)</f>
        <v>31259299.419999994</v>
      </c>
      <c r="E935" s="48">
        <f t="shared" si="145"/>
        <v>31595673.590000004</v>
      </c>
      <c r="F935" s="48">
        <f t="shared" si="145"/>
        <v>39960105.849999994</v>
      </c>
      <c r="G935" s="48">
        <f t="shared" si="145"/>
        <v>102815078.86000001</v>
      </c>
      <c r="H935" s="48">
        <f t="shared" si="145"/>
        <v>287424268.94</v>
      </c>
      <c r="I935" s="48">
        <f t="shared" si="145"/>
        <v>390239347.8</v>
      </c>
      <c r="J935" s="61"/>
    </row>
    <row r="936" spans="1:10" ht="13.5" thickBot="1">
      <c r="A936" s="17"/>
      <c r="B936" s="7"/>
      <c r="C936" s="18"/>
      <c r="D936" s="50"/>
      <c r="E936" s="50"/>
      <c r="F936" s="50"/>
      <c r="G936" s="50"/>
      <c r="H936" s="50"/>
      <c r="I936" s="50"/>
      <c r="J936" s="62"/>
    </row>
    <row r="937" spans="1:10" ht="12.75">
      <c r="A937" s="19"/>
      <c r="B937" s="8"/>
      <c r="C937" s="12" t="s">
        <v>216</v>
      </c>
      <c r="D937" s="54"/>
      <c r="E937" s="54"/>
      <c r="F937" s="54"/>
      <c r="G937" s="54"/>
      <c r="H937" s="54"/>
      <c r="I937" s="54"/>
      <c r="J937" s="60"/>
    </row>
    <row r="938" spans="1:10" ht="12.75">
      <c r="A938" s="28"/>
      <c r="B938" s="29"/>
      <c r="C938" s="30"/>
      <c r="D938" s="51"/>
      <c r="E938" s="51"/>
      <c r="F938" s="51"/>
      <c r="G938" s="51"/>
      <c r="H938" s="51"/>
      <c r="I938" s="51"/>
      <c r="J938" s="64" t="s">
        <v>315</v>
      </c>
    </row>
    <row r="939" spans="1:10" ht="12.75">
      <c r="A939" s="28"/>
      <c r="B939" s="29"/>
      <c r="C939" s="31" t="s">
        <v>363</v>
      </c>
      <c r="D939" s="168">
        <f>D921/'2011'!D351</f>
        <v>2320.3510053443574</v>
      </c>
      <c r="E939" s="168">
        <f>E921/'2011'!E351</f>
        <v>1513.3622177152322</v>
      </c>
      <c r="F939" s="168">
        <f>F921/'2011'!F351</f>
        <v>1917.4919488177009</v>
      </c>
      <c r="G939" s="168">
        <f>G921/'2011'!G351</f>
        <v>1894.4287494798173</v>
      </c>
      <c r="H939" s="168">
        <f>H921/'2011'!H351</f>
        <v>4661.956539741989</v>
      </c>
      <c r="I939" s="168">
        <f>I921/'2011'!I351</f>
        <v>6556.3852892218065</v>
      </c>
      <c r="J939" s="61" t="s">
        <v>314</v>
      </c>
    </row>
    <row r="940" spans="1:10" ht="13.5" thickBot="1">
      <c r="A940" s="32"/>
      <c r="B940" s="33"/>
      <c r="C940" s="34"/>
      <c r="D940" s="56"/>
      <c r="E940" s="56"/>
      <c r="F940" s="56"/>
      <c r="G940" s="56"/>
      <c r="H940" s="56"/>
      <c r="I940" s="56"/>
      <c r="J940" s="61" t="s">
        <v>316</v>
      </c>
    </row>
    <row r="941" spans="1:10" ht="12.75">
      <c r="A941" s="19"/>
      <c r="B941" s="8"/>
      <c r="C941" s="12" t="s">
        <v>217</v>
      </c>
      <c r="D941" s="54"/>
      <c r="E941" s="54"/>
      <c r="F941" s="54"/>
      <c r="G941" s="54"/>
      <c r="H941" s="54"/>
      <c r="I941" s="54"/>
      <c r="J941" s="63" t="s">
        <v>350</v>
      </c>
    </row>
    <row r="942" spans="1:10" ht="12.75">
      <c r="A942" s="28"/>
      <c r="B942" s="29"/>
      <c r="C942" s="30"/>
      <c r="D942" s="51"/>
      <c r="E942" s="51"/>
      <c r="F942" s="51"/>
      <c r="G942" s="51"/>
      <c r="H942" s="51"/>
      <c r="I942" s="51"/>
      <c r="J942" s="61" t="s">
        <v>351</v>
      </c>
    </row>
    <row r="943" spans="1:10" ht="12.75">
      <c r="A943" s="28"/>
      <c r="B943" s="29"/>
      <c r="C943" s="31" t="s">
        <v>364</v>
      </c>
      <c r="D943" s="75">
        <f>D928/'2011'!D351</f>
        <v>3152.0923081577093</v>
      </c>
      <c r="E943" s="75">
        <f>E928/'2011'!E351</f>
        <v>2615.53589321192</v>
      </c>
      <c r="F943" s="75">
        <f>F928/'2011'!F351</f>
        <v>2429.038104066622</v>
      </c>
      <c r="G943" s="75">
        <f>G928/'2011'!G351</f>
        <v>2674.1333452975455</v>
      </c>
      <c r="H943" s="75">
        <f>H928/'2011'!H351</f>
        <v>7475.6624256138175</v>
      </c>
      <c r="I943" s="75">
        <f>I928/'2011'!I351</f>
        <v>10149.79577091136</v>
      </c>
      <c r="J943" s="61" t="s">
        <v>317</v>
      </c>
    </row>
    <row r="944" spans="1:10" ht="13.5" thickBot="1">
      <c r="A944" s="32"/>
      <c r="B944" s="33"/>
      <c r="C944" s="34"/>
      <c r="D944" s="56"/>
      <c r="E944" s="56"/>
      <c r="F944" s="56"/>
      <c r="G944" s="56"/>
      <c r="H944" s="56"/>
      <c r="I944" s="56"/>
      <c r="J944" s="62"/>
    </row>
    <row r="945" spans="1:10" ht="12.75">
      <c r="A945" s="19"/>
      <c r="B945" s="8"/>
      <c r="C945" s="12" t="s">
        <v>358</v>
      </c>
      <c r="D945" s="54"/>
      <c r="E945" s="54"/>
      <c r="F945" s="54"/>
      <c r="G945" s="54"/>
      <c r="H945" s="54"/>
      <c r="I945" s="54"/>
      <c r="J945" s="60" t="s">
        <v>318</v>
      </c>
    </row>
    <row r="946" spans="1:10" ht="12.75">
      <c r="A946" s="28"/>
      <c r="B946" s="29"/>
      <c r="C946" s="30"/>
      <c r="D946" s="51"/>
      <c r="E946" s="51"/>
      <c r="F946" s="51"/>
      <c r="G946" s="51"/>
      <c r="H946" s="51"/>
      <c r="I946" s="51"/>
      <c r="J946" s="61" t="s">
        <v>319</v>
      </c>
    </row>
    <row r="947" spans="1:10" ht="12.75">
      <c r="A947" s="28"/>
      <c r="B947" s="29"/>
      <c r="C947" s="30" t="s">
        <v>365</v>
      </c>
      <c r="D947" s="76">
        <f aca="true" t="shared" si="146" ref="D947:I947">-(D921/D908)</f>
        <v>-1.0926608928869357</v>
      </c>
      <c r="E947" s="76">
        <f t="shared" si="146"/>
        <v>-0.649261004402707</v>
      </c>
      <c r="F947" s="76">
        <f t="shared" si="146"/>
        <v>-0.8733049566451796</v>
      </c>
      <c r="G947" s="76">
        <f t="shared" si="146"/>
        <v>-0.8535138071093126</v>
      </c>
      <c r="H947" s="76">
        <f t="shared" si="146"/>
        <v>-1.628355849836264</v>
      </c>
      <c r="I947" s="76">
        <f t="shared" si="146"/>
        <v>-1.2899799675581807</v>
      </c>
      <c r="J947" s="61" t="s">
        <v>320</v>
      </c>
    </row>
    <row r="948" spans="1:10" ht="13.5" thickBot="1">
      <c r="A948" s="32"/>
      <c r="B948" s="33"/>
      <c r="C948" s="34"/>
      <c r="D948" s="56"/>
      <c r="E948" s="56"/>
      <c r="F948" s="56"/>
      <c r="G948" s="56"/>
      <c r="H948" s="56"/>
      <c r="I948" s="56"/>
      <c r="J948" s="62" t="s">
        <v>321</v>
      </c>
    </row>
    <row r="949" spans="1:10" ht="12.75">
      <c r="A949" s="19"/>
      <c r="B949" s="8"/>
      <c r="C949" s="12" t="s">
        <v>218</v>
      </c>
      <c r="D949" s="54"/>
      <c r="E949" s="54"/>
      <c r="F949" s="54"/>
      <c r="G949" s="54"/>
      <c r="H949" s="54"/>
      <c r="I949" s="54"/>
      <c r="J949" s="60"/>
    </row>
    <row r="950" spans="1:10" ht="12.75">
      <c r="A950" s="28"/>
      <c r="B950" s="29"/>
      <c r="C950" s="30"/>
      <c r="D950" s="51"/>
      <c r="E950" s="51"/>
      <c r="F950" s="51"/>
      <c r="G950" s="51"/>
      <c r="H950" s="51"/>
      <c r="I950" s="51"/>
      <c r="J950" s="61"/>
    </row>
    <row r="951" spans="1:10" ht="12.75">
      <c r="A951" s="28" t="s">
        <v>20</v>
      </c>
      <c r="B951" s="29" t="s">
        <v>209</v>
      </c>
      <c r="C951" s="31" t="s">
        <v>18</v>
      </c>
      <c r="D951" s="55">
        <f aca="true" t="shared" si="147" ref="D951:I951">D41</f>
        <v>60341073.22</v>
      </c>
      <c r="E951" s="55">
        <f t="shared" si="147"/>
        <v>56082674.589999996</v>
      </c>
      <c r="F951" s="55">
        <f t="shared" si="147"/>
        <v>92179609.04</v>
      </c>
      <c r="G951" s="55">
        <f t="shared" si="147"/>
        <v>208603356.85000002</v>
      </c>
      <c r="H951" s="55">
        <f t="shared" si="147"/>
        <v>378514875.93</v>
      </c>
      <c r="I951" s="55">
        <f t="shared" si="147"/>
        <v>587118232.78</v>
      </c>
      <c r="J951" s="61"/>
    </row>
    <row r="952" spans="1:10" ht="13.5" thickBot="1">
      <c r="A952" s="32"/>
      <c r="B952" s="33"/>
      <c r="C952" s="34"/>
      <c r="D952" s="56"/>
      <c r="E952" s="56"/>
      <c r="F952" s="56"/>
      <c r="G952" s="56"/>
      <c r="H952" s="56"/>
      <c r="I952" s="56"/>
      <c r="J952" s="62"/>
    </row>
    <row r="953" spans="1:10" ht="12.75">
      <c r="A953" s="19"/>
      <c r="B953" s="8"/>
      <c r="C953" s="12" t="s">
        <v>219</v>
      </c>
      <c r="D953" s="54"/>
      <c r="E953" s="54"/>
      <c r="F953" s="54"/>
      <c r="G953" s="54"/>
      <c r="H953" s="54"/>
      <c r="I953" s="54"/>
      <c r="J953" s="60"/>
    </row>
    <row r="954" spans="1:10" ht="12.75">
      <c r="A954" s="28" t="s">
        <v>20</v>
      </c>
      <c r="B954" s="29" t="s">
        <v>220</v>
      </c>
      <c r="C954" s="30" t="s">
        <v>226</v>
      </c>
      <c r="D954" s="51">
        <f aca="true" t="shared" si="148" ref="D954:I954">D110</f>
        <v>47890654.79000001</v>
      </c>
      <c r="E954" s="51">
        <f t="shared" si="148"/>
        <v>48263316.620000005</v>
      </c>
      <c r="F954" s="51">
        <f t="shared" si="148"/>
        <v>66392069.62</v>
      </c>
      <c r="G954" s="51">
        <f t="shared" si="148"/>
        <v>162546041.03</v>
      </c>
      <c r="H954" s="51">
        <f t="shared" si="148"/>
        <v>362583762</v>
      </c>
      <c r="I954" s="51">
        <f t="shared" si="148"/>
        <v>525129803.03</v>
      </c>
      <c r="J954" s="61"/>
    </row>
    <row r="955" spans="1:10" ht="12.75">
      <c r="A955" s="28" t="s">
        <v>19</v>
      </c>
      <c r="B955" s="29" t="s">
        <v>222</v>
      </c>
      <c r="C955" s="30" t="s">
        <v>9</v>
      </c>
      <c r="D955" s="51">
        <f aca="true" t="shared" si="149" ref="D955:I955">-D92</f>
        <v>0</v>
      </c>
      <c r="E955" s="51">
        <f t="shared" si="149"/>
        <v>0</v>
      </c>
      <c r="F955" s="51">
        <f t="shared" si="149"/>
        <v>0</v>
      </c>
      <c r="G955" s="51">
        <f t="shared" si="149"/>
        <v>0</v>
      </c>
      <c r="H955" s="51">
        <f t="shared" si="149"/>
        <v>-28430592</v>
      </c>
      <c r="I955" s="51">
        <f t="shared" si="149"/>
        <v>-28430592</v>
      </c>
      <c r="J955" s="61"/>
    </row>
    <row r="956" spans="1:10" ht="12.75">
      <c r="A956" s="28" t="s">
        <v>19</v>
      </c>
      <c r="B956" s="29" t="s">
        <v>223</v>
      </c>
      <c r="C956" s="30" t="s">
        <v>224</v>
      </c>
      <c r="D956" s="51">
        <f aca="true" t="shared" si="150" ref="D956:I956">-D100</f>
        <v>-1060893.53</v>
      </c>
      <c r="E956" s="51">
        <f t="shared" si="150"/>
        <v>-2005225</v>
      </c>
      <c r="F956" s="51">
        <f t="shared" si="150"/>
        <v>-372772.3</v>
      </c>
      <c r="G956" s="51">
        <f t="shared" si="150"/>
        <v>-3438890.8299999996</v>
      </c>
      <c r="H956" s="51">
        <f t="shared" si="150"/>
        <v>-12901113</v>
      </c>
      <c r="I956" s="51">
        <f t="shared" si="150"/>
        <v>-16340003.830000002</v>
      </c>
      <c r="J956" s="61"/>
    </row>
    <row r="957" spans="1:10" ht="13.5" thickBot="1">
      <c r="A957" s="28" t="s">
        <v>19</v>
      </c>
      <c r="B957" s="29" t="s">
        <v>225</v>
      </c>
      <c r="C957" s="30" t="s">
        <v>10</v>
      </c>
      <c r="D957" s="50">
        <f aca="true" t="shared" si="151" ref="D957:I957">-D109</f>
        <v>-5937643.01</v>
      </c>
      <c r="E957" s="50">
        <f t="shared" si="151"/>
        <v>-4636688.75</v>
      </c>
      <c r="F957" s="50">
        <f t="shared" si="151"/>
        <v>-6493096.64</v>
      </c>
      <c r="G957" s="50">
        <f t="shared" si="151"/>
        <v>-17067428.4</v>
      </c>
      <c r="H957" s="50">
        <f t="shared" si="151"/>
        <v>-10680140</v>
      </c>
      <c r="I957" s="50">
        <f t="shared" si="151"/>
        <v>-27747568.400000002</v>
      </c>
      <c r="J957" s="61"/>
    </row>
    <row r="958" spans="1:10" ht="12.75">
      <c r="A958" s="28" t="s">
        <v>17</v>
      </c>
      <c r="B958" s="29"/>
      <c r="C958" s="30" t="s">
        <v>221</v>
      </c>
      <c r="D958" s="51">
        <f aca="true" t="shared" si="152" ref="D958:I958">SUM(D954:D957)</f>
        <v>40892118.25000001</v>
      </c>
      <c r="E958" s="51">
        <f t="shared" si="152"/>
        <v>41621402.870000005</v>
      </c>
      <c r="F958" s="51">
        <f t="shared" si="152"/>
        <v>59526200.68</v>
      </c>
      <c r="G958" s="51">
        <f t="shared" si="152"/>
        <v>142039721.79999998</v>
      </c>
      <c r="H958" s="51">
        <f t="shared" si="152"/>
        <v>310571917</v>
      </c>
      <c r="I958" s="51">
        <f t="shared" si="152"/>
        <v>452611638.8</v>
      </c>
      <c r="J958" s="61"/>
    </row>
    <row r="959" spans="1:10" ht="12.75">
      <c r="A959" s="28"/>
      <c r="B959" s="29"/>
      <c r="C959" s="30"/>
      <c r="D959" s="51"/>
      <c r="E959" s="51"/>
      <c r="F959" s="51"/>
      <c r="G959" s="51"/>
      <c r="H959" s="51"/>
      <c r="I959" s="51"/>
      <c r="J959" s="61"/>
    </row>
    <row r="960" spans="1:10" ht="12.75">
      <c r="A960" s="28" t="s">
        <v>17</v>
      </c>
      <c r="B960" s="29" t="s">
        <v>227</v>
      </c>
      <c r="C960" s="30" t="s">
        <v>228</v>
      </c>
      <c r="D960" s="51">
        <f aca="true" t="shared" si="153" ref="D960:I960">D40</f>
        <v>22995832.26</v>
      </c>
      <c r="E960" s="51">
        <f t="shared" si="153"/>
        <v>3514457.15</v>
      </c>
      <c r="F960" s="51">
        <f t="shared" si="153"/>
        <v>472270.26</v>
      </c>
      <c r="G960" s="51">
        <f t="shared" si="153"/>
        <v>26982559.67</v>
      </c>
      <c r="H960" s="51">
        <f t="shared" si="153"/>
        <v>51349462.54</v>
      </c>
      <c r="I960" s="51">
        <f t="shared" si="153"/>
        <v>78332022.21000001</v>
      </c>
      <c r="J960" s="61"/>
    </row>
    <row r="961" spans="1:10" ht="12.75">
      <c r="A961" s="28"/>
      <c r="B961" s="29"/>
      <c r="C961" s="30"/>
      <c r="D961" s="51"/>
      <c r="E961" s="51"/>
      <c r="F961" s="51"/>
      <c r="G961" s="51"/>
      <c r="H961" s="51"/>
      <c r="I961" s="51"/>
      <c r="J961" s="61"/>
    </row>
    <row r="962" spans="1:10" ht="12.75">
      <c r="A962" s="28"/>
      <c r="B962" s="29"/>
      <c r="C962" s="30" t="s">
        <v>229</v>
      </c>
      <c r="D962" s="76">
        <f aca="true" t="shared" si="154" ref="D962:I962">(D960+D39)/D958</f>
        <v>0.5623536574801917</v>
      </c>
      <c r="E962" s="76">
        <f t="shared" si="154"/>
        <v>0.7838546589095302</v>
      </c>
      <c r="F962" s="76">
        <f t="shared" si="154"/>
        <v>0.8167017576234129</v>
      </c>
      <c r="G962" s="76">
        <f t="shared" si="154"/>
        <v>0.733851870512464</v>
      </c>
      <c r="H962" s="76">
        <f t="shared" si="154"/>
        <v>0.299842197290491</v>
      </c>
      <c r="I962" s="76">
        <f t="shared" si="154"/>
        <v>0.436044203510217</v>
      </c>
      <c r="J962" s="61" t="s">
        <v>342</v>
      </c>
    </row>
    <row r="963" spans="1:10" ht="13.5" thickBot="1">
      <c r="A963" s="32"/>
      <c r="B963" s="33"/>
      <c r="C963" s="34"/>
      <c r="D963" s="56"/>
      <c r="E963" s="56"/>
      <c r="F963" s="56"/>
      <c r="G963" s="56"/>
      <c r="H963" s="56"/>
      <c r="I963" s="56"/>
      <c r="J963" s="62"/>
    </row>
    <row r="964" spans="1:10" ht="12.75">
      <c r="A964" s="19"/>
      <c r="B964" s="8"/>
      <c r="C964" s="12" t="s">
        <v>231</v>
      </c>
      <c r="D964" s="54"/>
      <c r="E964" s="54"/>
      <c r="F964" s="54"/>
      <c r="G964" s="54"/>
      <c r="H964" s="54"/>
      <c r="I964" s="54"/>
      <c r="J964" s="60"/>
    </row>
    <row r="965" spans="1:10" ht="12.75">
      <c r="A965" s="28" t="s">
        <v>20</v>
      </c>
      <c r="B965" s="29" t="s">
        <v>232</v>
      </c>
      <c r="C965" s="30" t="s">
        <v>143</v>
      </c>
      <c r="D965" s="51">
        <f aca="true" t="shared" si="155" ref="D965:I966">D181</f>
        <v>637558.6</v>
      </c>
      <c r="E965" s="51">
        <f t="shared" si="155"/>
        <v>3514457.15</v>
      </c>
      <c r="F965" s="51">
        <f t="shared" si="155"/>
        <v>472270.26</v>
      </c>
      <c r="G965" s="51">
        <f t="shared" si="155"/>
        <v>4624286.01</v>
      </c>
      <c r="H965" s="51">
        <f t="shared" si="155"/>
        <v>8102268</v>
      </c>
      <c r="I965" s="51">
        <f t="shared" si="155"/>
        <v>12726554.01</v>
      </c>
      <c r="J965" s="61"/>
    </row>
    <row r="966" spans="1:10" ht="12.75">
      <c r="A966" s="28" t="s">
        <v>19</v>
      </c>
      <c r="B966" s="29" t="s">
        <v>233</v>
      </c>
      <c r="C966" s="30" t="s">
        <v>234</v>
      </c>
      <c r="D966" s="51">
        <f t="shared" si="155"/>
        <v>0</v>
      </c>
      <c r="E966" s="51">
        <f t="shared" si="155"/>
        <v>0</v>
      </c>
      <c r="F966" s="51">
        <f t="shared" si="155"/>
        <v>0</v>
      </c>
      <c r="G966" s="51">
        <f t="shared" si="155"/>
        <v>0</v>
      </c>
      <c r="H966" s="51">
        <f t="shared" si="155"/>
        <v>0</v>
      </c>
      <c r="I966" s="51">
        <f t="shared" si="155"/>
        <v>0</v>
      </c>
      <c r="J966" s="61"/>
    </row>
    <row r="967" spans="1:10" ht="12.75">
      <c r="A967" s="28" t="s">
        <v>20</v>
      </c>
      <c r="B967" s="29" t="s">
        <v>235</v>
      </c>
      <c r="C967" s="30" t="s">
        <v>236</v>
      </c>
      <c r="D967" s="51">
        <f aca="true" t="shared" si="156" ref="D967:I967">D71</f>
        <v>3684268</v>
      </c>
      <c r="E967" s="51">
        <f t="shared" si="156"/>
        <v>3242020.98</v>
      </c>
      <c r="F967" s="51">
        <f t="shared" si="156"/>
        <v>6232616.07</v>
      </c>
      <c r="G967" s="51">
        <f t="shared" si="156"/>
        <v>13158905.05</v>
      </c>
      <c r="H967" s="51">
        <f t="shared" si="156"/>
        <v>9019009</v>
      </c>
      <c r="I967" s="51">
        <f t="shared" si="156"/>
        <v>22177914.05</v>
      </c>
      <c r="J967" s="61"/>
    </row>
    <row r="968" spans="1:10" ht="12.75">
      <c r="A968" s="28" t="s">
        <v>20</v>
      </c>
      <c r="B968" s="29" t="s">
        <v>237</v>
      </c>
      <c r="C968" s="30" t="s">
        <v>85</v>
      </c>
      <c r="D968" s="51">
        <f aca="true" t="shared" si="157" ref="D968:I968">D88</f>
        <v>22355</v>
      </c>
      <c r="E968" s="51">
        <f t="shared" si="157"/>
        <v>281462.85</v>
      </c>
      <c r="F968" s="51">
        <f t="shared" si="157"/>
        <v>1363914.75</v>
      </c>
      <c r="G968" s="51">
        <f t="shared" si="157"/>
        <v>1667732.6</v>
      </c>
      <c r="H968" s="51">
        <f t="shared" si="157"/>
        <v>4981496</v>
      </c>
      <c r="I968" s="51">
        <f t="shared" si="157"/>
        <v>6649228.6</v>
      </c>
      <c r="J968" s="61"/>
    </row>
    <row r="969" spans="1:10" ht="12.75">
      <c r="A969" s="28" t="s">
        <v>19</v>
      </c>
      <c r="B969" s="29" t="s">
        <v>238</v>
      </c>
      <c r="C969" s="30" t="s">
        <v>239</v>
      </c>
      <c r="D969" s="51">
        <f aca="true" t="shared" si="158" ref="D969:I969">-D349</f>
        <v>0</v>
      </c>
      <c r="E969" s="51">
        <f t="shared" si="158"/>
        <v>0</v>
      </c>
      <c r="F969" s="51">
        <f t="shared" si="158"/>
        <v>0</v>
      </c>
      <c r="G969" s="51">
        <f t="shared" si="158"/>
        <v>0</v>
      </c>
      <c r="H969" s="51">
        <f t="shared" si="158"/>
        <v>0</v>
      </c>
      <c r="I969" s="51">
        <f t="shared" si="158"/>
        <v>0</v>
      </c>
      <c r="J969" s="61"/>
    </row>
    <row r="970" spans="1:10" ht="12.75">
      <c r="A970" s="28" t="s">
        <v>20</v>
      </c>
      <c r="B970" s="29" t="s">
        <v>240</v>
      </c>
      <c r="C970" s="30" t="s">
        <v>88</v>
      </c>
      <c r="D970" s="51">
        <f aca="true" t="shared" si="159" ref="D970:I970">D95</f>
        <v>0</v>
      </c>
      <c r="E970" s="51">
        <f t="shared" si="159"/>
        <v>0</v>
      </c>
      <c r="F970" s="51">
        <f t="shared" si="159"/>
        <v>372772.3</v>
      </c>
      <c r="G970" s="51">
        <f t="shared" si="159"/>
        <v>372772.3</v>
      </c>
      <c r="H970" s="51">
        <f t="shared" si="159"/>
        <v>9727164</v>
      </c>
      <c r="I970" s="51">
        <f t="shared" si="159"/>
        <v>10099936.3</v>
      </c>
      <c r="J970" s="61"/>
    </row>
    <row r="971" spans="1:10" ht="12.75">
      <c r="A971" s="28" t="s">
        <v>20</v>
      </c>
      <c r="B971" s="29" t="s">
        <v>357</v>
      </c>
      <c r="C971" s="30" t="s">
        <v>241</v>
      </c>
      <c r="D971" s="51">
        <f aca="true" t="shared" si="160" ref="D971:I971">D98</f>
        <v>0</v>
      </c>
      <c r="E971" s="51">
        <f t="shared" si="160"/>
        <v>0</v>
      </c>
      <c r="F971" s="51">
        <f t="shared" si="160"/>
        <v>0</v>
      </c>
      <c r="G971" s="51">
        <f t="shared" si="160"/>
        <v>0</v>
      </c>
      <c r="H971" s="51">
        <f t="shared" si="160"/>
        <v>2666608</v>
      </c>
      <c r="I971" s="51">
        <f t="shared" si="160"/>
        <v>2666608</v>
      </c>
      <c r="J971" s="61"/>
    </row>
    <row r="972" spans="1:10" ht="12.75">
      <c r="A972" s="28" t="s">
        <v>20</v>
      </c>
      <c r="B972" s="29" t="s">
        <v>242</v>
      </c>
      <c r="C972" s="30" t="s">
        <v>243</v>
      </c>
      <c r="D972" s="51">
        <f aca="true" t="shared" si="161" ref="D972:I972">D80</f>
        <v>107741.95</v>
      </c>
      <c r="E972" s="51">
        <f t="shared" si="161"/>
        <v>100805.1</v>
      </c>
      <c r="F972" s="51">
        <f t="shared" si="161"/>
        <v>473976.48</v>
      </c>
      <c r="G972" s="51">
        <f t="shared" si="161"/>
        <v>682523.53</v>
      </c>
      <c r="H972" s="51">
        <f t="shared" si="161"/>
        <v>877809</v>
      </c>
      <c r="I972" s="51">
        <f t="shared" si="161"/>
        <v>1560332.53</v>
      </c>
      <c r="J972" s="61"/>
    </row>
    <row r="973" spans="1:10" ht="12.75">
      <c r="A973" s="28" t="s">
        <v>19</v>
      </c>
      <c r="B973" s="29" t="s">
        <v>244</v>
      </c>
      <c r="C973" s="30" t="s">
        <v>132</v>
      </c>
      <c r="D973" s="51">
        <f aca="true" t="shared" si="162" ref="D973:I973">-D150</f>
        <v>0</v>
      </c>
      <c r="E973" s="51">
        <f t="shared" si="162"/>
        <v>-19275.95</v>
      </c>
      <c r="F973" s="51">
        <f t="shared" si="162"/>
        <v>-1361400.2</v>
      </c>
      <c r="G973" s="51">
        <f t="shared" si="162"/>
        <v>-1380676.15</v>
      </c>
      <c r="H973" s="51">
        <f t="shared" si="162"/>
        <v>-12409694</v>
      </c>
      <c r="I973" s="51">
        <f t="shared" si="162"/>
        <v>-13790370.15</v>
      </c>
      <c r="J973" s="61"/>
    </row>
    <row r="974" spans="1:10" ht="12.75">
      <c r="A974" s="28" t="s">
        <v>20</v>
      </c>
      <c r="B974" s="29" t="s">
        <v>245</v>
      </c>
      <c r="C974" s="30" t="s">
        <v>89</v>
      </c>
      <c r="D974" s="51">
        <f aca="true" t="shared" si="163" ref="D974:I974">D99</f>
        <v>0</v>
      </c>
      <c r="E974" s="51">
        <f t="shared" si="163"/>
        <v>0</v>
      </c>
      <c r="F974" s="51">
        <f t="shared" si="163"/>
        <v>0</v>
      </c>
      <c r="G974" s="51">
        <f t="shared" si="163"/>
        <v>0</v>
      </c>
      <c r="H974" s="51">
        <f t="shared" si="163"/>
        <v>507341</v>
      </c>
      <c r="I974" s="51">
        <f t="shared" si="163"/>
        <v>507341</v>
      </c>
      <c r="J974" s="61"/>
    </row>
    <row r="975" spans="1:10" ht="13.5" thickBot="1">
      <c r="A975" s="28" t="s">
        <v>19</v>
      </c>
      <c r="B975" s="29" t="s">
        <v>246</v>
      </c>
      <c r="C975" s="30" t="s">
        <v>140</v>
      </c>
      <c r="D975" s="50">
        <f aca="true" t="shared" si="164" ref="D975:I975">-D168</f>
        <v>0</v>
      </c>
      <c r="E975" s="50">
        <f t="shared" si="164"/>
        <v>0</v>
      </c>
      <c r="F975" s="50">
        <f t="shared" si="164"/>
        <v>0</v>
      </c>
      <c r="G975" s="50">
        <f t="shared" si="164"/>
        <v>0</v>
      </c>
      <c r="H975" s="50">
        <f t="shared" si="164"/>
        <v>-134365</v>
      </c>
      <c r="I975" s="50">
        <f t="shared" si="164"/>
        <v>-134365</v>
      </c>
      <c r="J975" s="61"/>
    </row>
    <row r="976" spans="1:10" ht="12.75">
      <c r="A976" s="28" t="s">
        <v>17</v>
      </c>
      <c r="B976" s="29"/>
      <c r="C976" s="31" t="s">
        <v>253</v>
      </c>
      <c r="D976" s="48">
        <f aca="true" t="shared" si="165" ref="D976:I976">SUM(D965:D975)</f>
        <v>4451923.55</v>
      </c>
      <c r="E976" s="48">
        <f t="shared" si="165"/>
        <v>7119470.129999999</v>
      </c>
      <c r="F976" s="48">
        <f t="shared" si="165"/>
        <v>7554149.660000001</v>
      </c>
      <c r="G976" s="48">
        <f t="shared" si="165"/>
        <v>19125543.340000007</v>
      </c>
      <c r="H976" s="48">
        <f t="shared" si="165"/>
        <v>23337636</v>
      </c>
      <c r="I976" s="48">
        <f t="shared" si="165"/>
        <v>42463179.34000001</v>
      </c>
      <c r="J976" s="61"/>
    </row>
    <row r="977" spans="1:10" ht="13.5" thickBot="1">
      <c r="A977" s="32"/>
      <c r="B977" s="33"/>
      <c r="C977" s="34"/>
      <c r="D977" s="56"/>
      <c r="E977" s="56"/>
      <c r="F977" s="56"/>
      <c r="G977" s="56"/>
      <c r="H977" s="56"/>
      <c r="I977" s="56"/>
      <c r="J977" s="62"/>
    </row>
    <row r="978" spans="1:10" ht="12.75">
      <c r="A978" s="19"/>
      <c r="B978" s="8"/>
      <c r="C978" s="12" t="s">
        <v>247</v>
      </c>
      <c r="D978" s="54"/>
      <c r="E978" s="54"/>
      <c r="F978" s="54"/>
      <c r="G978" s="54"/>
      <c r="H978" s="54"/>
      <c r="I978" s="54"/>
      <c r="J978" s="60"/>
    </row>
    <row r="979" spans="1:10" ht="12.75">
      <c r="A979" s="28" t="s">
        <v>20</v>
      </c>
      <c r="B979" s="29" t="s">
        <v>248</v>
      </c>
      <c r="C979" s="30" t="s">
        <v>203</v>
      </c>
      <c r="D979" s="51">
        <f aca="true" t="shared" si="166" ref="D979:I979">D117</f>
        <v>21059526.4</v>
      </c>
      <c r="E979" s="51">
        <f t="shared" si="166"/>
        <v>28157267.209999997</v>
      </c>
      <c r="F979" s="51">
        <f t="shared" si="166"/>
        <v>36121013.41</v>
      </c>
      <c r="G979" s="51">
        <f t="shared" si="166"/>
        <v>85337807.02</v>
      </c>
      <c r="H979" s="51">
        <f t="shared" si="166"/>
        <v>110076004</v>
      </c>
      <c r="I979" s="51">
        <f t="shared" si="166"/>
        <v>195413811.01999998</v>
      </c>
      <c r="J979" s="61"/>
    </row>
    <row r="980" spans="1:10" ht="12.75">
      <c r="A980" s="28" t="s">
        <v>20</v>
      </c>
      <c r="B980" s="29" t="s">
        <v>249</v>
      </c>
      <c r="C980" s="30" t="s">
        <v>105</v>
      </c>
      <c r="D980" s="51">
        <f aca="true" t="shared" si="167" ref="D980:I980">D122</f>
        <v>1125800.55</v>
      </c>
      <c r="E980" s="51">
        <f t="shared" si="167"/>
        <v>599623.35</v>
      </c>
      <c r="F980" s="51">
        <f t="shared" si="167"/>
        <v>299542.1</v>
      </c>
      <c r="G980" s="51">
        <f t="shared" si="167"/>
        <v>2024966</v>
      </c>
      <c r="H980" s="51">
        <f t="shared" si="167"/>
        <v>16143638</v>
      </c>
      <c r="I980" s="51">
        <f t="shared" si="167"/>
        <v>18168604</v>
      </c>
      <c r="J980" s="61"/>
    </row>
    <row r="981" spans="1:10" ht="12.75">
      <c r="A981" s="28" t="s">
        <v>20</v>
      </c>
      <c r="B981" s="29" t="s">
        <v>250</v>
      </c>
      <c r="C981" s="30" t="s">
        <v>12</v>
      </c>
      <c r="D981" s="51">
        <f aca="true" t="shared" si="168" ref="D981:I981">D132</f>
        <v>7722533.61</v>
      </c>
      <c r="E981" s="51">
        <f t="shared" si="168"/>
        <v>5713645.430000001</v>
      </c>
      <c r="F981" s="51">
        <f t="shared" si="168"/>
        <v>8828829.7</v>
      </c>
      <c r="G981" s="51">
        <f t="shared" si="168"/>
        <v>22265008.740000006</v>
      </c>
      <c r="H981" s="51">
        <f t="shared" si="168"/>
        <v>58263121</v>
      </c>
      <c r="I981" s="51">
        <f t="shared" si="168"/>
        <v>80528129.74000001</v>
      </c>
      <c r="J981" s="61"/>
    </row>
    <row r="982" spans="1:10" ht="12.75">
      <c r="A982" s="28" t="s">
        <v>20</v>
      </c>
      <c r="B982" s="29" t="s">
        <v>251</v>
      </c>
      <c r="C982" s="30" t="s">
        <v>115</v>
      </c>
      <c r="D982" s="51">
        <f aca="true" t="shared" si="169" ref="D982:I982">D137</f>
        <v>175823.2</v>
      </c>
      <c r="E982" s="51">
        <f t="shared" si="169"/>
        <v>789</v>
      </c>
      <c r="F982" s="51">
        <f t="shared" si="169"/>
        <v>255735.5</v>
      </c>
      <c r="G982" s="51">
        <f t="shared" si="169"/>
        <v>432347.7</v>
      </c>
      <c r="H982" s="51">
        <f t="shared" si="169"/>
        <v>135589</v>
      </c>
      <c r="I982" s="51">
        <f t="shared" si="169"/>
        <v>567936.7000000001</v>
      </c>
      <c r="J982" s="61"/>
    </row>
    <row r="983" spans="1:10" ht="13.5" thickBot="1">
      <c r="A983" s="28" t="s">
        <v>20</v>
      </c>
      <c r="B983" s="29" t="s">
        <v>252</v>
      </c>
      <c r="C983" s="30" t="s">
        <v>133</v>
      </c>
      <c r="D983" s="50">
        <f aca="true" t="shared" si="170" ref="D983:I983">D157</f>
        <v>5415474.090000001</v>
      </c>
      <c r="E983" s="50">
        <f t="shared" si="170"/>
        <v>2000740.26</v>
      </c>
      <c r="F983" s="50">
        <f t="shared" si="170"/>
        <v>4527555.32</v>
      </c>
      <c r="G983" s="50">
        <f t="shared" si="170"/>
        <v>11943769.670000002</v>
      </c>
      <c r="H983" s="50">
        <f t="shared" si="170"/>
        <v>118667814</v>
      </c>
      <c r="I983" s="50">
        <f t="shared" si="170"/>
        <v>130611583.67</v>
      </c>
      <c r="J983" s="61"/>
    </row>
    <row r="984" spans="1:10" ht="12.75">
      <c r="A984" s="28" t="s">
        <v>17</v>
      </c>
      <c r="B984" s="29"/>
      <c r="C984" s="35" t="s">
        <v>204</v>
      </c>
      <c r="D984" s="57">
        <f aca="true" t="shared" si="171" ref="D984:I984">SUM(D979:D983)</f>
        <v>35499157.85</v>
      </c>
      <c r="E984" s="57">
        <f t="shared" si="171"/>
        <v>36472065.25</v>
      </c>
      <c r="F984" s="57">
        <f t="shared" si="171"/>
        <v>50032676.029999994</v>
      </c>
      <c r="G984" s="57">
        <f t="shared" si="171"/>
        <v>122003899.13000001</v>
      </c>
      <c r="H984" s="57">
        <f t="shared" si="171"/>
        <v>303286166</v>
      </c>
      <c r="I984" s="57">
        <f t="shared" si="171"/>
        <v>425290065.13</v>
      </c>
      <c r="J984" s="61"/>
    </row>
    <row r="985" spans="1:10" ht="12.75">
      <c r="A985" s="28"/>
      <c r="B985" s="29"/>
      <c r="C985" s="30"/>
      <c r="D985" s="51"/>
      <c r="E985" s="51"/>
      <c r="F985" s="51"/>
      <c r="G985" s="51"/>
      <c r="H985" s="51"/>
      <c r="I985" s="51"/>
      <c r="J985" s="61" t="s">
        <v>322</v>
      </c>
    </row>
    <row r="986" spans="1:10" ht="12.75">
      <c r="A986" s="28"/>
      <c r="B986" s="29"/>
      <c r="C986" s="30" t="s">
        <v>341</v>
      </c>
      <c r="D986" s="76">
        <f aca="true" t="shared" si="172" ref="D986:I986">D976/D984</f>
        <v>0.12540927220897438</v>
      </c>
      <c r="E986" s="76">
        <f t="shared" si="172"/>
        <v>0.19520337225762116</v>
      </c>
      <c r="F986" s="76">
        <f t="shared" si="172"/>
        <v>0.15098432183540358</v>
      </c>
      <c r="G986" s="76">
        <f t="shared" si="172"/>
        <v>0.1567617385705106</v>
      </c>
      <c r="H986" s="76">
        <f t="shared" si="172"/>
        <v>0.0769492268895641</v>
      </c>
      <c r="I986" s="76">
        <f t="shared" si="172"/>
        <v>0.09984521817367197</v>
      </c>
      <c r="J986" s="61" t="s">
        <v>323</v>
      </c>
    </row>
    <row r="987" spans="1:10" ht="13.5" thickBot="1">
      <c r="A987" s="32"/>
      <c r="B987" s="33"/>
      <c r="C987" s="34"/>
      <c r="D987" s="56"/>
      <c r="E987" s="56"/>
      <c r="F987" s="56"/>
      <c r="G987" s="56"/>
      <c r="H987" s="56"/>
      <c r="I987" s="56"/>
      <c r="J987" s="62" t="s">
        <v>324</v>
      </c>
    </row>
    <row r="988" spans="1:10" ht="12.75">
      <c r="A988" s="19"/>
      <c r="B988" s="8"/>
      <c r="C988" s="12" t="s">
        <v>254</v>
      </c>
      <c r="D988" s="54"/>
      <c r="E988" s="54"/>
      <c r="F988" s="54"/>
      <c r="G988" s="54"/>
      <c r="H988" s="54"/>
      <c r="I988" s="54"/>
      <c r="J988" s="60"/>
    </row>
    <row r="989" spans="1:10" ht="12.75">
      <c r="A989" s="28"/>
      <c r="B989" s="29"/>
      <c r="C989" s="30"/>
      <c r="D989" s="51"/>
      <c r="E989" s="51"/>
      <c r="F989" s="51"/>
      <c r="G989" s="51"/>
      <c r="H989" s="51"/>
      <c r="I989" s="51"/>
      <c r="J989" s="63"/>
    </row>
    <row r="990" spans="1:10" ht="12.75">
      <c r="A990" s="28"/>
      <c r="B990" s="71"/>
      <c r="C990" s="36" t="s">
        <v>256</v>
      </c>
      <c r="D990" s="51">
        <f aca="true" t="shared" si="173" ref="D990:I990">D344-D343</f>
        <v>4487577.05</v>
      </c>
      <c r="E990" s="51">
        <f t="shared" si="173"/>
        <v>2251555.7</v>
      </c>
      <c r="F990" s="51">
        <f t="shared" si="173"/>
        <v>3154747.48</v>
      </c>
      <c r="G990" s="51">
        <f t="shared" si="173"/>
        <v>9893880.229999999</v>
      </c>
      <c r="H990" s="51">
        <f t="shared" si="173"/>
        <v>17685731</v>
      </c>
      <c r="I990" s="51">
        <f t="shared" si="173"/>
        <v>27579611.229999997</v>
      </c>
      <c r="J990" s="61"/>
    </row>
    <row r="991" spans="1:10" ht="12.75">
      <c r="A991" s="28"/>
      <c r="B991" s="29"/>
      <c r="C991" s="30"/>
      <c r="D991" s="51"/>
      <c r="E991" s="51"/>
      <c r="F991" s="51"/>
      <c r="G991" s="51"/>
      <c r="H991" s="51"/>
      <c r="I991" s="51"/>
      <c r="J991" s="61" t="s">
        <v>326</v>
      </c>
    </row>
    <row r="992" spans="1:10" ht="12.75">
      <c r="A992" s="28"/>
      <c r="B992" s="29"/>
      <c r="C992" s="30" t="s">
        <v>255</v>
      </c>
      <c r="D992" s="76">
        <f aca="true" t="shared" si="174" ref="D992:I992">D976/D990</f>
        <v>0.9920550667759566</v>
      </c>
      <c r="E992" s="76">
        <f t="shared" si="174"/>
        <v>3.162022653936564</v>
      </c>
      <c r="F992" s="76">
        <f t="shared" si="174"/>
        <v>2.3945338598067445</v>
      </c>
      <c r="G992" s="76">
        <f t="shared" si="174"/>
        <v>1.9330680072321849</v>
      </c>
      <c r="H992" s="76">
        <f t="shared" si="174"/>
        <v>1.3195742941018385</v>
      </c>
      <c r="I992" s="76">
        <f t="shared" si="174"/>
        <v>1.5396583724795316</v>
      </c>
      <c r="J992" s="61" t="s">
        <v>325</v>
      </c>
    </row>
    <row r="993" spans="1:10" ht="13.5" thickBot="1">
      <c r="A993" s="32"/>
      <c r="B993" s="33"/>
      <c r="C993" s="34"/>
      <c r="D993" s="56"/>
      <c r="E993" s="56"/>
      <c r="F993" s="56"/>
      <c r="G993" s="56"/>
      <c r="H993" s="56"/>
      <c r="I993" s="56"/>
      <c r="J993" s="62" t="s">
        <v>327</v>
      </c>
    </row>
    <row r="994" spans="1:10" ht="12.75">
      <c r="A994" s="19"/>
      <c r="B994" s="8"/>
      <c r="C994" s="12" t="s">
        <v>257</v>
      </c>
      <c r="D994" s="54"/>
      <c r="E994" s="54"/>
      <c r="F994" s="54"/>
      <c r="G994" s="54"/>
      <c r="H994" s="54"/>
      <c r="I994" s="54"/>
      <c r="J994" s="60"/>
    </row>
    <row r="995" spans="1:10" ht="12.75">
      <c r="A995" s="28" t="s">
        <v>20</v>
      </c>
      <c r="B995" s="29" t="s">
        <v>258</v>
      </c>
      <c r="C995" s="30" t="s">
        <v>71</v>
      </c>
      <c r="D995" s="51">
        <f aca="true" t="shared" si="175" ref="D995:I995">D72</f>
        <v>597222.16</v>
      </c>
      <c r="E995" s="51">
        <f t="shared" si="175"/>
        <v>649109.25</v>
      </c>
      <c r="F995" s="51">
        <f t="shared" si="175"/>
        <v>596584.83</v>
      </c>
      <c r="G995" s="51">
        <f t="shared" si="175"/>
        <v>1842916.2400000002</v>
      </c>
      <c r="H995" s="51">
        <f t="shared" si="175"/>
        <v>2813509</v>
      </c>
      <c r="I995" s="51">
        <f t="shared" si="175"/>
        <v>4656425.24</v>
      </c>
      <c r="J995" s="61"/>
    </row>
    <row r="996" spans="1:10" ht="13.5" thickBot="1">
      <c r="A996" s="28" t="s">
        <v>19</v>
      </c>
      <c r="B996" s="29" t="s">
        <v>259</v>
      </c>
      <c r="C996" s="30" t="s">
        <v>120</v>
      </c>
      <c r="D996" s="50">
        <f aca="true" t="shared" si="176" ref="D996:I996">-D138</f>
        <v>-9060.6</v>
      </c>
      <c r="E996" s="50">
        <f t="shared" si="176"/>
        <v>-189558.54</v>
      </c>
      <c r="F996" s="50">
        <f t="shared" si="176"/>
        <v>-90881.91</v>
      </c>
      <c r="G996" s="50">
        <f t="shared" si="176"/>
        <v>-289501.05000000005</v>
      </c>
      <c r="H996" s="50">
        <f t="shared" si="176"/>
        <v>-6678318</v>
      </c>
      <c r="I996" s="50">
        <f t="shared" si="176"/>
        <v>-6967819.05</v>
      </c>
      <c r="J996" s="61"/>
    </row>
    <row r="997" spans="1:10" ht="12.75">
      <c r="A997" s="28" t="s">
        <v>17</v>
      </c>
      <c r="B997" s="29"/>
      <c r="C997" s="30" t="s">
        <v>260</v>
      </c>
      <c r="D997" s="51">
        <f aca="true" t="shared" si="177" ref="D997:I997">SUM(D995:D996)</f>
        <v>588161.56</v>
      </c>
      <c r="E997" s="51">
        <f t="shared" si="177"/>
        <v>459550.70999999996</v>
      </c>
      <c r="F997" s="51">
        <f t="shared" si="177"/>
        <v>505702.9199999999</v>
      </c>
      <c r="G997" s="51">
        <f t="shared" si="177"/>
        <v>1553415.1900000002</v>
      </c>
      <c r="H997" s="51">
        <f t="shared" si="177"/>
        <v>-3864809</v>
      </c>
      <c r="I997" s="51">
        <f t="shared" si="177"/>
        <v>-2311393.8099999996</v>
      </c>
      <c r="J997" s="61"/>
    </row>
    <row r="998" spans="1:10" ht="12.75">
      <c r="A998" s="28"/>
      <c r="B998" s="29"/>
      <c r="C998" s="30"/>
      <c r="D998" s="51"/>
      <c r="E998" s="51"/>
      <c r="F998" s="51"/>
      <c r="G998" s="51"/>
      <c r="H998" s="51"/>
      <c r="I998" s="51"/>
      <c r="J998" s="61"/>
    </row>
    <row r="999" spans="1:10" ht="12.75">
      <c r="A999" s="28" t="s">
        <v>20</v>
      </c>
      <c r="B999" s="29" t="s">
        <v>261</v>
      </c>
      <c r="C999" s="30" t="s">
        <v>262</v>
      </c>
      <c r="D999" s="51">
        <f aca="true" t="shared" si="178" ref="D999:I1000">D68</f>
        <v>3641780.9</v>
      </c>
      <c r="E999" s="51">
        <f t="shared" si="178"/>
        <v>3020698.28</v>
      </c>
      <c r="F999" s="51">
        <f t="shared" si="178"/>
        <v>5970025.62</v>
      </c>
      <c r="G999" s="51">
        <f t="shared" si="178"/>
        <v>12632504.8</v>
      </c>
      <c r="H999" s="51">
        <f t="shared" si="178"/>
        <v>9019009</v>
      </c>
      <c r="I999" s="51">
        <f t="shared" si="178"/>
        <v>21651513.8</v>
      </c>
      <c r="J999" s="61"/>
    </row>
    <row r="1000" spans="1:10" ht="12.75">
      <c r="A1000" s="28" t="s">
        <v>20</v>
      </c>
      <c r="B1000" s="71" t="s">
        <v>263</v>
      </c>
      <c r="C1000" s="72" t="s">
        <v>69</v>
      </c>
      <c r="D1000" s="73">
        <f t="shared" si="178"/>
        <v>42487.1</v>
      </c>
      <c r="E1000" s="73">
        <f t="shared" si="178"/>
        <v>221322.7</v>
      </c>
      <c r="F1000" s="73">
        <f t="shared" si="178"/>
        <v>262590.45</v>
      </c>
      <c r="G1000" s="73">
        <f t="shared" si="178"/>
        <v>526400.25</v>
      </c>
      <c r="H1000" s="73">
        <f t="shared" si="178"/>
        <v>0</v>
      </c>
      <c r="I1000" s="73">
        <f t="shared" si="178"/>
        <v>526400.25</v>
      </c>
      <c r="J1000" s="61"/>
    </row>
    <row r="1001" spans="1:10" ht="13.5" thickBot="1">
      <c r="A1001" s="28" t="s">
        <v>20</v>
      </c>
      <c r="B1001" s="71" t="s">
        <v>237</v>
      </c>
      <c r="C1001" s="72" t="s">
        <v>85</v>
      </c>
      <c r="D1001" s="56">
        <f aca="true" t="shared" si="179" ref="D1001:I1001">D88</f>
        <v>22355</v>
      </c>
      <c r="E1001" s="56">
        <f t="shared" si="179"/>
        <v>281462.85</v>
      </c>
      <c r="F1001" s="56">
        <f t="shared" si="179"/>
        <v>1363914.75</v>
      </c>
      <c r="G1001" s="56">
        <f t="shared" si="179"/>
        <v>1667732.6</v>
      </c>
      <c r="H1001" s="56">
        <f t="shared" si="179"/>
        <v>4981496</v>
      </c>
      <c r="I1001" s="56">
        <f t="shared" si="179"/>
        <v>6649228.6</v>
      </c>
      <c r="J1001" s="61"/>
    </row>
    <row r="1002" spans="1:10" ht="12.75">
      <c r="A1002" s="28" t="s">
        <v>17</v>
      </c>
      <c r="B1002" s="29"/>
      <c r="C1002" s="30" t="s">
        <v>352</v>
      </c>
      <c r="D1002" s="51">
        <f aca="true" t="shared" si="180" ref="D1002:I1002">SUM(D999:D1001)</f>
        <v>3706623</v>
      </c>
      <c r="E1002" s="51">
        <f t="shared" si="180"/>
        <v>3523483.83</v>
      </c>
      <c r="F1002" s="51">
        <f t="shared" si="180"/>
        <v>7596530.82</v>
      </c>
      <c r="G1002" s="51">
        <f t="shared" si="180"/>
        <v>14826637.65</v>
      </c>
      <c r="H1002" s="51">
        <f t="shared" si="180"/>
        <v>14000505</v>
      </c>
      <c r="I1002" s="51">
        <f t="shared" si="180"/>
        <v>28827142.65</v>
      </c>
      <c r="J1002" s="64" t="s">
        <v>328</v>
      </c>
    </row>
    <row r="1003" spans="1:10" ht="12.75">
      <c r="A1003" s="28"/>
      <c r="B1003" s="29"/>
      <c r="C1003" s="30"/>
      <c r="D1003" s="51"/>
      <c r="E1003" s="51"/>
      <c r="F1003" s="51"/>
      <c r="G1003" s="51"/>
      <c r="H1003" s="51"/>
      <c r="I1003" s="51"/>
      <c r="J1003" s="61" t="s">
        <v>329</v>
      </c>
    </row>
    <row r="1004" spans="1:10" ht="12.75">
      <c r="A1004" s="28"/>
      <c r="B1004" s="29"/>
      <c r="C1004" s="30" t="s">
        <v>348</v>
      </c>
      <c r="D1004" s="76">
        <f aca="true" t="shared" si="181" ref="D1004:I1004">(D997+D1002)/D984</f>
        <v>0.1209827167773221</v>
      </c>
      <c r="E1004" s="76">
        <f t="shared" si="181"/>
        <v>0.10920781460271159</v>
      </c>
      <c r="F1004" s="76">
        <f t="shared" si="181"/>
        <v>0.16193884442922532</v>
      </c>
      <c r="G1004" s="76">
        <f t="shared" si="181"/>
        <v>0.13425843728606085</v>
      </c>
      <c r="H1004" s="76">
        <f t="shared" si="181"/>
        <v>0.03341957905195056</v>
      </c>
      <c r="I1004" s="76">
        <f t="shared" si="181"/>
        <v>0.06234744475372316</v>
      </c>
      <c r="J1004" s="61" t="s">
        <v>330</v>
      </c>
    </row>
    <row r="1005" spans="1:10" ht="13.5" thickBot="1">
      <c r="A1005" s="32"/>
      <c r="B1005" s="33"/>
      <c r="C1005" s="34"/>
      <c r="D1005" s="56"/>
      <c r="E1005" s="56"/>
      <c r="F1005" s="56"/>
      <c r="G1005" s="56"/>
      <c r="H1005" s="56"/>
      <c r="I1005" s="56"/>
      <c r="J1005" s="62" t="s">
        <v>331</v>
      </c>
    </row>
    <row r="1006" spans="1:10" ht="12.75">
      <c r="A1006" s="19"/>
      <c r="B1006" s="8"/>
      <c r="C1006" s="12" t="s">
        <v>264</v>
      </c>
      <c r="D1006" s="54"/>
      <c r="E1006" s="54"/>
      <c r="F1006" s="54"/>
      <c r="G1006" s="54"/>
      <c r="H1006" s="54"/>
      <c r="I1006" s="54"/>
      <c r="J1006" s="60"/>
    </row>
    <row r="1007" spans="1:10" ht="12.75">
      <c r="A1007" s="28"/>
      <c r="B1007" s="29"/>
      <c r="C1007" s="31"/>
      <c r="D1007" s="51"/>
      <c r="E1007" s="51"/>
      <c r="F1007" s="51"/>
      <c r="G1007" s="51"/>
      <c r="H1007" s="51"/>
      <c r="I1007" s="51"/>
      <c r="J1007" s="61"/>
    </row>
    <row r="1008" spans="1:10" ht="12.75">
      <c r="A1008" s="28" t="s">
        <v>20</v>
      </c>
      <c r="B1008" s="29" t="s">
        <v>265</v>
      </c>
      <c r="C1008" s="30" t="s">
        <v>266</v>
      </c>
      <c r="D1008" s="51">
        <f aca="true" t="shared" si="182" ref="D1008:I1008">-D148</f>
        <v>-2108066.85</v>
      </c>
      <c r="E1008" s="51">
        <f t="shared" si="182"/>
        <v>-3072726.6900000004</v>
      </c>
      <c r="F1008" s="51">
        <f t="shared" si="182"/>
        <v>-3330469.76</v>
      </c>
      <c r="G1008" s="51">
        <f t="shared" si="182"/>
        <v>-8511263.3</v>
      </c>
      <c r="H1008" s="51">
        <f t="shared" si="182"/>
        <v>-13226123</v>
      </c>
      <c r="I1008" s="51">
        <f t="shared" si="182"/>
        <v>-21737386.3</v>
      </c>
      <c r="J1008" s="61"/>
    </row>
    <row r="1009" spans="1:10" ht="13.5" thickBot="1">
      <c r="A1009" s="28" t="s">
        <v>19</v>
      </c>
      <c r="B1009" s="29" t="s">
        <v>267</v>
      </c>
      <c r="C1009" s="30" t="s">
        <v>77</v>
      </c>
      <c r="D1009" s="50">
        <f aca="true" t="shared" si="183" ref="D1009:I1009">D78</f>
        <v>817929.81</v>
      </c>
      <c r="E1009" s="50">
        <f t="shared" si="183"/>
        <v>1233973.89</v>
      </c>
      <c r="F1009" s="50">
        <f t="shared" si="183"/>
        <v>1210651.79</v>
      </c>
      <c r="G1009" s="50">
        <f t="shared" si="183"/>
        <v>3262555.49</v>
      </c>
      <c r="H1009" s="50">
        <f t="shared" si="183"/>
        <v>5543599</v>
      </c>
      <c r="I1009" s="50">
        <f t="shared" si="183"/>
        <v>8806154.49</v>
      </c>
      <c r="J1009" s="61"/>
    </row>
    <row r="1010" spans="1:10" ht="12.75">
      <c r="A1010" s="28" t="s">
        <v>17</v>
      </c>
      <c r="B1010" s="29"/>
      <c r="C1010" s="30" t="s">
        <v>268</v>
      </c>
      <c r="D1010" s="48">
        <f aca="true" t="shared" si="184" ref="D1010:I1010">SUM(D1008:D1009)</f>
        <v>-1290137.04</v>
      </c>
      <c r="E1010" s="48">
        <f t="shared" si="184"/>
        <v>-1838752.8000000005</v>
      </c>
      <c r="F1010" s="48">
        <f t="shared" si="184"/>
        <v>-2119817.9699999997</v>
      </c>
      <c r="G1010" s="48">
        <f t="shared" si="184"/>
        <v>-5248707.8100000005</v>
      </c>
      <c r="H1010" s="48">
        <f t="shared" si="184"/>
        <v>-7682524</v>
      </c>
      <c r="I1010" s="48">
        <f t="shared" si="184"/>
        <v>-12931231.81</v>
      </c>
      <c r="J1010" s="61" t="s">
        <v>345</v>
      </c>
    </row>
    <row r="1011" spans="1:10" ht="13.5" thickBot="1">
      <c r="A1011" s="32"/>
      <c r="B1011" s="33"/>
      <c r="C1011" s="34"/>
      <c r="D1011" s="56"/>
      <c r="E1011" s="56"/>
      <c r="F1011" s="56"/>
      <c r="G1011" s="56"/>
      <c r="H1011" s="56"/>
      <c r="I1011" s="56"/>
      <c r="J1011" s="62" t="s">
        <v>346</v>
      </c>
    </row>
    <row r="1012" spans="1:10" ht="12.75">
      <c r="A1012" s="19"/>
      <c r="B1012" s="8"/>
      <c r="C1012" s="12" t="s">
        <v>269</v>
      </c>
      <c r="D1012" s="54"/>
      <c r="E1012" s="54"/>
      <c r="F1012" s="54"/>
      <c r="G1012" s="54"/>
      <c r="H1012" s="54"/>
      <c r="I1012" s="54"/>
      <c r="J1012" s="60"/>
    </row>
    <row r="1013" spans="1:10" ht="12.75">
      <c r="A1013" s="28"/>
      <c r="B1013" s="29"/>
      <c r="C1013" s="30"/>
      <c r="D1013" s="51"/>
      <c r="E1013" s="51"/>
      <c r="F1013" s="51"/>
      <c r="G1013" s="51"/>
      <c r="H1013" s="51"/>
      <c r="I1013" s="51"/>
      <c r="J1013" s="61"/>
    </row>
    <row r="1014" spans="1:10" ht="12.75">
      <c r="A1014" s="28" t="s">
        <v>20</v>
      </c>
      <c r="B1014" s="29" t="s">
        <v>259</v>
      </c>
      <c r="C1014" s="30" t="s">
        <v>120</v>
      </c>
      <c r="D1014" s="51">
        <f aca="true" t="shared" si="185" ref="D1014:I1014">D138</f>
        <v>9060.6</v>
      </c>
      <c r="E1014" s="51">
        <f t="shared" si="185"/>
        <v>189558.54</v>
      </c>
      <c r="F1014" s="51">
        <f t="shared" si="185"/>
        <v>90881.91</v>
      </c>
      <c r="G1014" s="51">
        <f t="shared" si="185"/>
        <v>289501.05000000005</v>
      </c>
      <c r="H1014" s="51">
        <f t="shared" si="185"/>
        <v>6678318</v>
      </c>
      <c r="I1014" s="51">
        <f t="shared" si="185"/>
        <v>6967819.05</v>
      </c>
      <c r="J1014" s="61"/>
    </row>
    <row r="1015" spans="1:10" ht="12.75">
      <c r="A1015" s="28" t="s">
        <v>20</v>
      </c>
      <c r="B1015" s="29" t="s">
        <v>270</v>
      </c>
      <c r="C1015" s="30" t="s">
        <v>128</v>
      </c>
      <c r="D1015" s="51">
        <f aca="true" t="shared" si="186" ref="D1015:I1018">D139</f>
        <v>0</v>
      </c>
      <c r="E1015" s="51">
        <f t="shared" si="186"/>
        <v>156485</v>
      </c>
      <c r="F1015" s="51">
        <f t="shared" si="186"/>
        <v>1405681.3</v>
      </c>
      <c r="G1015" s="51">
        <f t="shared" si="186"/>
        <v>1562166.3</v>
      </c>
      <c r="H1015" s="51">
        <f t="shared" si="186"/>
        <v>0</v>
      </c>
      <c r="I1015" s="51">
        <f t="shared" si="186"/>
        <v>1562166.3</v>
      </c>
      <c r="J1015" s="61"/>
    </row>
    <row r="1016" spans="1:10" ht="12.75">
      <c r="A1016" s="28" t="s">
        <v>20</v>
      </c>
      <c r="B1016" s="29" t="s">
        <v>271</v>
      </c>
      <c r="C1016" s="30" t="s">
        <v>121</v>
      </c>
      <c r="D1016" s="51">
        <f t="shared" si="186"/>
        <v>107140</v>
      </c>
      <c r="E1016" s="51">
        <f t="shared" si="186"/>
        <v>0</v>
      </c>
      <c r="F1016" s="51">
        <f t="shared" si="186"/>
        <v>65751.55</v>
      </c>
      <c r="G1016" s="51">
        <f t="shared" si="186"/>
        <v>172891.55</v>
      </c>
      <c r="H1016" s="51">
        <f t="shared" si="186"/>
        <v>1733734</v>
      </c>
      <c r="I1016" s="51">
        <f t="shared" si="186"/>
        <v>1906625.55</v>
      </c>
      <c r="J1016" s="61"/>
    </row>
    <row r="1017" spans="1:10" ht="12.75">
      <c r="A1017" s="28" t="s">
        <v>20</v>
      </c>
      <c r="B1017" s="29" t="s">
        <v>272</v>
      </c>
      <c r="C1017" s="30" t="s">
        <v>122</v>
      </c>
      <c r="D1017" s="51">
        <f t="shared" si="186"/>
        <v>726034.6</v>
      </c>
      <c r="E1017" s="51">
        <f t="shared" si="186"/>
        <v>1242209.95</v>
      </c>
      <c r="F1017" s="51">
        <f t="shared" si="186"/>
        <v>1009529.3</v>
      </c>
      <c r="G1017" s="51">
        <f t="shared" si="186"/>
        <v>2977773.8499999996</v>
      </c>
      <c r="H1017" s="51">
        <f t="shared" si="186"/>
        <v>1131866</v>
      </c>
      <c r="I1017" s="51">
        <f t="shared" si="186"/>
        <v>4109639.8499999996</v>
      </c>
      <c r="J1017" s="61"/>
    </row>
    <row r="1018" spans="1:10" ht="13.5" thickBot="1">
      <c r="A1018" s="28" t="s">
        <v>20</v>
      </c>
      <c r="B1018" s="29" t="s">
        <v>273</v>
      </c>
      <c r="C1018" s="30" t="s">
        <v>129</v>
      </c>
      <c r="D1018" s="79">
        <f t="shared" si="186"/>
        <v>0</v>
      </c>
      <c r="E1018" s="79">
        <f t="shared" si="186"/>
        <v>0</v>
      </c>
      <c r="F1018" s="79">
        <f t="shared" si="186"/>
        <v>238873.55</v>
      </c>
      <c r="G1018" s="79">
        <f t="shared" si="186"/>
        <v>238873.55</v>
      </c>
      <c r="H1018" s="79">
        <f t="shared" si="186"/>
        <v>1067044</v>
      </c>
      <c r="I1018" s="79">
        <f t="shared" si="186"/>
        <v>1305917.55</v>
      </c>
      <c r="J1018" s="61"/>
    </row>
    <row r="1019" spans="1:10" ht="12.75">
      <c r="A1019" s="28" t="s">
        <v>17</v>
      </c>
      <c r="B1019" s="29"/>
      <c r="C1019" s="30" t="s">
        <v>355</v>
      </c>
      <c r="D1019" s="51">
        <f aca="true" t="shared" si="187" ref="D1019:I1019">SUM(D1014:D1018)</f>
        <v>842235.2</v>
      </c>
      <c r="E1019" s="51">
        <f t="shared" si="187"/>
        <v>1588253.49</v>
      </c>
      <c r="F1019" s="51">
        <f t="shared" si="187"/>
        <v>2810717.61</v>
      </c>
      <c r="G1019" s="51">
        <f t="shared" si="187"/>
        <v>5241206.3</v>
      </c>
      <c r="H1019" s="51">
        <f t="shared" si="187"/>
        <v>10610962</v>
      </c>
      <c r="I1019" s="51">
        <f t="shared" si="187"/>
        <v>15852168.3</v>
      </c>
      <c r="J1019" s="61" t="s">
        <v>359</v>
      </c>
    </row>
    <row r="1020" spans="1:10" ht="12.75">
      <c r="A1020" s="28"/>
      <c r="B1020" s="29"/>
      <c r="C1020" s="30"/>
      <c r="D1020" s="51"/>
      <c r="E1020" s="51"/>
      <c r="F1020" s="51"/>
      <c r="G1020" s="51"/>
      <c r="H1020" s="51"/>
      <c r="I1020" s="51"/>
      <c r="J1020" s="61" t="s">
        <v>360</v>
      </c>
    </row>
    <row r="1021" spans="1:10" ht="12.75">
      <c r="A1021" s="28"/>
      <c r="B1021" s="29"/>
      <c r="C1021" s="30" t="s">
        <v>356</v>
      </c>
      <c r="D1021" s="76">
        <f aca="true" t="shared" si="188" ref="D1021:I1021">D1019/D920</f>
        <v>0.014172308474491779</v>
      </c>
      <c r="E1021" s="76">
        <f t="shared" si="188"/>
        <v>0.02990861585012556</v>
      </c>
      <c r="F1021" s="76">
        <f t="shared" si="188"/>
        <v>0.03330765601738659</v>
      </c>
      <c r="G1021" s="76">
        <f t="shared" si="188"/>
        <v>0.026616145568531077</v>
      </c>
      <c r="H1021" s="76">
        <f t="shared" si="188"/>
        <v>0.02837421516875096</v>
      </c>
      <c r="I1021" s="76">
        <f t="shared" si="188"/>
        <v>0.02776779330745313</v>
      </c>
      <c r="J1021" s="61" t="s">
        <v>361</v>
      </c>
    </row>
    <row r="1022" spans="1:10" ht="13.5" thickBot="1">
      <c r="A1022" s="32"/>
      <c r="B1022" s="33"/>
      <c r="C1022" s="34"/>
      <c r="D1022" s="56"/>
      <c r="E1022" s="56"/>
      <c r="F1022" s="56"/>
      <c r="G1022" s="56"/>
      <c r="H1022" s="56"/>
      <c r="I1022" s="56"/>
      <c r="J1022" s="62" t="s">
        <v>362</v>
      </c>
    </row>
    <row r="1023" spans="1:10" ht="12.75">
      <c r="A1023" s="19"/>
      <c r="B1023" s="8"/>
      <c r="C1023" s="12" t="s">
        <v>274</v>
      </c>
      <c r="D1023" s="54"/>
      <c r="E1023" s="54"/>
      <c r="F1023" s="54"/>
      <c r="G1023" s="54"/>
      <c r="H1023" s="54"/>
      <c r="I1023" s="54"/>
      <c r="J1023" s="60"/>
    </row>
    <row r="1024" spans="1:10" ht="12.75">
      <c r="A1024" s="28"/>
      <c r="B1024" s="29"/>
      <c r="C1024" s="30"/>
      <c r="D1024" s="51"/>
      <c r="E1024" s="51"/>
      <c r="F1024" s="51"/>
      <c r="G1024" s="51"/>
      <c r="H1024" s="51"/>
      <c r="I1024" s="51"/>
      <c r="J1024" s="61" t="s">
        <v>333</v>
      </c>
    </row>
    <row r="1025" spans="1:10" ht="12.75">
      <c r="A1025" s="28"/>
      <c r="B1025" s="29"/>
      <c r="C1025" s="30" t="s">
        <v>275</v>
      </c>
      <c r="D1025" s="76">
        <f aca="true" t="shared" si="189" ref="D1025:I1025">D997/D984</f>
        <v>0.016568324310262478</v>
      </c>
      <c r="E1025" s="76">
        <f t="shared" si="189"/>
        <v>0.012600073696128299</v>
      </c>
      <c r="F1025" s="76">
        <f t="shared" si="189"/>
        <v>0.010107452971269745</v>
      </c>
      <c r="G1025" s="76">
        <f t="shared" si="189"/>
        <v>0.012732504461556384</v>
      </c>
      <c r="H1025" s="76">
        <f t="shared" si="189"/>
        <v>-0.012743110083036231</v>
      </c>
      <c r="I1025" s="76">
        <f t="shared" si="189"/>
        <v>-0.005434864342042571</v>
      </c>
      <c r="J1025" s="65" t="s">
        <v>334</v>
      </c>
    </row>
    <row r="1026" spans="1:10" ht="13.5" thickBot="1">
      <c r="A1026" s="32"/>
      <c r="B1026" s="33"/>
      <c r="C1026" s="34"/>
      <c r="D1026" s="56"/>
      <c r="E1026" s="56"/>
      <c r="F1026" s="56"/>
      <c r="G1026" s="56"/>
      <c r="H1026" s="56"/>
      <c r="I1026" s="56"/>
      <c r="J1026" s="62" t="s">
        <v>335</v>
      </c>
    </row>
    <row r="1027" spans="1:10" ht="12.75">
      <c r="A1027" s="19"/>
      <c r="B1027" s="8"/>
      <c r="C1027" s="12" t="s">
        <v>276</v>
      </c>
      <c r="D1027" s="54"/>
      <c r="E1027" s="54"/>
      <c r="F1027" s="54"/>
      <c r="G1027" s="54"/>
      <c r="H1027" s="54"/>
      <c r="I1027" s="54"/>
      <c r="J1027" s="60"/>
    </row>
    <row r="1028" spans="1:10" ht="12.75">
      <c r="A1028" s="28" t="s">
        <v>20</v>
      </c>
      <c r="B1028" s="29" t="s">
        <v>277</v>
      </c>
      <c r="C1028" s="30" t="s">
        <v>153</v>
      </c>
      <c r="D1028" s="51">
        <f aca="true" t="shared" si="190" ref="D1028:I1028">D195</f>
        <v>7107548.220000001</v>
      </c>
      <c r="E1028" s="51">
        <f t="shared" si="190"/>
        <v>3028344.3</v>
      </c>
      <c r="F1028" s="51">
        <f t="shared" si="190"/>
        <v>5188694.4799999995</v>
      </c>
      <c r="G1028" s="51">
        <f t="shared" si="190"/>
        <v>15324587</v>
      </c>
      <c r="H1028" s="51">
        <f t="shared" si="190"/>
        <v>11527649</v>
      </c>
      <c r="I1028" s="51">
        <f t="shared" si="190"/>
        <v>26852236</v>
      </c>
      <c r="J1028" s="61"/>
    </row>
    <row r="1029" spans="1:10" ht="12.75">
      <c r="A1029" s="28" t="s">
        <v>20</v>
      </c>
      <c r="B1029" s="29" t="s">
        <v>278</v>
      </c>
      <c r="C1029" s="30" t="s">
        <v>279</v>
      </c>
      <c r="D1029" s="51">
        <f aca="true" t="shared" si="191" ref="D1029:I1029">D204</f>
        <v>0</v>
      </c>
      <c r="E1029" s="51">
        <f t="shared" si="191"/>
        <v>0</v>
      </c>
      <c r="F1029" s="51">
        <f t="shared" si="191"/>
        <v>0</v>
      </c>
      <c r="G1029" s="51">
        <f t="shared" si="191"/>
        <v>0</v>
      </c>
      <c r="H1029" s="51">
        <f t="shared" si="191"/>
        <v>0</v>
      </c>
      <c r="I1029" s="51">
        <f t="shared" si="191"/>
        <v>0</v>
      </c>
      <c r="J1029" s="61"/>
    </row>
    <row r="1030" spans="1:10" ht="12.75">
      <c r="A1030" s="28" t="s">
        <v>20</v>
      </c>
      <c r="B1030" s="29" t="s">
        <v>280</v>
      </c>
      <c r="C1030" s="30" t="s">
        <v>34</v>
      </c>
      <c r="D1030" s="51">
        <f aca="true" t="shared" si="192" ref="D1030:I1030">D208</f>
        <v>372319.18</v>
      </c>
      <c r="E1030" s="51">
        <f t="shared" si="192"/>
        <v>328031.7</v>
      </c>
      <c r="F1030" s="51">
        <f t="shared" si="192"/>
        <v>63289.5</v>
      </c>
      <c r="G1030" s="51">
        <f t="shared" si="192"/>
        <v>763640.38</v>
      </c>
      <c r="H1030" s="51">
        <f t="shared" si="192"/>
        <v>1277303</v>
      </c>
      <c r="I1030" s="51">
        <f t="shared" si="192"/>
        <v>2040943.38</v>
      </c>
      <c r="J1030" s="61"/>
    </row>
    <row r="1031" spans="1:10" ht="12.75">
      <c r="A1031" s="28" t="s">
        <v>20</v>
      </c>
      <c r="B1031" s="29" t="s">
        <v>281</v>
      </c>
      <c r="C1031" s="30" t="s">
        <v>35</v>
      </c>
      <c r="D1031" s="51">
        <f aca="true" t="shared" si="193" ref="D1031:I1031">D218</f>
        <v>0</v>
      </c>
      <c r="E1031" s="51">
        <f t="shared" si="193"/>
        <v>0</v>
      </c>
      <c r="F1031" s="51">
        <f t="shared" si="193"/>
        <v>0</v>
      </c>
      <c r="G1031" s="51">
        <f t="shared" si="193"/>
        <v>0</v>
      </c>
      <c r="H1031" s="51">
        <f t="shared" si="193"/>
        <v>70000</v>
      </c>
      <c r="I1031" s="51">
        <f t="shared" si="193"/>
        <v>70000</v>
      </c>
      <c r="J1031" s="61"/>
    </row>
    <row r="1032" spans="1:10" ht="12.75">
      <c r="A1032" s="28" t="s">
        <v>20</v>
      </c>
      <c r="B1032" s="29" t="s">
        <v>282</v>
      </c>
      <c r="C1032" s="30" t="s">
        <v>167</v>
      </c>
      <c r="D1032" s="51">
        <f aca="true" t="shared" si="194" ref="D1032:I1032">D228</f>
        <v>0</v>
      </c>
      <c r="E1032" s="51">
        <f t="shared" si="194"/>
        <v>0</v>
      </c>
      <c r="F1032" s="51">
        <f t="shared" si="194"/>
        <v>0</v>
      </c>
      <c r="G1032" s="51">
        <f t="shared" si="194"/>
        <v>0</v>
      </c>
      <c r="H1032" s="51">
        <f t="shared" si="194"/>
        <v>40000</v>
      </c>
      <c r="I1032" s="51">
        <f t="shared" si="194"/>
        <v>40000</v>
      </c>
      <c r="J1032" s="61"/>
    </row>
    <row r="1033" spans="1:10" ht="13.5" thickBot="1">
      <c r="A1033" s="28" t="s">
        <v>20</v>
      </c>
      <c r="B1033" s="29" t="s">
        <v>283</v>
      </c>
      <c r="C1033" s="30" t="s">
        <v>168</v>
      </c>
      <c r="D1033" s="50">
        <f aca="true" t="shared" si="195" ref="D1033:I1033">D238</f>
        <v>171507.95</v>
      </c>
      <c r="E1033" s="50">
        <f t="shared" si="195"/>
        <v>51311.9</v>
      </c>
      <c r="F1033" s="50">
        <f t="shared" si="195"/>
        <v>406378.4</v>
      </c>
      <c r="G1033" s="50">
        <f t="shared" si="195"/>
        <v>629198.25</v>
      </c>
      <c r="H1033" s="50">
        <f t="shared" si="195"/>
        <v>13617807</v>
      </c>
      <c r="I1033" s="50">
        <f t="shared" si="195"/>
        <v>14247005.25</v>
      </c>
      <c r="J1033" s="61"/>
    </row>
    <row r="1034" spans="1:10" ht="12.75">
      <c r="A1034" s="28" t="s">
        <v>17</v>
      </c>
      <c r="B1034" s="29"/>
      <c r="C1034" s="30" t="s">
        <v>284</v>
      </c>
      <c r="D1034" s="51">
        <f aca="true" t="shared" si="196" ref="D1034:I1034">SUM(D1028:D1033)</f>
        <v>7651375.350000001</v>
      </c>
      <c r="E1034" s="51">
        <f t="shared" si="196"/>
        <v>3407687.9</v>
      </c>
      <c r="F1034" s="51">
        <f t="shared" si="196"/>
        <v>5658362.38</v>
      </c>
      <c r="G1034" s="51">
        <f t="shared" si="196"/>
        <v>16717425.63</v>
      </c>
      <c r="H1034" s="51">
        <f t="shared" si="196"/>
        <v>26532759</v>
      </c>
      <c r="I1034" s="51">
        <f t="shared" si="196"/>
        <v>43250184.629999995</v>
      </c>
      <c r="J1034" s="61"/>
    </row>
    <row r="1035" spans="1:10" ht="12.75">
      <c r="A1035" s="28"/>
      <c r="B1035" s="29"/>
      <c r="C1035" s="30"/>
      <c r="D1035" s="51"/>
      <c r="E1035" s="51"/>
      <c r="F1035" s="51"/>
      <c r="G1035" s="51"/>
      <c r="H1035" s="51"/>
      <c r="I1035" s="51"/>
      <c r="J1035" s="61"/>
    </row>
    <row r="1036" spans="1:10" ht="12.75">
      <c r="A1036" s="28" t="s">
        <v>20</v>
      </c>
      <c r="B1036" s="29" t="s">
        <v>220</v>
      </c>
      <c r="C1036" s="30" t="s">
        <v>285</v>
      </c>
      <c r="D1036" s="51">
        <f aca="true" t="shared" si="197" ref="D1036:I1036">D110</f>
        <v>47890654.79000001</v>
      </c>
      <c r="E1036" s="51">
        <f t="shared" si="197"/>
        <v>48263316.620000005</v>
      </c>
      <c r="F1036" s="51">
        <f t="shared" si="197"/>
        <v>66392069.62</v>
      </c>
      <c r="G1036" s="51">
        <f t="shared" si="197"/>
        <v>162546041.03</v>
      </c>
      <c r="H1036" s="51">
        <f t="shared" si="197"/>
        <v>362583762</v>
      </c>
      <c r="I1036" s="51">
        <f t="shared" si="197"/>
        <v>525129803.03</v>
      </c>
      <c r="J1036" s="61"/>
    </row>
    <row r="1037" spans="1:10" ht="12.75">
      <c r="A1037" s="28" t="s">
        <v>19</v>
      </c>
      <c r="B1037" s="29" t="s">
        <v>235</v>
      </c>
      <c r="C1037" s="30" t="s">
        <v>286</v>
      </c>
      <c r="D1037" s="51">
        <f aca="true" t="shared" si="198" ref="D1037:I1037">-D71</f>
        <v>-3684268</v>
      </c>
      <c r="E1037" s="51">
        <f t="shared" si="198"/>
        <v>-3242020.98</v>
      </c>
      <c r="F1037" s="51">
        <f t="shared" si="198"/>
        <v>-6232616.07</v>
      </c>
      <c r="G1037" s="51">
        <f t="shared" si="198"/>
        <v>-13158905.05</v>
      </c>
      <c r="H1037" s="51">
        <f t="shared" si="198"/>
        <v>-9019009</v>
      </c>
      <c r="I1037" s="51">
        <f t="shared" si="198"/>
        <v>-22177914.05</v>
      </c>
      <c r="J1037" s="61"/>
    </row>
    <row r="1038" spans="1:10" ht="12.75">
      <c r="A1038" s="28" t="s">
        <v>19</v>
      </c>
      <c r="B1038" s="29" t="s">
        <v>287</v>
      </c>
      <c r="C1038" s="30" t="s">
        <v>78</v>
      </c>
      <c r="D1038" s="51">
        <f aca="true" t="shared" si="199" ref="D1038:I1038">-D81</f>
        <v>-107741.95</v>
      </c>
      <c r="E1038" s="51">
        <f t="shared" si="199"/>
        <v>-100805.1</v>
      </c>
      <c r="F1038" s="51">
        <f t="shared" si="199"/>
        <v>-473976.48</v>
      </c>
      <c r="G1038" s="51">
        <f t="shared" si="199"/>
        <v>-682523.53</v>
      </c>
      <c r="H1038" s="51">
        <f t="shared" si="199"/>
        <v>-3306200</v>
      </c>
      <c r="I1038" s="51">
        <f t="shared" si="199"/>
        <v>-3988723.5300000003</v>
      </c>
      <c r="J1038" s="61"/>
    </row>
    <row r="1039" spans="1:10" ht="12.75">
      <c r="A1039" s="28" t="s">
        <v>19</v>
      </c>
      <c r="B1039" s="29" t="s">
        <v>222</v>
      </c>
      <c r="C1039" s="30" t="s">
        <v>9</v>
      </c>
      <c r="D1039" s="51">
        <f aca="true" t="shared" si="200" ref="D1039:I1039">-D92</f>
        <v>0</v>
      </c>
      <c r="E1039" s="51">
        <f t="shared" si="200"/>
        <v>0</v>
      </c>
      <c r="F1039" s="51">
        <f t="shared" si="200"/>
        <v>0</v>
      </c>
      <c r="G1039" s="51">
        <f t="shared" si="200"/>
        <v>0</v>
      </c>
      <c r="H1039" s="51">
        <f t="shared" si="200"/>
        <v>-28430592</v>
      </c>
      <c r="I1039" s="51">
        <f t="shared" si="200"/>
        <v>-28430592</v>
      </c>
      <c r="J1039" s="61"/>
    </row>
    <row r="1040" spans="1:10" ht="12.75">
      <c r="A1040" s="28" t="s">
        <v>19</v>
      </c>
      <c r="B1040" s="29" t="s">
        <v>223</v>
      </c>
      <c r="C1040" s="30" t="s">
        <v>288</v>
      </c>
      <c r="D1040" s="51">
        <f aca="true" t="shared" si="201" ref="D1040:I1040">-D100</f>
        <v>-1060893.53</v>
      </c>
      <c r="E1040" s="51">
        <f t="shared" si="201"/>
        <v>-2005225</v>
      </c>
      <c r="F1040" s="51">
        <f t="shared" si="201"/>
        <v>-372772.3</v>
      </c>
      <c r="G1040" s="51">
        <f t="shared" si="201"/>
        <v>-3438890.8299999996</v>
      </c>
      <c r="H1040" s="51">
        <f t="shared" si="201"/>
        <v>-12901113</v>
      </c>
      <c r="I1040" s="51">
        <f t="shared" si="201"/>
        <v>-16340003.830000002</v>
      </c>
      <c r="J1040" s="61"/>
    </row>
    <row r="1041" spans="1:10" ht="12.75">
      <c r="A1041" s="28" t="s">
        <v>19</v>
      </c>
      <c r="B1041" s="29" t="s">
        <v>225</v>
      </c>
      <c r="C1041" s="30" t="s">
        <v>10</v>
      </c>
      <c r="D1041" s="45">
        <f aca="true" t="shared" si="202" ref="D1041:I1041">-D109</f>
        <v>-5937643.01</v>
      </c>
      <c r="E1041" s="45">
        <f t="shared" si="202"/>
        <v>-4636688.75</v>
      </c>
      <c r="F1041" s="45">
        <f t="shared" si="202"/>
        <v>-6493096.64</v>
      </c>
      <c r="G1041" s="45">
        <f t="shared" si="202"/>
        <v>-17067428.4</v>
      </c>
      <c r="H1041" s="45">
        <f t="shared" si="202"/>
        <v>-10680140</v>
      </c>
      <c r="I1041" s="45">
        <f t="shared" si="202"/>
        <v>-27747568.400000002</v>
      </c>
      <c r="J1041" s="61"/>
    </row>
    <row r="1042" spans="1:10" ht="13.5" thickBot="1">
      <c r="A1042" s="28" t="s">
        <v>20</v>
      </c>
      <c r="B1042" s="29" t="s">
        <v>289</v>
      </c>
      <c r="C1042" s="30" t="s">
        <v>284</v>
      </c>
      <c r="D1042" s="50">
        <f aca="true" t="shared" si="203" ref="D1042:I1042">D1034</f>
        <v>7651375.350000001</v>
      </c>
      <c r="E1042" s="50">
        <f t="shared" si="203"/>
        <v>3407687.9</v>
      </c>
      <c r="F1042" s="50">
        <f t="shared" si="203"/>
        <v>5658362.38</v>
      </c>
      <c r="G1042" s="50">
        <f t="shared" si="203"/>
        <v>16717425.63</v>
      </c>
      <c r="H1042" s="50">
        <f t="shared" si="203"/>
        <v>26532759</v>
      </c>
      <c r="I1042" s="50">
        <f t="shared" si="203"/>
        <v>43250184.629999995</v>
      </c>
      <c r="J1042" s="64" t="s">
        <v>336</v>
      </c>
    </row>
    <row r="1043" spans="1:10" ht="12.75">
      <c r="A1043" s="28" t="s">
        <v>17</v>
      </c>
      <c r="B1043" s="29"/>
      <c r="C1043" s="30" t="s">
        <v>290</v>
      </c>
      <c r="D1043" s="51">
        <f aca="true" t="shared" si="204" ref="D1043:I1043">SUM(D1036:D1042)</f>
        <v>44751483.650000006</v>
      </c>
      <c r="E1043" s="51">
        <f t="shared" si="204"/>
        <v>41686264.690000005</v>
      </c>
      <c r="F1043" s="51">
        <f t="shared" si="204"/>
        <v>58477970.510000005</v>
      </c>
      <c r="G1043" s="51">
        <f t="shared" si="204"/>
        <v>144915718.84999996</v>
      </c>
      <c r="H1043" s="51">
        <f t="shared" si="204"/>
        <v>324779467</v>
      </c>
      <c r="I1043" s="51">
        <f t="shared" si="204"/>
        <v>469695185.85</v>
      </c>
      <c r="J1043" s="61" t="s">
        <v>337</v>
      </c>
    </row>
    <row r="1044" spans="1:10" ht="12.75">
      <c r="A1044" s="28"/>
      <c r="B1044" s="29"/>
      <c r="C1044" s="30"/>
      <c r="D1044" s="51"/>
      <c r="E1044" s="51"/>
      <c r="F1044" s="51"/>
      <c r="G1044" s="51"/>
      <c r="H1044" s="51"/>
      <c r="I1044" s="51"/>
      <c r="J1044" s="61" t="s">
        <v>338</v>
      </c>
    </row>
    <row r="1045" spans="1:10" ht="12.75">
      <c r="A1045" s="28"/>
      <c r="B1045" s="29"/>
      <c r="C1045" s="30" t="s">
        <v>291</v>
      </c>
      <c r="D1045" s="76">
        <f aca="true" t="shared" si="205" ref="D1045:I1045">D1034/D1043</f>
        <v>0.17097478621806542</v>
      </c>
      <c r="E1045" s="76">
        <f t="shared" si="205"/>
        <v>0.08174606013134729</v>
      </c>
      <c r="F1045" s="76">
        <f t="shared" si="205"/>
        <v>0.09676058061954106</v>
      </c>
      <c r="G1045" s="76">
        <f t="shared" si="205"/>
        <v>0.11535964326481347</v>
      </c>
      <c r="H1045" s="76">
        <f t="shared" si="205"/>
        <v>0.08169469346410375</v>
      </c>
      <c r="I1045" s="76">
        <f t="shared" si="205"/>
        <v>0.09208138795744907</v>
      </c>
      <c r="J1045" s="61" t="s">
        <v>339</v>
      </c>
    </row>
    <row r="1046" spans="1:10" ht="13.5" thickBot="1">
      <c r="A1046" s="32"/>
      <c r="B1046" s="33"/>
      <c r="C1046" s="34"/>
      <c r="D1046" s="56"/>
      <c r="E1046" s="56"/>
      <c r="F1046" s="56"/>
      <c r="G1046" s="56"/>
      <c r="H1046" s="56"/>
      <c r="I1046" s="56"/>
      <c r="J1046" s="62" t="s">
        <v>340</v>
      </c>
    </row>
    <row r="1047" spans="1:10" ht="12.75">
      <c r="A1047" s="19"/>
      <c r="B1047" s="8"/>
      <c r="C1047" s="12" t="s">
        <v>293</v>
      </c>
      <c r="D1047" s="54"/>
      <c r="E1047" s="54"/>
      <c r="F1047" s="54"/>
      <c r="G1047" s="54"/>
      <c r="H1047" s="54"/>
      <c r="I1047" s="54"/>
      <c r="J1047" s="60"/>
    </row>
    <row r="1048" spans="1:10" ht="12.75">
      <c r="A1048" s="28"/>
      <c r="B1048" s="29"/>
      <c r="C1048" s="30"/>
      <c r="D1048" s="51"/>
      <c r="E1048" s="51"/>
      <c r="F1048" s="51"/>
      <c r="G1048" s="51"/>
      <c r="H1048" s="51"/>
      <c r="I1048" s="51"/>
      <c r="J1048" s="61"/>
    </row>
    <row r="1049" spans="1:10" ht="12.75">
      <c r="A1049" s="28" t="s">
        <v>20</v>
      </c>
      <c r="B1049" s="29" t="s">
        <v>294</v>
      </c>
      <c r="C1049" s="30" t="s">
        <v>8</v>
      </c>
      <c r="D1049" s="51">
        <f aca="true" t="shared" si="206" ref="D1049:I1049">D56</f>
        <v>21877511.6</v>
      </c>
      <c r="E1049" s="51">
        <f t="shared" si="206"/>
        <v>23409920.500000004</v>
      </c>
      <c r="F1049" s="51">
        <f t="shared" si="206"/>
        <v>30682990.540000003</v>
      </c>
      <c r="G1049" s="51">
        <f t="shared" si="206"/>
        <v>75970422.64</v>
      </c>
      <c r="H1049" s="51">
        <f t="shared" si="206"/>
        <v>71379209</v>
      </c>
      <c r="I1049" s="51">
        <f t="shared" si="206"/>
        <v>147349631.64</v>
      </c>
      <c r="J1049" s="61"/>
    </row>
    <row r="1050" spans="1:10" ht="12.75">
      <c r="A1050" s="28" t="s">
        <v>20</v>
      </c>
      <c r="B1050" s="29" t="s">
        <v>295</v>
      </c>
      <c r="C1050" s="30" t="s">
        <v>68</v>
      </c>
      <c r="D1050" s="51">
        <f aca="true" t="shared" si="207" ref="D1050:I1050">D67</f>
        <v>10577287.240000002</v>
      </c>
      <c r="E1050" s="51">
        <f t="shared" si="207"/>
        <v>8346573.03</v>
      </c>
      <c r="F1050" s="51">
        <f t="shared" si="207"/>
        <v>12542877.870000001</v>
      </c>
      <c r="G1050" s="51">
        <f t="shared" si="207"/>
        <v>31466738.14</v>
      </c>
      <c r="H1050" s="51">
        <f t="shared" si="207"/>
        <v>31330807</v>
      </c>
      <c r="I1050" s="51">
        <f t="shared" si="207"/>
        <v>62797545.14000001</v>
      </c>
      <c r="J1050" s="61"/>
    </row>
    <row r="1051" spans="1:10" ht="12.75">
      <c r="A1051" s="28" t="s">
        <v>20</v>
      </c>
      <c r="B1051" s="29" t="s">
        <v>235</v>
      </c>
      <c r="C1051" s="30" t="s">
        <v>22</v>
      </c>
      <c r="D1051" s="51">
        <f aca="true" t="shared" si="208" ref="D1051:I1051">D71</f>
        <v>3684268</v>
      </c>
      <c r="E1051" s="51">
        <f t="shared" si="208"/>
        <v>3242020.98</v>
      </c>
      <c r="F1051" s="51">
        <f t="shared" si="208"/>
        <v>6232616.07</v>
      </c>
      <c r="G1051" s="51">
        <f t="shared" si="208"/>
        <v>13158905.05</v>
      </c>
      <c r="H1051" s="51">
        <f t="shared" si="208"/>
        <v>9019009</v>
      </c>
      <c r="I1051" s="51">
        <f t="shared" si="208"/>
        <v>22177914.05</v>
      </c>
      <c r="J1051" s="61"/>
    </row>
    <row r="1052" spans="1:10" ht="12.75">
      <c r="A1052" s="28" t="s">
        <v>20</v>
      </c>
      <c r="B1052" s="29" t="s">
        <v>287</v>
      </c>
      <c r="C1052" s="30" t="s">
        <v>78</v>
      </c>
      <c r="D1052" s="51">
        <f aca="true" t="shared" si="209" ref="D1052:I1052">D81</f>
        <v>107741.95</v>
      </c>
      <c r="E1052" s="51">
        <f t="shared" si="209"/>
        <v>100805.1</v>
      </c>
      <c r="F1052" s="51">
        <f t="shared" si="209"/>
        <v>473976.48</v>
      </c>
      <c r="G1052" s="51">
        <f t="shared" si="209"/>
        <v>682523.53</v>
      </c>
      <c r="H1052" s="51">
        <f t="shared" si="209"/>
        <v>3306200</v>
      </c>
      <c r="I1052" s="51">
        <f t="shared" si="209"/>
        <v>3988723.5300000003</v>
      </c>
      <c r="J1052" s="61"/>
    </row>
    <row r="1053" spans="1:10" ht="12.75">
      <c r="A1053" s="28" t="s">
        <v>20</v>
      </c>
      <c r="B1053" s="29" t="s">
        <v>296</v>
      </c>
      <c r="C1053" s="30" t="s">
        <v>87</v>
      </c>
      <c r="D1053" s="51">
        <f aca="true" t="shared" si="210" ref="D1053:I1053">D90</f>
        <v>3827379.65</v>
      </c>
      <c r="E1053" s="51">
        <f t="shared" si="210"/>
        <v>5288109.369999999</v>
      </c>
      <c r="F1053" s="51">
        <f t="shared" si="210"/>
        <v>8383087.93</v>
      </c>
      <c r="G1053" s="51">
        <f t="shared" si="210"/>
        <v>17498576.95</v>
      </c>
      <c r="H1053" s="51">
        <f t="shared" si="210"/>
        <v>189993093</v>
      </c>
      <c r="I1053" s="51">
        <f t="shared" si="210"/>
        <v>207491669.95</v>
      </c>
      <c r="J1053" s="61"/>
    </row>
    <row r="1054" spans="1:10" ht="12.75">
      <c r="A1054" s="28" t="s">
        <v>20</v>
      </c>
      <c r="B1054" s="29" t="s">
        <v>222</v>
      </c>
      <c r="C1054" s="30" t="s">
        <v>9</v>
      </c>
      <c r="D1054" s="51">
        <f aca="true" t="shared" si="211" ref="D1054:I1054">D92</f>
        <v>0</v>
      </c>
      <c r="E1054" s="51">
        <f t="shared" si="211"/>
        <v>0</v>
      </c>
      <c r="F1054" s="51">
        <f t="shared" si="211"/>
        <v>0</v>
      </c>
      <c r="G1054" s="51">
        <f t="shared" si="211"/>
        <v>0</v>
      </c>
      <c r="H1054" s="51">
        <f t="shared" si="211"/>
        <v>28430592</v>
      </c>
      <c r="I1054" s="51">
        <f t="shared" si="211"/>
        <v>28430592</v>
      </c>
      <c r="J1054" s="61"/>
    </row>
    <row r="1055" spans="1:10" ht="13.5" thickBot="1">
      <c r="A1055" s="28" t="s">
        <v>20</v>
      </c>
      <c r="B1055" s="29" t="s">
        <v>225</v>
      </c>
      <c r="C1055" s="30" t="s">
        <v>10</v>
      </c>
      <c r="D1055" s="79">
        <f aca="true" t="shared" si="212" ref="D1055:I1055">D109</f>
        <v>5937643.01</v>
      </c>
      <c r="E1055" s="79">
        <f t="shared" si="212"/>
        <v>4636688.75</v>
      </c>
      <c r="F1055" s="79">
        <f t="shared" si="212"/>
        <v>6493096.64</v>
      </c>
      <c r="G1055" s="79">
        <f t="shared" si="212"/>
        <v>17067428.4</v>
      </c>
      <c r="H1055" s="79">
        <f t="shared" si="212"/>
        <v>10680140</v>
      </c>
      <c r="I1055" s="79">
        <f t="shared" si="212"/>
        <v>27747568.400000002</v>
      </c>
      <c r="J1055" s="61"/>
    </row>
    <row r="1056" spans="1:10" ht="12.75">
      <c r="A1056" s="28" t="s">
        <v>17</v>
      </c>
      <c r="B1056" s="29"/>
      <c r="C1056" s="39" t="s">
        <v>297</v>
      </c>
      <c r="D1056" s="58">
        <f aca="true" t="shared" si="213" ref="D1056:I1056">SUM(D1049:D1055)</f>
        <v>46011831.45</v>
      </c>
      <c r="E1056" s="58">
        <f t="shared" si="213"/>
        <v>45024117.730000004</v>
      </c>
      <c r="F1056" s="58">
        <f t="shared" si="213"/>
        <v>64808645.53</v>
      </c>
      <c r="G1056" s="58">
        <f t="shared" si="213"/>
        <v>155844594.71</v>
      </c>
      <c r="H1056" s="58">
        <f t="shared" si="213"/>
        <v>344139050</v>
      </c>
      <c r="I1056" s="58">
        <f t="shared" si="213"/>
        <v>499983644.71</v>
      </c>
      <c r="J1056" s="61"/>
    </row>
    <row r="1057" spans="1:10" ht="12.75">
      <c r="A1057" s="28"/>
      <c r="B1057" s="29"/>
      <c r="C1057" s="30"/>
      <c r="D1057" s="51"/>
      <c r="E1057" s="51"/>
      <c r="F1057" s="51"/>
      <c r="G1057" s="51"/>
      <c r="H1057" s="51"/>
      <c r="I1057" s="51"/>
      <c r="J1057" s="61"/>
    </row>
    <row r="1058" spans="1:10" ht="12.75">
      <c r="A1058" s="28" t="s">
        <v>19</v>
      </c>
      <c r="B1058" s="29" t="s">
        <v>248</v>
      </c>
      <c r="C1058" s="30" t="s">
        <v>203</v>
      </c>
      <c r="D1058" s="51">
        <f aca="true" t="shared" si="214" ref="D1058:I1058">-D117</f>
        <v>-21059526.4</v>
      </c>
      <c r="E1058" s="51">
        <f t="shared" si="214"/>
        <v>-28157267.209999997</v>
      </c>
      <c r="F1058" s="51">
        <f t="shared" si="214"/>
        <v>-36121013.41</v>
      </c>
      <c r="G1058" s="51">
        <f t="shared" si="214"/>
        <v>-85337807.02</v>
      </c>
      <c r="H1058" s="51">
        <f t="shared" si="214"/>
        <v>-110076004</v>
      </c>
      <c r="I1058" s="51">
        <f t="shared" si="214"/>
        <v>-195413811.01999998</v>
      </c>
      <c r="J1058" s="61"/>
    </row>
    <row r="1059" spans="1:10" ht="12.75">
      <c r="A1059" s="28" t="s">
        <v>19</v>
      </c>
      <c r="B1059" s="29" t="s">
        <v>249</v>
      </c>
      <c r="C1059" s="30" t="s">
        <v>105</v>
      </c>
      <c r="D1059" s="51">
        <f aca="true" t="shared" si="215" ref="D1059:I1059">-D122</f>
        <v>-1125800.55</v>
      </c>
      <c r="E1059" s="51">
        <f t="shared" si="215"/>
        <v>-599623.35</v>
      </c>
      <c r="F1059" s="51">
        <f t="shared" si="215"/>
        <v>-299542.1</v>
      </c>
      <c r="G1059" s="51">
        <f t="shared" si="215"/>
        <v>-2024966</v>
      </c>
      <c r="H1059" s="51">
        <f t="shared" si="215"/>
        <v>-16143638</v>
      </c>
      <c r="I1059" s="51">
        <f t="shared" si="215"/>
        <v>-18168604</v>
      </c>
      <c r="J1059" s="61"/>
    </row>
    <row r="1060" spans="1:10" ht="12.75">
      <c r="A1060" s="28" t="s">
        <v>19</v>
      </c>
      <c r="B1060" s="29" t="s">
        <v>250</v>
      </c>
      <c r="C1060" s="30" t="s">
        <v>12</v>
      </c>
      <c r="D1060" s="51">
        <f aca="true" t="shared" si="216" ref="D1060:I1060">-D132</f>
        <v>-7722533.61</v>
      </c>
      <c r="E1060" s="51">
        <f t="shared" si="216"/>
        <v>-5713645.430000001</v>
      </c>
      <c r="F1060" s="51">
        <f t="shared" si="216"/>
        <v>-8828829.7</v>
      </c>
      <c r="G1060" s="51">
        <f t="shared" si="216"/>
        <v>-22265008.740000006</v>
      </c>
      <c r="H1060" s="51">
        <f t="shared" si="216"/>
        <v>-58263121</v>
      </c>
      <c r="I1060" s="51">
        <f t="shared" si="216"/>
        <v>-80528129.74000001</v>
      </c>
      <c r="J1060" s="61"/>
    </row>
    <row r="1061" spans="1:10" ht="12.75">
      <c r="A1061" s="16" t="s">
        <v>19</v>
      </c>
      <c r="B1061" s="6" t="s">
        <v>251</v>
      </c>
      <c r="C1061" s="37" t="s">
        <v>298</v>
      </c>
      <c r="D1061" s="46">
        <f aca="true" t="shared" si="217" ref="D1061:I1061">-D137</f>
        <v>-175823.2</v>
      </c>
      <c r="E1061" s="46">
        <f t="shared" si="217"/>
        <v>-789</v>
      </c>
      <c r="F1061" s="46">
        <f t="shared" si="217"/>
        <v>-255735.5</v>
      </c>
      <c r="G1061" s="46">
        <f t="shared" si="217"/>
        <v>-432347.7</v>
      </c>
      <c r="H1061" s="46">
        <f t="shared" si="217"/>
        <v>-135589</v>
      </c>
      <c r="I1061" s="46">
        <f t="shared" si="217"/>
        <v>-567936.7000000001</v>
      </c>
      <c r="J1061" s="61"/>
    </row>
    <row r="1062" spans="1:10" ht="12.75">
      <c r="A1062" s="16" t="s">
        <v>19</v>
      </c>
      <c r="B1062" s="6" t="s">
        <v>299</v>
      </c>
      <c r="C1062" s="20" t="s">
        <v>130</v>
      </c>
      <c r="D1062" s="46">
        <f aca="true" t="shared" si="218" ref="D1062:I1062">-D151</f>
        <v>0</v>
      </c>
      <c r="E1062" s="46">
        <f t="shared" si="218"/>
        <v>-97780</v>
      </c>
      <c r="F1062" s="46">
        <f t="shared" si="218"/>
        <v>-1361400.2</v>
      </c>
      <c r="G1062" s="46">
        <f t="shared" si="218"/>
        <v>-1459180.2</v>
      </c>
      <c r="H1062" s="46">
        <f t="shared" si="218"/>
        <v>-14928644</v>
      </c>
      <c r="I1062" s="46">
        <f t="shared" si="218"/>
        <v>-16387824.2</v>
      </c>
      <c r="J1062" s="61"/>
    </row>
    <row r="1063" spans="1:10" ht="12.75">
      <c r="A1063" s="16" t="s">
        <v>19</v>
      </c>
      <c r="B1063" s="6" t="s">
        <v>252</v>
      </c>
      <c r="C1063" s="20" t="s">
        <v>133</v>
      </c>
      <c r="D1063" s="46">
        <f aca="true" t="shared" si="219" ref="D1063:I1063">-D157</f>
        <v>-5415474.090000001</v>
      </c>
      <c r="E1063" s="46">
        <f t="shared" si="219"/>
        <v>-2000740.26</v>
      </c>
      <c r="F1063" s="46">
        <f t="shared" si="219"/>
        <v>-4527555.32</v>
      </c>
      <c r="G1063" s="46">
        <f t="shared" si="219"/>
        <v>-11943769.670000002</v>
      </c>
      <c r="H1063" s="46">
        <f t="shared" si="219"/>
        <v>-118667814</v>
      </c>
      <c r="I1063" s="46">
        <f t="shared" si="219"/>
        <v>-130611583.67</v>
      </c>
      <c r="J1063" s="61"/>
    </row>
    <row r="1064" spans="1:10" ht="12.75">
      <c r="A1064" s="16" t="s">
        <v>19</v>
      </c>
      <c r="B1064" s="6" t="s">
        <v>300</v>
      </c>
      <c r="C1064" s="20" t="s">
        <v>9</v>
      </c>
      <c r="D1064" s="78">
        <f aca="true" t="shared" si="220" ref="D1064:I1064">-D159</f>
        <v>0</v>
      </c>
      <c r="E1064" s="78">
        <f t="shared" si="220"/>
        <v>0</v>
      </c>
      <c r="F1064" s="78">
        <f t="shared" si="220"/>
        <v>0</v>
      </c>
      <c r="G1064" s="78">
        <f t="shared" si="220"/>
        <v>0</v>
      </c>
      <c r="H1064" s="78">
        <f t="shared" si="220"/>
        <v>-28430592</v>
      </c>
      <c r="I1064" s="78">
        <f t="shared" si="220"/>
        <v>-28430592</v>
      </c>
      <c r="J1064" s="61"/>
    </row>
    <row r="1065" spans="1:10" ht="13.5" thickBot="1">
      <c r="A1065" s="16" t="s">
        <v>19</v>
      </c>
      <c r="B1065" s="6" t="s">
        <v>366</v>
      </c>
      <c r="C1065" s="20" t="s">
        <v>367</v>
      </c>
      <c r="D1065" s="77">
        <f aca="true" t="shared" si="221" ref="D1065:I1065">-D178</f>
        <v>-5937643.01</v>
      </c>
      <c r="E1065" s="77">
        <f t="shared" si="221"/>
        <v>-4636688.75</v>
      </c>
      <c r="F1065" s="77">
        <f t="shared" si="221"/>
        <v>-6493096.64</v>
      </c>
      <c r="G1065" s="77">
        <f t="shared" si="221"/>
        <v>-17067428.4</v>
      </c>
      <c r="H1065" s="77">
        <f t="shared" si="221"/>
        <v>-10680140</v>
      </c>
      <c r="I1065" s="77">
        <f t="shared" si="221"/>
        <v>-27747568.400000002</v>
      </c>
      <c r="J1065" s="61"/>
    </row>
    <row r="1066" spans="1:10" ht="12.75">
      <c r="A1066" s="16" t="s">
        <v>17</v>
      </c>
      <c r="B1066" s="6"/>
      <c r="C1066" s="40" t="s">
        <v>301</v>
      </c>
      <c r="D1066" s="58">
        <f aca="true" t="shared" si="222" ref="D1066:I1066">SUM(D1058:D1065)</f>
        <v>-41436800.86</v>
      </c>
      <c r="E1066" s="58">
        <f t="shared" si="222"/>
        <v>-41206534</v>
      </c>
      <c r="F1066" s="58">
        <f t="shared" si="222"/>
        <v>-57887172.87</v>
      </c>
      <c r="G1066" s="58">
        <f t="shared" si="222"/>
        <v>-140530507.73000002</v>
      </c>
      <c r="H1066" s="58">
        <f t="shared" si="222"/>
        <v>-357325542</v>
      </c>
      <c r="I1066" s="58">
        <f t="shared" si="222"/>
        <v>-497856049.72999996</v>
      </c>
      <c r="J1066" s="61"/>
    </row>
    <row r="1067" spans="1:10" ht="12.75">
      <c r="A1067" s="16"/>
      <c r="B1067" s="6"/>
      <c r="C1067" s="15"/>
      <c r="D1067" s="45"/>
      <c r="E1067" s="45"/>
      <c r="F1067" s="45"/>
      <c r="G1067" s="45"/>
      <c r="H1067" s="45"/>
      <c r="I1067" s="45"/>
      <c r="J1067" s="61"/>
    </row>
    <row r="1068" spans="1:10" ht="12.75">
      <c r="A1068" s="42" t="s">
        <v>17</v>
      </c>
      <c r="B1068" s="38"/>
      <c r="C1068" s="14" t="s">
        <v>347</v>
      </c>
      <c r="D1068" s="59">
        <f aca="true" t="shared" si="223" ref="D1068:I1068">D1056+D1066</f>
        <v>4575030.590000004</v>
      </c>
      <c r="E1068" s="59">
        <f t="shared" si="223"/>
        <v>3817583.730000004</v>
      </c>
      <c r="F1068" s="59">
        <f t="shared" si="223"/>
        <v>6921472.660000004</v>
      </c>
      <c r="G1068" s="59">
        <f t="shared" si="223"/>
        <v>15314086.97999999</v>
      </c>
      <c r="H1068" s="59">
        <f t="shared" si="223"/>
        <v>-13186492</v>
      </c>
      <c r="I1068" s="59">
        <f t="shared" si="223"/>
        <v>2127594.980000019</v>
      </c>
      <c r="J1068" s="61"/>
    </row>
    <row r="1069" spans="1:10" ht="12.75">
      <c r="A1069" s="16"/>
      <c r="B1069" s="6"/>
      <c r="C1069" s="15"/>
      <c r="D1069" s="45"/>
      <c r="E1069" s="45"/>
      <c r="F1069" s="45"/>
      <c r="G1069" s="45"/>
      <c r="H1069" s="45"/>
      <c r="I1069" s="45"/>
      <c r="J1069" s="61"/>
    </row>
    <row r="1070" spans="1:10" ht="12.75">
      <c r="A1070" s="16" t="s">
        <v>20</v>
      </c>
      <c r="B1070" s="6" t="s">
        <v>267</v>
      </c>
      <c r="C1070" s="15" t="s">
        <v>77</v>
      </c>
      <c r="D1070" s="45">
        <f aca="true" t="shared" si="224" ref="D1070:I1070">D78</f>
        <v>817929.81</v>
      </c>
      <c r="E1070" s="45">
        <f t="shared" si="224"/>
        <v>1233973.89</v>
      </c>
      <c r="F1070" s="45">
        <f t="shared" si="224"/>
        <v>1210651.79</v>
      </c>
      <c r="G1070" s="45">
        <f t="shared" si="224"/>
        <v>3262555.49</v>
      </c>
      <c r="H1070" s="45">
        <f t="shared" si="224"/>
        <v>5543599</v>
      </c>
      <c r="I1070" s="45">
        <f t="shared" si="224"/>
        <v>8806154.49</v>
      </c>
      <c r="J1070" s="61"/>
    </row>
    <row r="1071" spans="1:10" ht="13.5" thickBot="1">
      <c r="A1071" s="16" t="s">
        <v>19</v>
      </c>
      <c r="B1071" s="6" t="s">
        <v>265</v>
      </c>
      <c r="C1071" s="15" t="s">
        <v>23</v>
      </c>
      <c r="D1071" s="50">
        <f aca="true" t="shared" si="225" ref="D1071:I1071">-D148</f>
        <v>-2108066.85</v>
      </c>
      <c r="E1071" s="50">
        <f t="shared" si="225"/>
        <v>-3072726.6900000004</v>
      </c>
      <c r="F1071" s="50">
        <f t="shared" si="225"/>
        <v>-3330469.76</v>
      </c>
      <c r="G1071" s="50">
        <f t="shared" si="225"/>
        <v>-8511263.3</v>
      </c>
      <c r="H1071" s="50">
        <f t="shared" si="225"/>
        <v>-13226123</v>
      </c>
      <c r="I1071" s="50">
        <f t="shared" si="225"/>
        <v>-21737386.3</v>
      </c>
      <c r="J1071" s="61"/>
    </row>
    <row r="1072" spans="1:10" ht="12.75">
      <c r="A1072" s="68" t="s">
        <v>17</v>
      </c>
      <c r="B1072" s="69"/>
      <c r="C1072" s="40" t="s">
        <v>305</v>
      </c>
      <c r="D1072" s="70">
        <f aca="true" t="shared" si="226" ref="D1072:I1072">SUM(D1070:D1071)</f>
        <v>-1290137.04</v>
      </c>
      <c r="E1072" s="70">
        <f t="shared" si="226"/>
        <v>-1838752.8000000005</v>
      </c>
      <c r="F1072" s="70">
        <f t="shared" si="226"/>
        <v>-2119817.9699999997</v>
      </c>
      <c r="G1072" s="70">
        <f t="shared" si="226"/>
        <v>-5248707.8100000005</v>
      </c>
      <c r="H1072" s="70">
        <f t="shared" si="226"/>
        <v>-7682524</v>
      </c>
      <c r="I1072" s="70">
        <f t="shared" si="226"/>
        <v>-12931231.81</v>
      </c>
      <c r="J1072" s="61"/>
    </row>
    <row r="1073" spans="1:10" ht="12.75">
      <c r="A1073" s="16"/>
      <c r="B1073" s="6"/>
      <c r="C1073" s="15"/>
      <c r="D1073" s="45"/>
      <c r="E1073" s="45"/>
      <c r="F1073" s="45"/>
      <c r="G1073" s="45"/>
      <c r="H1073" s="45"/>
      <c r="I1073" s="45"/>
      <c r="J1073" s="61"/>
    </row>
    <row r="1074" spans="1:10" ht="12.75">
      <c r="A1074" s="42" t="s">
        <v>17</v>
      </c>
      <c r="B1074" s="38"/>
      <c r="C1074" s="14" t="s">
        <v>302</v>
      </c>
      <c r="D1074" s="48">
        <f aca="true" t="shared" si="227" ref="D1074:I1074">D1068+D1072</f>
        <v>3284893.5500000035</v>
      </c>
      <c r="E1074" s="48">
        <f t="shared" si="227"/>
        <v>1978830.9300000037</v>
      </c>
      <c r="F1074" s="48">
        <f t="shared" si="227"/>
        <v>4801654.690000004</v>
      </c>
      <c r="G1074" s="48">
        <f t="shared" si="227"/>
        <v>10065379.169999989</v>
      </c>
      <c r="H1074" s="48">
        <f t="shared" si="227"/>
        <v>-20869016</v>
      </c>
      <c r="I1074" s="48">
        <f t="shared" si="227"/>
        <v>-10803636.829999981</v>
      </c>
      <c r="J1074" s="61"/>
    </row>
    <row r="1075" spans="1:10" ht="12.75">
      <c r="A1075" s="16"/>
      <c r="B1075" s="6"/>
      <c r="C1075" s="15"/>
      <c r="D1075" s="45"/>
      <c r="E1075" s="45"/>
      <c r="F1075" s="45"/>
      <c r="G1075" s="45"/>
      <c r="H1075" s="45"/>
      <c r="I1075" s="45"/>
      <c r="J1075" s="61"/>
    </row>
    <row r="1076" spans="1:10" ht="12.75">
      <c r="A1076" s="16" t="s">
        <v>20</v>
      </c>
      <c r="B1076" s="6" t="s">
        <v>223</v>
      </c>
      <c r="C1076" s="15" t="s">
        <v>303</v>
      </c>
      <c r="D1076" s="45">
        <f aca="true" t="shared" si="228" ref="D1076:I1076">D100</f>
        <v>1060893.53</v>
      </c>
      <c r="E1076" s="45">
        <f t="shared" si="228"/>
        <v>2005225</v>
      </c>
      <c r="F1076" s="45">
        <f t="shared" si="228"/>
        <v>372772.3</v>
      </c>
      <c r="G1076" s="45">
        <f t="shared" si="228"/>
        <v>3438890.8299999996</v>
      </c>
      <c r="H1076" s="45">
        <f t="shared" si="228"/>
        <v>12901113</v>
      </c>
      <c r="I1076" s="45">
        <f t="shared" si="228"/>
        <v>16340003.830000002</v>
      </c>
      <c r="J1076" s="61"/>
    </row>
    <row r="1077" spans="1:10" ht="13.5" thickBot="1">
      <c r="A1077" s="16" t="s">
        <v>19</v>
      </c>
      <c r="B1077" s="6" t="s">
        <v>304</v>
      </c>
      <c r="C1077" s="15" t="s">
        <v>138</v>
      </c>
      <c r="D1077" s="50">
        <f aca="true" t="shared" si="229" ref="D1077:I1077">-D169</f>
        <v>-4983345.680000001</v>
      </c>
      <c r="E1077" s="50">
        <f t="shared" si="229"/>
        <v>-7498513.079999999</v>
      </c>
      <c r="F1077" s="50">
        <f t="shared" si="229"/>
        <v>-5646697.25</v>
      </c>
      <c r="G1077" s="50">
        <f t="shared" si="229"/>
        <v>-18128556.009999998</v>
      </c>
      <c r="H1077" s="50">
        <f t="shared" si="229"/>
        <v>-134365</v>
      </c>
      <c r="I1077" s="50">
        <f t="shared" si="229"/>
        <v>-18262921.009999998</v>
      </c>
      <c r="J1077" s="61"/>
    </row>
    <row r="1078" spans="1:10" ht="12.75">
      <c r="A1078" s="16" t="s">
        <v>17</v>
      </c>
      <c r="B1078" s="6"/>
      <c r="C1078" s="40" t="s">
        <v>307</v>
      </c>
      <c r="D1078" s="58">
        <f aca="true" t="shared" si="230" ref="D1078:I1078">SUM(D1076:D1077)</f>
        <v>-3922452.1500000004</v>
      </c>
      <c r="E1078" s="58">
        <f t="shared" si="230"/>
        <v>-5493288.079999999</v>
      </c>
      <c r="F1078" s="58">
        <f t="shared" si="230"/>
        <v>-5273924.95</v>
      </c>
      <c r="G1078" s="58">
        <f t="shared" si="230"/>
        <v>-14689665.179999998</v>
      </c>
      <c r="H1078" s="58">
        <f t="shared" si="230"/>
        <v>12766748</v>
      </c>
      <c r="I1078" s="58">
        <f t="shared" si="230"/>
        <v>-1922917.179999996</v>
      </c>
      <c r="J1078" s="61"/>
    </row>
    <row r="1079" spans="1:10" ht="12.75">
      <c r="A1079" s="16"/>
      <c r="B1079" s="6"/>
      <c r="C1079" s="15"/>
      <c r="D1079" s="45"/>
      <c r="E1079" s="45"/>
      <c r="F1079" s="45"/>
      <c r="G1079" s="45"/>
      <c r="H1079" s="45"/>
      <c r="I1079" s="45"/>
      <c r="J1079" s="61"/>
    </row>
    <row r="1080" spans="1:10" ht="12.75">
      <c r="A1080" s="42" t="s">
        <v>17</v>
      </c>
      <c r="B1080" s="38"/>
      <c r="C1080" s="14" t="s">
        <v>306</v>
      </c>
      <c r="D1080" s="59">
        <f aca="true" t="shared" si="231" ref="D1080:I1080">D1074+D1078</f>
        <v>-637558.5999999968</v>
      </c>
      <c r="E1080" s="59">
        <f t="shared" si="231"/>
        <v>-3514457.1499999957</v>
      </c>
      <c r="F1080" s="59">
        <f t="shared" si="231"/>
        <v>-472270.25999999605</v>
      </c>
      <c r="G1080" s="59">
        <f t="shared" si="231"/>
        <v>-4624286.010000009</v>
      </c>
      <c r="H1080" s="59">
        <f t="shared" si="231"/>
        <v>-8102268</v>
      </c>
      <c r="I1080" s="59">
        <f t="shared" si="231"/>
        <v>-12726554.009999977</v>
      </c>
      <c r="J1080" s="61"/>
    </row>
    <row r="1081" spans="1:10" ht="13.5" thickBot="1">
      <c r="A1081" s="17"/>
      <c r="B1081" s="7"/>
      <c r="C1081" s="18" t="s">
        <v>309</v>
      </c>
      <c r="D1081" s="50"/>
      <c r="E1081" s="50"/>
      <c r="F1081" s="50"/>
      <c r="G1081" s="50"/>
      <c r="H1081" s="50"/>
      <c r="I1081" s="50"/>
      <c r="J1081" s="62"/>
    </row>
    <row r="1082" spans="1:10" ht="12.75">
      <c r="A1082" s="19"/>
      <c r="B1082" s="8"/>
      <c r="C1082" s="12" t="s">
        <v>939</v>
      </c>
      <c r="D1082" s="54"/>
      <c r="E1082" s="54"/>
      <c r="F1082" s="54"/>
      <c r="G1082" s="54"/>
      <c r="H1082" s="54"/>
      <c r="I1082" s="54"/>
      <c r="J1082" s="60"/>
    </row>
    <row r="1083" spans="1:10" ht="12.75">
      <c r="A1083" s="28"/>
      <c r="B1083" s="29"/>
      <c r="C1083" s="31"/>
      <c r="D1083" s="51"/>
      <c r="E1083" s="51"/>
      <c r="F1083" s="51"/>
      <c r="G1083" s="51"/>
      <c r="H1083" s="51"/>
      <c r="I1083" s="51"/>
      <c r="J1083" s="63"/>
    </row>
    <row r="1084" spans="1:10" ht="12.75">
      <c r="A1084" s="28"/>
      <c r="B1084" s="29"/>
      <c r="C1084" s="31" t="s">
        <v>940</v>
      </c>
      <c r="D1084" s="51"/>
      <c r="E1084" s="51"/>
      <c r="F1084" s="51"/>
      <c r="G1084" s="51"/>
      <c r="H1084" s="51"/>
      <c r="I1084" s="51"/>
      <c r="J1084" s="63"/>
    </row>
    <row r="1085" spans="1:10" ht="12.75">
      <c r="A1085" s="16" t="s">
        <v>20</v>
      </c>
      <c r="B1085" s="6" t="s">
        <v>208</v>
      </c>
      <c r="C1085" s="15" t="s">
        <v>1</v>
      </c>
      <c r="D1085" s="45">
        <f aca="true" t="shared" si="232" ref="D1085:I1085">-D21</f>
        <v>-37330152.3</v>
      </c>
      <c r="E1085" s="45">
        <f t="shared" si="232"/>
        <v>-37801259</v>
      </c>
      <c r="F1085" s="45">
        <f t="shared" si="232"/>
        <v>-60634948.99</v>
      </c>
      <c r="G1085" s="45">
        <f t="shared" si="232"/>
        <v>-135766360.29</v>
      </c>
      <c r="H1085" s="45">
        <f t="shared" si="232"/>
        <v>-199271970.89</v>
      </c>
      <c r="I1085" s="45">
        <f t="shared" si="232"/>
        <v>-335038331.18</v>
      </c>
      <c r="J1085" s="61"/>
    </row>
    <row r="1086" spans="1:10" ht="13.5" thickBot="1">
      <c r="A1086" s="16" t="s">
        <v>19</v>
      </c>
      <c r="B1086" s="6" t="s">
        <v>209</v>
      </c>
      <c r="C1086" s="15" t="s">
        <v>18</v>
      </c>
      <c r="D1086" s="50">
        <f aca="true" t="shared" si="233" ref="D1086:I1086">D41</f>
        <v>60341073.22</v>
      </c>
      <c r="E1086" s="50">
        <f t="shared" si="233"/>
        <v>56082674.589999996</v>
      </c>
      <c r="F1086" s="50">
        <f t="shared" si="233"/>
        <v>92179609.04</v>
      </c>
      <c r="G1086" s="50">
        <f t="shared" si="233"/>
        <v>208603356.85000002</v>
      </c>
      <c r="H1086" s="50">
        <f t="shared" si="233"/>
        <v>378514875.93</v>
      </c>
      <c r="I1086" s="50">
        <f t="shared" si="233"/>
        <v>587118232.78</v>
      </c>
      <c r="J1086" s="61"/>
    </row>
    <row r="1087" spans="1:10" ht="12.75">
      <c r="A1087" s="16" t="s">
        <v>17</v>
      </c>
      <c r="B1087" s="6"/>
      <c r="C1087" s="14" t="s">
        <v>214</v>
      </c>
      <c r="D1087" s="48">
        <f aca="true" t="shared" si="234" ref="D1087:I1087">SUM(D1085:D1086)</f>
        <v>23010920.92</v>
      </c>
      <c r="E1087" s="48">
        <f t="shared" si="234"/>
        <v>18281415.589999996</v>
      </c>
      <c r="F1087" s="48">
        <f t="shared" si="234"/>
        <v>31544660.050000004</v>
      </c>
      <c r="G1087" s="48">
        <f t="shared" si="234"/>
        <v>72836996.56000003</v>
      </c>
      <c r="H1087" s="48">
        <f t="shared" si="234"/>
        <v>179242905.04000002</v>
      </c>
      <c r="I1087" s="48">
        <f t="shared" si="234"/>
        <v>252079901.59999996</v>
      </c>
      <c r="J1087" s="61"/>
    </row>
    <row r="1088" spans="1:10" ht="12.75">
      <c r="A1088" s="28"/>
      <c r="B1088" s="29"/>
      <c r="C1088" s="31"/>
      <c r="D1088" s="51"/>
      <c r="E1088" s="51"/>
      <c r="F1088" s="51"/>
      <c r="G1088" s="51"/>
      <c r="H1088" s="51"/>
      <c r="I1088" s="51"/>
      <c r="J1088" s="63"/>
    </row>
    <row r="1089" spans="1:10" ht="12.75">
      <c r="A1089" s="28"/>
      <c r="B1089" s="29"/>
      <c r="C1089" s="31" t="s">
        <v>43</v>
      </c>
      <c r="D1089" s="51"/>
      <c r="E1089" s="51"/>
      <c r="F1089" s="51"/>
      <c r="G1089" s="51"/>
      <c r="H1089" s="51"/>
      <c r="I1089" s="51"/>
      <c r="J1089" s="61"/>
    </row>
    <row r="1090" spans="1:10" ht="12.75">
      <c r="A1090" s="28" t="s">
        <v>20</v>
      </c>
      <c r="B1090" s="29" t="s">
        <v>220</v>
      </c>
      <c r="C1090" s="30" t="s">
        <v>226</v>
      </c>
      <c r="D1090" s="51">
        <f aca="true" t="shared" si="235" ref="D1090:I1090">D110</f>
        <v>47890654.79000001</v>
      </c>
      <c r="E1090" s="51">
        <f t="shared" si="235"/>
        <v>48263316.620000005</v>
      </c>
      <c r="F1090" s="51">
        <f t="shared" si="235"/>
        <v>66392069.62</v>
      </c>
      <c r="G1090" s="51">
        <f t="shared" si="235"/>
        <v>162546041.03</v>
      </c>
      <c r="H1090" s="51">
        <f t="shared" si="235"/>
        <v>362583762</v>
      </c>
      <c r="I1090" s="51">
        <f t="shared" si="235"/>
        <v>525129803.03</v>
      </c>
      <c r="J1090" s="61"/>
    </row>
    <row r="1091" spans="1:10" ht="13.5" thickBot="1">
      <c r="A1091" s="28" t="s">
        <v>19</v>
      </c>
      <c r="B1091" s="29" t="s">
        <v>368</v>
      </c>
      <c r="C1091" s="30" t="s">
        <v>369</v>
      </c>
      <c r="D1091" s="79">
        <f aca="true" t="shared" si="236" ref="D1091:I1091">-D179</f>
        <v>-48528213.39</v>
      </c>
      <c r="E1091" s="79">
        <f t="shared" si="236"/>
        <v>-51777773.769999996</v>
      </c>
      <c r="F1091" s="79">
        <f t="shared" si="236"/>
        <v>-66864339.879999995</v>
      </c>
      <c r="G1091" s="79">
        <f t="shared" si="236"/>
        <v>-167170327.04000002</v>
      </c>
      <c r="H1091" s="79">
        <f t="shared" si="236"/>
        <v>-370686030</v>
      </c>
      <c r="I1091" s="79">
        <f t="shared" si="236"/>
        <v>-537856357.04</v>
      </c>
      <c r="J1091" s="61"/>
    </row>
    <row r="1092" spans="1:10" ht="12.75">
      <c r="A1092" s="28"/>
      <c r="B1092" s="29"/>
      <c r="C1092" s="31" t="s">
        <v>370</v>
      </c>
      <c r="D1092" s="48">
        <f aca="true" t="shared" si="237" ref="D1092:I1092">D1090+D1091</f>
        <v>-637558.599999994</v>
      </c>
      <c r="E1092" s="48">
        <f t="shared" si="237"/>
        <v>-3514457.149999991</v>
      </c>
      <c r="F1092" s="48">
        <f t="shared" si="237"/>
        <v>-472270.2599999979</v>
      </c>
      <c r="G1092" s="48">
        <f t="shared" si="237"/>
        <v>-4624286.01000002</v>
      </c>
      <c r="H1092" s="48">
        <f t="shared" si="237"/>
        <v>-8102268</v>
      </c>
      <c r="I1092" s="48">
        <f t="shared" si="237"/>
        <v>-12726554.00999999</v>
      </c>
      <c r="J1092" s="61"/>
    </row>
    <row r="1093" spans="1:10" ht="12.75">
      <c r="A1093" s="28"/>
      <c r="B1093" s="29"/>
      <c r="C1093" s="30"/>
      <c r="D1093" s="51"/>
      <c r="E1093" s="51"/>
      <c r="F1093" s="51"/>
      <c r="G1093" s="51"/>
      <c r="H1093" s="51"/>
      <c r="I1093" s="51"/>
      <c r="J1093" s="61"/>
    </row>
    <row r="1094" spans="1:10" ht="12.75">
      <c r="A1094" s="28"/>
      <c r="B1094" s="29"/>
      <c r="C1094" s="31" t="s">
        <v>371</v>
      </c>
      <c r="D1094" s="51"/>
      <c r="E1094" s="51"/>
      <c r="F1094" s="51"/>
      <c r="G1094" s="51"/>
      <c r="H1094" s="51"/>
      <c r="I1094" s="51"/>
      <c r="J1094" s="61"/>
    </row>
    <row r="1095" spans="1:10" ht="12.75">
      <c r="A1095" s="28" t="s">
        <v>20</v>
      </c>
      <c r="B1095" s="29" t="s">
        <v>372</v>
      </c>
      <c r="C1095" s="30" t="s">
        <v>172</v>
      </c>
      <c r="D1095" s="51">
        <f aca="true" t="shared" si="238" ref="D1095:I1095">D256</f>
        <v>7651375.350000001</v>
      </c>
      <c r="E1095" s="51">
        <f t="shared" si="238"/>
        <v>3407687.9</v>
      </c>
      <c r="F1095" s="51">
        <f t="shared" si="238"/>
        <v>5658362.38</v>
      </c>
      <c r="G1095" s="51">
        <f t="shared" si="238"/>
        <v>16717425.63</v>
      </c>
      <c r="H1095" s="51">
        <f t="shared" si="238"/>
        <v>30140097</v>
      </c>
      <c r="I1095" s="51">
        <f t="shared" si="238"/>
        <v>46857522.629999995</v>
      </c>
      <c r="J1095" s="61"/>
    </row>
    <row r="1096" spans="1:10" ht="13.5" thickBot="1">
      <c r="A1096" s="28" t="s">
        <v>19</v>
      </c>
      <c r="B1096" s="29" t="s">
        <v>373</v>
      </c>
      <c r="C1096" s="30" t="s">
        <v>173</v>
      </c>
      <c r="D1096" s="79">
        <f aca="true" t="shared" si="239" ref="D1096:I1096">-D339</f>
        <v>-3163798.3</v>
      </c>
      <c r="E1096" s="79">
        <f t="shared" si="239"/>
        <v>-1156132.2</v>
      </c>
      <c r="F1096" s="79">
        <f t="shared" si="239"/>
        <v>-2503614.9</v>
      </c>
      <c r="G1096" s="79">
        <f t="shared" si="239"/>
        <v>-6823545.399999999</v>
      </c>
      <c r="H1096" s="79">
        <f t="shared" si="239"/>
        <v>-12454366</v>
      </c>
      <c r="I1096" s="79">
        <f t="shared" si="239"/>
        <v>-19277911.400000002</v>
      </c>
      <c r="J1096" s="61"/>
    </row>
    <row r="1097" spans="1:10" ht="12.75">
      <c r="A1097" s="28"/>
      <c r="B1097" s="29"/>
      <c r="C1097" s="31" t="s">
        <v>256</v>
      </c>
      <c r="D1097" s="80">
        <f aca="true" t="shared" si="240" ref="D1097:I1097">SUM(D1095:D1096)</f>
        <v>4487577.050000001</v>
      </c>
      <c r="E1097" s="80">
        <f t="shared" si="240"/>
        <v>2251555.7</v>
      </c>
      <c r="F1097" s="80">
        <f t="shared" si="240"/>
        <v>3154747.48</v>
      </c>
      <c r="G1097" s="80">
        <f t="shared" si="240"/>
        <v>9893880.23</v>
      </c>
      <c r="H1097" s="80">
        <f t="shared" si="240"/>
        <v>17685731</v>
      </c>
      <c r="I1097" s="80">
        <f t="shared" si="240"/>
        <v>27579611.229999993</v>
      </c>
      <c r="J1097" s="61"/>
    </row>
    <row r="1098" spans="1:10" ht="12.75">
      <c r="A1098" s="28"/>
      <c r="B1098" s="29"/>
      <c r="C1098" s="39"/>
      <c r="D1098" s="58"/>
      <c r="E1098" s="58"/>
      <c r="F1098" s="58"/>
      <c r="G1098" s="58"/>
      <c r="H1098" s="58"/>
      <c r="I1098" s="58"/>
      <c r="J1098" s="61"/>
    </row>
    <row r="1099" spans="1:10" ht="12.75">
      <c r="A1099" s="28"/>
      <c r="B1099" s="29"/>
      <c r="C1099" s="31" t="s">
        <v>374</v>
      </c>
      <c r="D1099" s="51"/>
      <c r="E1099" s="51"/>
      <c r="F1099" s="51"/>
      <c r="G1099" s="51"/>
      <c r="H1099" s="51"/>
      <c r="I1099" s="51"/>
      <c r="J1099" s="61"/>
    </row>
    <row r="1100" spans="1:10" ht="12.75">
      <c r="A1100" s="28" t="s">
        <v>20</v>
      </c>
      <c r="B1100" s="29"/>
      <c r="C1100" s="30" t="s">
        <v>375</v>
      </c>
      <c r="D1100" s="51">
        <f aca="true" t="shared" si="241" ref="D1100:I1100">D1097</f>
        <v>4487577.050000001</v>
      </c>
      <c r="E1100" s="51">
        <f t="shared" si="241"/>
        <v>2251555.7</v>
      </c>
      <c r="F1100" s="51">
        <f t="shared" si="241"/>
        <v>3154747.48</v>
      </c>
      <c r="G1100" s="51">
        <f t="shared" si="241"/>
        <v>9893880.23</v>
      </c>
      <c r="H1100" s="51">
        <f t="shared" si="241"/>
        <v>17685731</v>
      </c>
      <c r="I1100" s="51">
        <f t="shared" si="241"/>
        <v>27579611.229999993</v>
      </c>
      <c r="J1100" s="61"/>
    </row>
    <row r="1101" spans="1:10" ht="12.75">
      <c r="A1101" s="28" t="s">
        <v>19</v>
      </c>
      <c r="B1101" s="29"/>
      <c r="C1101" s="30" t="s">
        <v>376</v>
      </c>
      <c r="D1101" s="51">
        <f aca="true" t="shared" si="242" ref="D1101:I1101">-(D967+D968+D970+D971)</f>
        <v>-3706623</v>
      </c>
      <c r="E1101" s="51">
        <f t="shared" si="242"/>
        <v>-3523483.83</v>
      </c>
      <c r="F1101" s="51">
        <f t="shared" si="242"/>
        <v>-7969303.12</v>
      </c>
      <c r="G1101" s="51">
        <f t="shared" si="242"/>
        <v>-15199409.950000001</v>
      </c>
      <c r="H1101" s="51">
        <f t="shared" si="242"/>
        <v>-26394277</v>
      </c>
      <c r="I1101" s="51">
        <f t="shared" si="242"/>
        <v>-41593686.95</v>
      </c>
      <c r="J1101" s="61"/>
    </row>
    <row r="1102" spans="1:10" ht="12.75">
      <c r="A1102" s="28" t="s">
        <v>377</v>
      </c>
      <c r="B1102" s="29"/>
      <c r="C1102" s="35" t="s">
        <v>387</v>
      </c>
      <c r="D1102" s="51">
        <f aca="true" t="shared" si="243" ref="D1102:I1102">D1092</f>
        <v>-637558.599999994</v>
      </c>
      <c r="E1102" s="51">
        <f t="shared" si="243"/>
        <v>-3514457.149999991</v>
      </c>
      <c r="F1102" s="51">
        <f t="shared" si="243"/>
        <v>-472270.2599999979</v>
      </c>
      <c r="G1102" s="51">
        <f t="shared" si="243"/>
        <v>-4624286.01000002</v>
      </c>
      <c r="H1102" s="51">
        <f t="shared" si="243"/>
        <v>-8102268</v>
      </c>
      <c r="I1102" s="51">
        <f t="shared" si="243"/>
        <v>-12726554.00999999</v>
      </c>
      <c r="J1102" s="61"/>
    </row>
    <row r="1103" spans="1:10" ht="12.75">
      <c r="A1103" s="16" t="s">
        <v>19</v>
      </c>
      <c r="B1103" s="6" t="s">
        <v>378</v>
      </c>
      <c r="C1103" s="37" t="s">
        <v>379</v>
      </c>
      <c r="D1103" s="46">
        <f aca="true" t="shared" si="244" ref="D1103:I1103">-D80-D99</f>
        <v>-107741.95</v>
      </c>
      <c r="E1103" s="46">
        <f t="shared" si="244"/>
        <v>-100805.1</v>
      </c>
      <c r="F1103" s="46">
        <f t="shared" si="244"/>
        <v>-473976.48</v>
      </c>
      <c r="G1103" s="46">
        <f t="shared" si="244"/>
        <v>-682523.53</v>
      </c>
      <c r="H1103" s="46">
        <f t="shared" si="244"/>
        <v>-1385150</v>
      </c>
      <c r="I1103" s="46">
        <f t="shared" si="244"/>
        <v>-2067673.53</v>
      </c>
      <c r="J1103" s="61"/>
    </row>
    <row r="1104" spans="1:10" ht="13.5" thickBot="1">
      <c r="A1104" s="16" t="s">
        <v>20</v>
      </c>
      <c r="B1104" s="6" t="s">
        <v>380</v>
      </c>
      <c r="C1104" s="20" t="s">
        <v>381</v>
      </c>
      <c r="D1104" s="81">
        <f aca="true" t="shared" si="245" ref="D1104:I1104">D150+D168</f>
        <v>0</v>
      </c>
      <c r="E1104" s="81">
        <f t="shared" si="245"/>
        <v>19275.95</v>
      </c>
      <c r="F1104" s="81">
        <f t="shared" si="245"/>
        <v>1361400.2</v>
      </c>
      <c r="G1104" s="81">
        <f t="shared" si="245"/>
        <v>1380676.15</v>
      </c>
      <c r="H1104" s="81">
        <f t="shared" si="245"/>
        <v>12544059</v>
      </c>
      <c r="I1104" s="81">
        <f t="shared" si="245"/>
        <v>13924735.15</v>
      </c>
      <c r="J1104" s="61"/>
    </row>
    <row r="1105" spans="1:10" ht="12.75">
      <c r="A1105" s="16"/>
      <c r="B1105" s="6"/>
      <c r="C1105" s="14" t="s">
        <v>964</v>
      </c>
      <c r="D1105" s="48">
        <f aca="true" t="shared" si="246" ref="D1105:I1105">SUM(D1100:D1104)</f>
        <v>35653.50000000671</v>
      </c>
      <c r="E1105" s="48">
        <f t="shared" si="246"/>
        <v>-4867914.42999999</v>
      </c>
      <c r="F1105" s="48">
        <f t="shared" si="246"/>
        <v>-4399402.179999999</v>
      </c>
      <c r="G1105" s="48">
        <f t="shared" si="246"/>
        <v>-9231663.11000002</v>
      </c>
      <c r="H1105" s="48">
        <f t="shared" si="246"/>
        <v>-5651905</v>
      </c>
      <c r="I1105" s="48">
        <f t="shared" si="246"/>
        <v>-14883568.110000001</v>
      </c>
      <c r="J1105" s="61"/>
    </row>
    <row r="1106" spans="1:10" ht="12.75">
      <c r="A1106" s="16"/>
      <c r="B1106" s="6"/>
      <c r="C1106" s="20"/>
      <c r="D1106" s="46"/>
      <c r="E1106" s="46"/>
      <c r="F1106" s="46"/>
      <c r="G1106" s="46"/>
      <c r="H1106" s="46"/>
      <c r="I1106" s="46"/>
      <c r="J1106" s="61"/>
    </row>
    <row r="1107" spans="1:10" ht="12.75">
      <c r="A1107" s="16"/>
      <c r="B1107" s="6"/>
      <c r="C1107" s="14" t="s">
        <v>382</v>
      </c>
      <c r="D1107" s="82"/>
      <c r="E1107" s="82"/>
      <c r="F1107" s="82"/>
      <c r="G1107" s="82"/>
      <c r="H1107" s="82"/>
      <c r="I1107" s="82"/>
      <c r="J1107" s="61"/>
    </row>
    <row r="1108" spans="1:10" ht="12.75">
      <c r="A1108" s="16"/>
      <c r="B1108" s="6"/>
      <c r="C1108" s="20" t="s">
        <v>964</v>
      </c>
      <c r="D1108" s="57">
        <f aca="true" t="shared" si="247" ref="D1108:I1108">D1105</f>
        <v>35653.50000000671</v>
      </c>
      <c r="E1108" s="57">
        <f t="shared" si="247"/>
        <v>-4867914.42999999</v>
      </c>
      <c r="F1108" s="57">
        <f t="shared" si="247"/>
        <v>-4399402.179999999</v>
      </c>
      <c r="G1108" s="57">
        <f t="shared" si="247"/>
        <v>-9231663.11000002</v>
      </c>
      <c r="H1108" s="57">
        <f t="shared" si="247"/>
        <v>-5651905</v>
      </c>
      <c r="I1108" s="57">
        <f t="shared" si="247"/>
        <v>-14883568.110000001</v>
      </c>
      <c r="J1108" s="61"/>
    </row>
    <row r="1109" spans="1:10" ht="12.75">
      <c r="A1109" s="16" t="s">
        <v>19</v>
      </c>
      <c r="B1109" s="6"/>
      <c r="C1109" s="15" t="s">
        <v>383</v>
      </c>
      <c r="D1109" s="46">
        <f aca="true" t="shared" si="248" ref="D1109:I1109">-D344</f>
        <v>-7651375.35</v>
      </c>
      <c r="E1109" s="46">
        <f t="shared" si="248"/>
        <v>-3407687.9</v>
      </c>
      <c r="F1109" s="46">
        <f t="shared" si="248"/>
        <v>-5658362.38</v>
      </c>
      <c r="G1109" s="46">
        <f t="shared" si="248"/>
        <v>-16717425.629999999</v>
      </c>
      <c r="H1109" s="46">
        <f t="shared" si="248"/>
        <v>-26532759</v>
      </c>
      <c r="I1109" s="46">
        <f t="shared" si="248"/>
        <v>-43250184.629999995</v>
      </c>
      <c r="J1109" s="61"/>
    </row>
    <row r="1110" spans="1:10" ht="12.75">
      <c r="A1110" s="83" t="s">
        <v>20</v>
      </c>
      <c r="B1110" s="84"/>
      <c r="C1110" s="20" t="s">
        <v>384</v>
      </c>
      <c r="D1110" s="46">
        <f aca="true" t="shared" si="249" ref="D1110:I1110">D343</f>
        <v>3163798.3</v>
      </c>
      <c r="E1110" s="46">
        <f t="shared" si="249"/>
        <v>1156132.2</v>
      </c>
      <c r="F1110" s="46">
        <f t="shared" si="249"/>
        <v>2503614.9</v>
      </c>
      <c r="G1110" s="46">
        <f t="shared" si="249"/>
        <v>6823545.4</v>
      </c>
      <c r="H1110" s="46">
        <f t="shared" si="249"/>
        <v>8847028</v>
      </c>
      <c r="I1110" s="46">
        <f t="shared" si="249"/>
        <v>15670573.4</v>
      </c>
      <c r="J1110" s="61"/>
    </row>
    <row r="1111" spans="1:10" ht="12.75">
      <c r="A1111" s="16" t="s">
        <v>20</v>
      </c>
      <c r="B1111" s="6"/>
      <c r="C1111" s="15" t="s">
        <v>376</v>
      </c>
      <c r="D1111" s="46">
        <f aca="true" t="shared" si="250" ref="D1111:I1111">-(D1101)</f>
        <v>3706623</v>
      </c>
      <c r="E1111" s="46">
        <f t="shared" si="250"/>
        <v>3523483.83</v>
      </c>
      <c r="F1111" s="46">
        <f t="shared" si="250"/>
        <v>7969303.12</v>
      </c>
      <c r="G1111" s="46">
        <f t="shared" si="250"/>
        <v>15199409.950000001</v>
      </c>
      <c r="H1111" s="46">
        <f t="shared" si="250"/>
        <v>26394277</v>
      </c>
      <c r="I1111" s="46">
        <f t="shared" si="250"/>
        <v>41593686.95</v>
      </c>
      <c r="J1111" s="61"/>
    </row>
    <row r="1112" spans="1:10" ht="12.75">
      <c r="A1112" s="16" t="s">
        <v>20</v>
      </c>
      <c r="B1112" s="6" t="s">
        <v>378</v>
      </c>
      <c r="C1112" s="37" t="s">
        <v>379</v>
      </c>
      <c r="D1112" s="46">
        <f aca="true" t="shared" si="251" ref="D1112:I1113">-(D1103)</f>
        <v>107741.95</v>
      </c>
      <c r="E1112" s="46">
        <f t="shared" si="251"/>
        <v>100805.1</v>
      </c>
      <c r="F1112" s="46">
        <f t="shared" si="251"/>
        <v>473976.48</v>
      </c>
      <c r="G1112" s="46">
        <f t="shared" si="251"/>
        <v>682523.53</v>
      </c>
      <c r="H1112" s="46">
        <f t="shared" si="251"/>
        <v>1385150</v>
      </c>
      <c r="I1112" s="46">
        <f t="shared" si="251"/>
        <v>2067673.53</v>
      </c>
      <c r="J1112" s="61"/>
    </row>
    <row r="1113" spans="1:10" ht="13.5" thickBot="1">
      <c r="A1113" s="16" t="s">
        <v>19</v>
      </c>
      <c r="B1113" s="6" t="s">
        <v>380</v>
      </c>
      <c r="C1113" s="20" t="s">
        <v>381</v>
      </c>
      <c r="D1113" s="81">
        <f t="shared" si="251"/>
        <v>0</v>
      </c>
      <c r="E1113" s="81">
        <f t="shared" si="251"/>
        <v>-19275.95</v>
      </c>
      <c r="F1113" s="81">
        <f t="shared" si="251"/>
        <v>-1361400.2</v>
      </c>
      <c r="G1113" s="81">
        <f t="shared" si="251"/>
        <v>-1380676.15</v>
      </c>
      <c r="H1113" s="81">
        <f t="shared" si="251"/>
        <v>-12544059</v>
      </c>
      <c r="I1113" s="81">
        <f t="shared" si="251"/>
        <v>-13924735.15</v>
      </c>
      <c r="J1113" s="61"/>
    </row>
    <row r="1114" spans="1:10" ht="12.75">
      <c r="A1114" s="68"/>
      <c r="B1114" s="69"/>
      <c r="C1114" s="14" t="s">
        <v>385</v>
      </c>
      <c r="D1114" s="48">
        <f aca="true" t="shared" si="252" ref="D1114:I1114">SUM(D1108:D1113)</f>
        <v>-637558.5999999933</v>
      </c>
      <c r="E1114" s="48">
        <f t="shared" si="252"/>
        <v>-3514457.1499999906</v>
      </c>
      <c r="F1114" s="48">
        <f t="shared" si="252"/>
        <v>-472270.25999999815</v>
      </c>
      <c r="G1114" s="48">
        <f t="shared" si="252"/>
        <v>-4624286.010000017</v>
      </c>
      <c r="H1114" s="48">
        <f t="shared" si="252"/>
        <v>-8102268</v>
      </c>
      <c r="I1114" s="48">
        <f t="shared" si="252"/>
        <v>-12726554.009999994</v>
      </c>
      <c r="J1114" s="61"/>
    </row>
    <row r="1115" spans="1:10" ht="12.75">
      <c r="A1115" s="16"/>
      <c r="B1115" s="6"/>
      <c r="C1115" s="15"/>
      <c r="D1115" s="45"/>
      <c r="E1115" s="45"/>
      <c r="F1115" s="45"/>
      <c r="G1115" s="45"/>
      <c r="H1115" s="45"/>
      <c r="I1115" s="45"/>
      <c r="J1115" s="61"/>
    </row>
    <row r="1116" spans="1:10" ht="12.75">
      <c r="A1116" s="42"/>
      <c r="B1116" s="38"/>
      <c r="C1116" s="14" t="s">
        <v>231</v>
      </c>
      <c r="D1116" s="48"/>
      <c r="E1116" s="48"/>
      <c r="F1116" s="48"/>
      <c r="G1116" s="48"/>
      <c r="H1116" s="48"/>
      <c r="I1116" s="48"/>
      <c r="J1116" s="61"/>
    </row>
    <row r="1117" spans="1:10" ht="12.75">
      <c r="A1117" s="83" t="s">
        <v>20</v>
      </c>
      <c r="B1117" s="84"/>
      <c r="C1117" s="20" t="s">
        <v>376</v>
      </c>
      <c r="D1117" s="57">
        <f aca="true" t="shared" si="253" ref="D1117:I1117">D1111</f>
        <v>3706623</v>
      </c>
      <c r="E1117" s="57">
        <f t="shared" si="253"/>
        <v>3523483.83</v>
      </c>
      <c r="F1117" s="57">
        <f t="shared" si="253"/>
        <v>7969303.12</v>
      </c>
      <c r="G1117" s="57">
        <f t="shared" si="253"/>
        <v>15199409.950000001</v>
      </c>
      <c r="H1117" s="57">
        <f t="shared" si="253"/>
        <v>26394277</v>
      </c>
      <c r="I1117" s="57">
        <f t="shared" si="253"/>
        <v>41593686.95</v>
      </c>
      <c r="J1117" s="61"/>
    </row>
    <row r="1118" spans="1:10" ht="12.75">
      <c r="A1118" s="42" t="s">
        <v>377</v>
      </c>
      <c r="B1118" s="38"/>
      <c r="C1118" s="35" t="s">
        <v>386</v>
      </c>
      <c r="D1118" s="57">
        <f aca="true" t="shared" si="254" ref="D1118:I1118">-(D1092)</f>
        <v>637558.599999994</v>
      </c>
      <c r="E1118" s="57">
        <f t="shared" si="254"/>
        <v>3514457.149999991</v>
      </c>
      <c r="F1118" s="57">
        <f t="shared" si="254"/>
        <v>472270.2599999979</v>
      </c>
      <c r="G1118" s="57">
        <f t="shared" si="254"/>
        <v>4624286.01000002</v>
      </c>
      <c r="H1118" s="57">
        <f t="shared" si="254"/>
        <v>8102268</v>
      </c>
      <c r="I1118" s="57">
        <f t="shared" si="254"/>
        <v>12726554.00999999</v>
      </c>
      <c r="J1118" s="61"/>
    </row>
    <row r="1119" spans="1:10" ht="12.75">
      <c r="A1119" s="16" t="s">
        <v>20</v>
      </c>
      <c r="B1119" s="6" t="s">
        <v>378</v>
      </c>
      <c r="C1119" s="37" t="s">
        <v>379</v>
      </c>
      <c r="D1119" s="57">
        <f aca="true" t="shared" si="255" ref="D1119:I1120">D1112</f>
        <v>107741.95</v>
      </c>
      <c r="E1119" s="57">
        <f t="shared" si="255"/>
        <v>100805.1</v>
      </c>
      <c r="F1119" s="57">
        <f t="shared" si="255"/>
        <v>473976.48</v>
      </c>
      <c r="G1119" s="57">
        <f t="shared" si="255"/>
        <v>682523.53</v>
      </c>
      <c r="H1119" s="57">
        <f t="shared" si="255"/>
        <v>1385150</v>
      </c>
      <c r="I1119" s="57">
        <f t="shared" si="255"/>
        <v>2067673.53</v>
      </c>
      <c r="J1119" s="61"/>
    </row>
    <row r="1120" spans="1:10" ht="13.5" thickBot="1">
      <c r="A1120" s="16" t="s">
        <v>19</v>
      </c>
      <c r="B1120" s="6" t="s">
        <v>380</v>
      </c>
      <c r="C1120" s="20" t="s">
        <v>381</v>
      </c>
      <c r="D1120" s="81">
        <f t="shared" si="255"/>
        <v>0</v>
      </c>
      <c r="E1120" s="81">
        <f t="shared" si="255"/>
        <v>-19275.95</v>
      </c>
      <c r="F1120" s="81">
        <f t="shared" si="255"/>
        <v>-1361400.2</v>
      </c>
      <c r="G1120" s="81">
        <f t="shared" si="255"/>
        <v>-1380676.15</v>
      </c>
      <c r="H1120" s="81">
        <f t="shared" si="255"/>
        <v>-12544059</v>
      </c>
      <c r="I1120" s="81">
        <f t="shared" si="255"/>
        <v>-13924735.15</v>
      </c>
      <c r="J1120" s="61"/>
    </row>
    <row r="1121" spans="1:10" ht="12.75">
      <c r="A1121" s="42"/>
      <c r="B1121" s="38"/>
      <c r="C1121" s="85" t="s">
        <v>253</v>
      </c>
      <c r="D1121" s="48">
        <f aca="true" t="shared" si="256" ref="D1121:I1121">SUM(D1117:D1120)</f>
        <v>4451923.549999994</v>
      </c>
      <c r="E1121" s="48">
        <f t="shared" si="256"/>
        <v>7119470.129999991</v>
      </c>
      <c r="F1121" s="48">
        <f t="shared" si="256"/>
        <v>7554149.659999999</v>
      </c>
      <c r="G1121" s="48">
        <f t="shared" si="256"/>
        <v>19125543.340000026</v>
      </c>
      <c r="H1121" s="48">
        <f t="shared" si="256"/>
        <v>23337636</v>
      </c>
      <c r="I1121" s="48">
        <f t="shared" si="256"/>
        <v>42463179.339999996</v>
      </c>
      <c r="J1121" s="61"/>
    </row>
    <row r="1122" spans="1:10" ht="12.75">
      <c r="A1122" s="42"/>
      <c r="B1122" s="179"/>
      <c r="C1122" s="180"/>
      <c r="D1122" s="181"/>
      <c r="E1122" s="181"/>
      <c r="F1122" s="181"/>
      <c r="G1122" s="181"/>
      <c r="H1122" s="181"/>
      <c r="I1122" s="181"/>
      <c r="J1122" s="182"/>
    </row>
    <row r="1123" spans="1:10" ht="13.5" thickBot="1">
      <c r="A1123" s="183"/>
      <c r="B1123" s="184"/>
      <c r="C1123" s="185" t="s">
        <v>954</v>
      </c>
      <c r="D1123" s="186">
        <f aca="true" t="shared" si="257" ref="D1123:I1123">D992</f>
        <v>0.9920550667759566</v>
      </c>
      <c r="E1123" s="186">
        <f t="shared" si="257"/>
        <v>3.162022653936564</v>
      </c>
      <c r="F1123" s="186">
        <f t="shared" si="257"/>
        <v>2.3945338598067445</v>
      </c>
      <c r="G1123" s="186">
        <f t="shared" si="257"/>
        <v>1.9330680072321849</v>
      </c>
      <c r="H1123" s="186">
        <f t="shared" si="257"/>
        <v>1.3195742941018385</v>
      </c>
      <c r="I1123" s="186">
        <f t="shared" si="257"/>
        <v>1.5396583724795316</v>
      </c>
      <c r="J1123" s="187"/>
    </row>
  </sheetData>
  <sheetProtection/>
  <mergeCells count="6">
    <mergeCell ref="H1:H2"/>
    <mergeCell ref="I1:I2"/>
    <mergeCell ref="D1:D2"/>
    <mergeCell ref="E1:E2"/>
    <mergeCell ref="F1:F2"/>
    <mergeCell ref="G1:G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  <rowBreaks count="14" manualBreakCount="14">
    <brk id="45" max="8" man="1"/>
    <brk id="110" max="8" man="1"/>
    <brk id="151" max="255" man="1"/>
    <brk id="184" max="255" man="1"/>
    <brk id="219" max="255" man="1"/>
    <brk id="257" max="255" man="1"/>
    <brk id="340" max="255" man="1"/>
    <brk id="354" max="255" man="1"/>
    <brk id="626" max="255" man="1"/>
    <brk id="898" max="8" man="1"/>
    <brk id="936" max="255" man="1"/>
    <brk id="1011" max="255" man="1"/>
    <brk id="1046" max="255" man="1"/>
    <brk id="108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4:I12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56.8515625" style="0" customWidth="1"/>
  </cols>
  <sheetData>
    <row r="4" spans="1:9" ht="12.75">
      <c r="A4" s="26" t="s">
        <v>193</v>
      </c>
      <c r="B4" s="26" t="s">
        <v>193</v>
      </c>
      <c r="C4" s="26" t="s">
        <v>193</v>
      </c>
      <c r="D4" s="26" t="s">
        <v>193</v>
      </c>
      <c r="E4" s="26" t="s">
        <v>193</v>
      </c>
      <c r="F4" s="26" t="s">
        <v>193</v>
      </c>
      <c r="G4" s="26" t="s">
        <v>193</v>
      </c>
      <c r="H4" s="26" t="s">
        <v>193</v>
      </c>
      <c r="I4" s="26" t="s">
        <v>193</v>
      </c>
    </row>
    <row r="5" spans="1:9" ht="12.75">
      <c r="A5" s="26" t="s">
        <v>194</v>
      </c>
      <c r="B5" s="26" t="s">
        <v>194</v>
      </c>
      <c r="C5" s="26" t="s">
        <v>194</v>
      </c>
      <c r="D5" s="26" t="s">
        <v>194</v>
      </c>
      <c r="E5" s="26" t="s">
        <v>194</v>
      </c>
      <c r="F5" s="26" t="s">
        <v>194</v>
      </c>
      <c r="G5" s="26" t="s">
        <v>194</v>
      </c>
      <c r="H5" s="26" t="s">
        <v>194</v>
      </c>
      <c r="I5" s="26" t="s">
        <v>194</v>
      </c>
    </row>
    <row r="6" spans="1:9" ht="12.75">
      <c r="A6" s="26" t="s">
        <v>195</v>
      </c>
      <c r="B6" s="26" t="s">
        <v>195</v>
      </c>
      <c r="C6" s="26" t="s">
        <v>195</v>
      </c>
      <c r="D6" s="26" t="s">
        <v>195</v>
      </c>
      <c r="E6" s="26" t="s">
        <v>195</v>
      </c>
      <c r="F6" s="26" t="s">
        <v>195</v>
      </c>
      <c r="G6" s="26" t="s">
        <v>195</v>
      </c>
      <c r="H6" s="26" t="s">
        <v>195</v>
      </c>
      <c r="I6" s="26" t="s">
        <v>195</v>
      </c>
    </row>
    <row r="10" ht="12.75">
      <c r="A10" s="41"/>
    </row>
    <row r="11" ht="12.75">
      <c r="A11" s="43"/>
    </row>
    <row r="12" ht="12.75">
      <c r="A12" s="2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30.57421875" style="0" bestFit="1" customWidth="1"/>
    <col min="2" max="2" width="13.8515625" style="0" bestFit="1" customWidth="1"/>
    <col min="5" max="5" width="13.28125" style="0" bestFit="1" customWidth="1"/>
  </cols>
  <sheetData>
    <row r="1" spans="2:7" ht="12.75">
      <c r="B1">
        <f>+'[1]Abfrage'!B67</f>
        <v>2011</v>
      </c>
      <c r="C1">
        <f>+'[1]Abfrage'!C67</f>
        <v>2012</v>
      </c>
      <c r="D1">
        <f>+'[1]Abfrage'!D67</f>
        <v>2013</v>
      </c>
      <c r="E1">
        <f>+'[1]Abfrage'!E67</f>
        <v>2014</v>
      </c>
      <c r="F1">
        <f>+'[1]Abfrage'!F67</f>
        <v>2015</v>
      </c>
      <c r="G1" t="str">
        <f>+'[1]Abfrage'!G67</f>
        <v>Mittelwert</v>
      </c>
    </row>
    <row r="2" spans="1:7" ht="12.75">
      <c r="A2" t="s">
        <v>899</v>
      </c>
      <c r="B2" s="91">
        <f>+'[1]Abfrage'!B71</f>
        <v>-1.5085667244865513</v>
      </c>
      <c r="C2" s="91">
        <f>+'[1]Abfrage'!C71</f>
        <v>0</v>
      </c>
      <c r="D2" s="91">
        <f>+'[1]Abfrage'!D71</f>
        <v>0</v>
      </c>
      <c r="E2" s="91">
        <f>+'[1]Abfrage'!E71</f>
        <v>0</v>
      </c>
      <c r="F2" s="91">
        <f>+'[1]Abfrage'!F71</f>
        <v>0</v>
      </c>
      <c r="G2" s="91">
        <f>+'[1]Abfrage'!G71</f>
        <v>-1.5085667244865513</v>
      </c>
    </row>
    <row r="3" spans="1:7" ht="12.75">
      <c r="A3" t="s">
        <v>902</v>
      </c>
      <c r="B3" s="91">
        <f>+'[1]2011'!F460</f>
        <v>0.018131661629134505</v>
      </c>
      <c r="C3" s="91"/>
      <c r="D3" s="91"/>
      <c r="E3" s="91"/>
      <c r="F3" s="91"/>
      <c r="G3" s="92">
        <f>+AVERAGE(B3:F3)</f>
        <v>0.018131661629134505</v>
      </c>
    </row>
    <row r="5" spans="2:7" ht="12.75">
      <c r="B5">
        <f>+'[1]Abfrage'!B67</f>
        <v>2011</v>
      </c>
      <c r="C5">
        <f>+'[1]Abfrage'!C67</f>
        <v>2012</v>
      </c>
      <c r="D5">
        <f>+'[1]Abfrage'!D67</f>
        <v>2013</v>
      </c>
      <c r="E5">
        <f>+'[1]Abfrage'!E67</f>
        <v>2014</v>
      </c>
      <c r="F5">
        <f>+'[1]Abfrage'!F67</f>
        <v>2015</v>
      </c>
      <c r="G5" t="str">
        <f>+'[1]Abfrage'!G67</f>
        <v>Mittelwert</v>
      </c>
    </row>
    <row r="6" spans="1:7" ht="12.75">
      <c r="A6" t="s">
        <v>937</v>
      </c>
      <c r="B6" s="91">
        <f>+'[1]Abfrage'!B70</f>
        <v>-0.8227879346377265</v>
      </c>
      <c r="C6" s="91">
        <f>+'[1]Abfrage'!C70</f>
        <v>0</v>
      </c>
      <c r="D6" s="91">
        <f>+'[1]Abfrage'!D70</f>
        <v>0</v>
      </c>
      <c r="E6" s="91">
        <f>+'[1]Abfrage'!E70</f>
        <v>0</v>
      </c>
      <c r="F6" s="91">
        <f>+'[1]Abfrage'!F70</f>
        <v>0</v>
      </c>
      <c r="G6" s="91">
        <f>+'[1]Abfrage'!G70</f>
        <v>-0.8227879346377265</v>
      </c>
    </row>
    <row r="7" spans="1:7" ht="12.75">
      <c r="A7" t="s">
        <v>902</v>
      </c>
      <c r="B7" s="91">
        <f>+'[1]2011'!F410</f>
        <v>-0.1906163388701026</v>
      </c>
      <c r="C7" s="91"/>
      <c r="D7" s="91"/>
      <c r="E7" s="91"/>
      <c r="F7" s="91"/>
      <c r="G7" s="91">
        <f>+AVERAGE(B7:F7)</f>
        <v>-0.1906163388701026</v>
      </c>
    </row>
    <row r="9" spans="2:7" ht="12.75">
      <c r="B9">
        <f>+'[1]Abfrage'!B67</f>
        <v>2011</v>
      </c>
      <c r="C9">
        <f>+'[1]Abfrage'!C67</f>
        <v>2012</v>
      </c>
      <c r="D9">
        <f>+'[1]Abfrage'!D67</f>
        <v>2013</v>
      </c>
      <c r="E9">
        <f>+'[1]Abfrage'!E67</f>
        <v>2014</v>
      </c>
      <c r="F9">
        <f>+'[1]Abfrage'!F67</f>
        <v>2015</v>
      </c>
      <c r="G9" t="str">
        <f>+'[1]Abfrage'!G67</f>
        <v>Mittelwert</v>
      </c>
    </row>
    <row r="10" spans="1:7" ht="12.75">
      <c r="A10" t="s">
        <v>900</v>
      </c>
      <c r="B10" s="91">
        <f>+'[1]Abfrage'!B72</f>
        <v>-0.018365741009941233</v>
      </c>
      <c r="C10" s="91">
        <f>+'[1]Abfrage'!C72</f>
        <v>0</v>
      </c>
      <c r="D10" s="91">
        <f>+'[1]Abfrage'!D72</f>
        <v>0</v>
      </c>
      <c r="E10" s="91">
        <f>+'[1]Abfrage'!E72</f>
        <v>0</v>
      </c>
      <c r="F10" s="91">
        <f>+'[1]Abfrage'!F72</f>
        <v>0</v>
      </c>
      <c r="G10" s="91">
        <f>+'[1]Abfrage'!G72</f>
        <v>-0.018365741009941233</v>
      </c>
    </row>
    <row r="11" spans="1:7" ht="12.75">
      <c r="A11" t="s">
        <v>902</v>
      </c>
      <c r="B11" s="91">
        <f>+'[1]2011'!F503</f>
        <v>-0.016385996470931093</v>
      </c>
      <c r="C11" s="91"/>
      <c r="D11" s="91"/>
      <c r="E11" s="91"/>
      <c r="F11" s="91"/>
      <c r="G11" s="91">
        <f>+AVERAGE(B11:F11)</f>
        <v>-0.016385996470931093</v>
      </c>
    </row>
    <row r="13" spans="2:7" ht="12.75">
      <c r="B13">
        <f>+'[1]Abfrage'!B67</f>
        <v>2011</v>
      </c>
      <c r="C13">
        <f>+'[1]Abfrage'!C67</f>
        <v>2012</v>
      </c>
      <c r="D13">
        <f>+'[1]Abfrage'!D67</f>
        <v>2013</v>
      </c>
      <c r="E13">
        <f>+'[1]Abfrage'!E67</f>
        <v>2014</v>
      </c>
      <c r="F13">
        <f>+'[1]Abfrage'!F67</f>
        <v>2015</v>
      </c>
      <c r="G13" t="str">
        <f>+'[1]Abfrage'!G67</f>
        <v>Mittelwert</v>
      </c>
    </row>
    <row r="14" spans="1:7" ht="12.75">
      <c r="A14" t="s">
        <v>901</v>
      </c>
      <c r="B14" s="91">
        <f>+'[1]Abfrage'!B77</f>
        <v>0.07070460516968788</v>
      </c>
      <c r="C14" s="91">
        <f>+'[1]Abfrage'!C77</f>
        <v>0</v>
      </c>
      <c r="D14" s="91">
        <f>+'[1]Abfrage'!D77</f>
        <v>0</v>
      </c>
      <c r="E14" s="91">
        <f>+'[1]Abfrage'!E77</f>
        <v>0</v>
      </c>
      <c r="F14" s="91">
        <f>+'[1]Abfrage'!F77</f>
        <v>0</v>
      </c>
      <c r="G14" s="91">
        <f>+'[1]Abfrage'!G77</f>
        <v>0.07070460516968788</v>
      </c>
    </row>
    <row r="15" spans="1:7" ht="12.75">
      <c r="A15" t="s">
        <v>902</v>
      </c>
      <c r="B15" s="91">
        <f>+'[1]2011'!F472</f>
        <v>0.06308296573288055</v>
      </c>
      <c r="C15" s="91"/>
      <c r="D15" s="91"/>
      <c r="E15" s="91"/>
      <c r="F15" s="91"/>
      <c r="G15" s="91">
        <f>AVERAGE(B15:F15)</f>
        <v>0.06308296573288055</v>
      </c>
    </row>
    <row r="17" spans="2:7" ht="12.75">
      <c r="B17">
        <f>+'[1]Abfrage'!B67</f>
        <v>2011</v>
      </c>
      <c r="C17">
        <f>+'[1]Abfrage'!C67</f>
        <v>2012</v>
      </c>
      <c r="D17">
        <f>+'[1]Abfrage'!D67</f>
        <v>2013</v>
      </c>
      <c r="E17">
        <f>+'[1]Abfrage'!E67</f>
        <v>2014</v>
      </c>
      <c r="F17">
        <f>+'[1]Abfrage'!F67</f>
        <v>2015</v>
      </c>
      <c r="G17" t="str">
        <f>+'[1]Abfrage'!G67</f>
        <v>Mittelwert</v>
      </c>
    </row>
    <row r="18" spans="1:7" ht="12.75">
      <c r="A18" t="s">
        <v>256</v>
      </c>
      <c r="B18" s="93" t="e">
        <f>'[1]Abfrage'!#REF!/1000</f>
        <v>#REF!</v>
      </c>
      <c r="C18" s="93" t="e">
        <f>'[1]Abfrage'!#REF!/1000</f>
        <v>#REF!</v>
      </c>
      <c r="D18" s="93" t="e">
        <f>'[1]Abfrage'!#REF!/1000</f>
        <v>#REF!</v>
      </c>
      <c r="E18" s="93" t="e">
        <f>'[1]Abfrage'!#REF!/1000</f>
        <v>#REF!</v>
      </c>
      <c r="F18" s="93" t="e">
        <f>'[1]Abfrage'!#REF!/1000</f>
        <v>#REF!</v>
      </c>
      <c r="G18" s="93" t="e">
        <f>'[1]Abfrage'!#REF!/1000</f>
        <v>#REF!</v>
      </c>
    </row>
    <row r="19" spans="1:7" ht="12.75">
      <c r="A19" t="s">
        <v>903</v>
      </c>
      <c r="B19" s="93" t="e">
        <f>'[1]Abfrage'!#REF!/1000</f>
        <v>#REF!</v>
      </c>
      <c r="C19" s="93" t="e">
        <f>'[1]Abfrage'!#REF!/1000</f>
        <v>#REF!</v>
      </c>
      <c r="D19" s="93" t="e">
        <f>'[1]Abfrage'!#REF!/1000</f>
        <v>#REF!</v>
      </c>
      <c r="E19" s="93" t="e">
        <f>'[1]Abfrage'!#REF!/1000</f>
        <v>#REF!</v>
      </c>
      <c r="F19" s="93" t="e">
        <f>'[1]Abfrage'!#REF!/1000</f>
        <v>#REF!</v>
      </c>
      <c r="G19" s="93" t="e">
        <f>'[1]Abfrage'!#REF!/1000</f>
        <v>#REF!</v>
      </c>
    </row>
    <row r="21" spans="2:7" ht="12.75">
      <c r="B21">
        <f>+'[1]Abfrage'!B67</f>
        <v>2011</v>
      </c>
      <c r="C21">
        <f>+'[1]Abfrage'!C67</f>
        <v>2012</v>
      </c>
      <c r="D21">
        <f>+'[1]Abfrage'!D67</f>
        <v>2013</v>
      </c>
      <c r="E21">
        <f>+'[1]Abfrage'!E67</f>
        <v>2014</v>
      </c>
      <c r="F21">
        <f>+'[1]Abfrage'!F67</f>
        <v>2015</v>
      </c>
      <c r="G21" t="s">
        <v>881</v>
      </c>
    </row>
    <row r="22" spans="1:7" ht="12.75">
      <c r="A22" t="s">
        <v>904</v>
      </c>
      <c r="B22" s="93">
        <f>+'[1]Abfrage'!B12/1000</f>
        <v>-50000</v>
      </c>
      <c r="C22" s="93">
        <f>+'[1]Abfrage'!C12/1000</f>
        <v>0</v>
      </c>
      <c r="D22" s="93">
        <f>+'[1]Abfrage'!D12/1000</f>
        <v>0</v>
      </c>
      <c r="E22" s="93">
        <f>+'[1]Abfrage'!E12/1000</f>
        <v>0</v>
      </c>
      <c r="F22" s="93">
        <f>+'[1]Abfrage'!F12/1000</f>
        <v>0</v>
      </c>
      <c r="G22" s="9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2" sqref="G22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Glarus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ukundert</dc:creator>
  <cp:keywords/>
  <dc:description/>
  <cp:lastModifiedBy>Kundert Urs Gemeindefragen</cp:lastModifiedBy>
  <cp:lastPrinted>2012-12-12T09:49:11Z</cp:lastPrinted>
  <dcterms:created xsi:type="dcterms:W3CDTF">2003-04-24T08:40:21Z</dcterms:created>
  <dcterms:modified xsi:type="dcterms:W3CDTF">2012-12-13T08:18:08Z</dcterms:modified>
  <cp:category/>
  <cp:version/>
  <cp:contentType/>
  <cp:contentStatus/>
</cp:coreProperties>
</file>