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5490" windowHeight="4590" activeTab="0"/>
  </bookViews>
  <sheets>
    <sheet name="Abfrage" sheetId="1" r:id="rId1"/>
    <sheet name="Grafiken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</sheets>
  <definedNames>
    <definedName name="_xlnm.Print_Area" localSheetId="0">'Abfrage'!$A$1:$G$157</definedName>
    <definedName name="_xlnm.Print_Titles" localSheetId="2">'2000'!$A:$A</definedName>
    <definedName name="_xlnm.Print_Titles" localSheetId="3">'2001'!$A:$A</definedName>
    <definedName name="_xlnm.Print_Titles" localSheetId="4">'2002'!$A:$A</definedName>
    <definedName name="_xlnm.Print_Titles" localSheetId="5">'2003'!$A:$A</definedName>
    <definedName name="_xlnm.Print_Titles" localSheetId="6">'2004'!$A:$A</definedName>
    <definedName name="_xlnm.Print_Titles" localSheetId="7">'2005'!$A:$A</definedName>
    <definedName name="_xlnm.Print_Titles" localSheetId="0">'Abfrage'!$1:$3</definedName>
  </definedNames>
  <calcPr fullCalcOnLoad="1"/>
</workbook>
</file>

<file path=xl/sharedStrings.xml><?xml version="1.0" encoding="utf-8"?>
<sst xmlns="http://schemas.openxmlformats.org/spreadsheetml/2006/main" count="1191" uniqueCount="279">
  <si>
    <t>Bilten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</si>
  <si>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</si>
  <si>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</si>
  <si>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</si>
  <si>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</si>
  <si>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</si>
  <si>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</si>
  <si>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</si>
  <si>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</si>
  <si>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Linthal</t>
  </si>
  <si>
    <t>Matt</t>
  </si>
  <si>
    <t>Mitlödi</t>
  </si>
  <si>
    <t>Mühlehorn</t>
  </si>
  <si>
    <t>Näfels</t>
  </si>
  <si>
    <t>Netstal</t>
  </si>
  <si>
    <t>Nidfurn</t>
  </si>
  <si>
    <t>Niederurnen</t>
  </si>
  <si>
    <t>Obstalden</t>
  </si>
  <si>
    <t>Riedern</t>
  </si>
  <si>
    <t>Rüti</t>
  </si>
  <si>
    <t>Sool</t>
  </si>
  <si>
    <t>Schwanden</t>
  </si>
  <si>
    <t>Aufwand</t>
  </si>
  <si>
    <t>Ertrag</t>
  </si>
  <si>
    <t>Passivzinsen</t>
  </si>
  <si>
    <t>Vermögenserträge</t>
  </si>
  <si>
    <t>Finanzvermögen</t>
  </si>
  <si>
    <t>Verwaltungsvermögen</t>
  </si>
  <si>
    <t>Bilanzfehlbetrag</t>
  </si>
  <si>
    <t>Fremdkapital</t>
  </si>
  <si>
    <t>Eigenkapital</t>
  </si>
  <si>
    <t>Schwändi</t>
  </si>
  <si>
    <t>Braunwald</t>
  </si>
  <si>
    <t>Leuggelbach</t>
  </si>
  <si>
    <t>Luchsingen</t>
  </si>
  <si>
    <t>Mollis</t>
  </si>
  <si>
    <t>Oberurnen</t>
  </si>
  <si>
    <t>Absolute Steuerkraft</t>
  </si>
  <si>
    <t>Betschwanden</t>
  </si>
  <si>
    <t>SFG</t>
  </si>
  <si>
    <t>SFA</t>
  </si>
  <si>
    <t>ZBA</t>
  </si>
  <si>
    <t>KDA</t>
  </si>
  <si>
    <t>Zinsbelastungsanteil</t>
  </si>
  <si>
    <t>Kapitaldienstanteil</t>
  </si>
  <si>
    <t>Selbstfinanzierungsanteil</t>
  </si>
  <si>
    <t>Selbstfinanzierungsgrad</t>
  </si>
  <si>
    <t>Minimum</t>
  </si>
  <si>
    <t>Maximum</t>
  </si>
  <si>
    <t>Median</t>
  </si>
  <si>
    <t>Veränderung</t>
  </si>
  <si>
    <t>absolute Steuerkraft</t>
  </si>
  <si>
    <t>Steuerkraftindex</t>
  </si>
  <si>
    <t>mittlere Wohnbevölkerung</t>
  </si>
  <si>
    <t>ord. Abschreibungen Verw.vermögen</t>
  </si>
  <si>
    <t>zus. Abschreibungen Verw.vermögen</t>
  </si>
  <si>
    <t>Verpflichtungen Spezialfinanzierungen</t>
  </si>
  <si>
    <t>Mittelwert</t>
  </si>
  <si>
    <t>Steuerfuss</t>
  </si>
  <si>
    <t>alle Gemeinden</t>
  </si>
  <si>
    <t>Nettoinvestitionen</t>
  </si>
  <si>
    <t>Überschuss (+), Fehlbetrag (-)</t>
  </si>
  <si>
    <t>2. Laufende Rechnung</t>
  </si>
  <si>
    <t>3. Investitionsrechnung</t>
  </si>
  <si>
    <t>4. Bestandesrechnung</t>
  </si>
  <si>
    <t>5. Kennzahlen</t>
  </si>
  <si>
    <t>Mittlere Wohnbevölkerung</t>
  </si>
  <si>
    <t>2. Laufende Rechnung (Fortsetzung)</t>
  </si>
  <si>
    <t xml:space="preserve">relative Steuerkraft   </t>
  </si>
  <si>
    <t>bereinigter Selbstfinanzierungsanteil</t>
  </si>
  <si>
    <t>Summe</t>
  </si>
  <si>
    <t>1. Allgemeine Angaben (alle Jahr 2000)</t>
  </si>
  <si>
    <t>Mittlere Wohnbev. 1999</t>
  </si>
  <si>
    <t>1. Allgemeine Angaben (alle Jahr 2001)</t>
  </si>
  <si>
    <t>Mittlere Wohnbev. 2000</t>
  </si>
  <si>
    <t>30 Perwsonalaufwand</t>
  </si>
  <si>
    <t>31 Sachaufwand</t>
  </si>
  <si>
    <t>32 Passivzinsen</t>
  </si>
  <si>
    <t>330 Abschreibungen Finanzvermögen</t>
  </si>
  <si>
    <t>331 ord. Abschreibungen Verwaltungsvermögen</t>
  </si>
  <si>
    <t>332 zusätzl. Abschreibungen Verwaltungsvermögen</t>
  </si>
  <si>
    <t>33 Total Abschreibungen</t>
  </si>
  <si>
    <t>34 Anteile und Beiträge ohne Zweckbindungen</t>
  </si>
  <si>
    <t>35 Entschäd.f.Dienstleist.anderer Gemeinwesen</t>
  </si>
  <si>
    <t>36 Betriebs- und Defizitbeiträge</t>
  </si>
  <si>
    <t>37 Durchlaufende Beiträge</t>
  </si>
  <si>
    <t>380 Einlagen in Spezialfinanzierungen</t>
  </si>
  <si>
    <t>381 Einlagen in Spezialfonds</t>
  </si>
  <si>
    <t>382 Einlagen in Verpfl.f.Vorfinanzierungen</t>
  </si>
  <si>
    <t>383 Einlagen in Verpfl.f.Sonderrechnungen</t>
  </si>
  <si>
    <t>384 Einlagen in Rückstellungen</t>
  </si>
  <si>
    <t>38 Einlagen in Spezi,Stifttungen,Rückstell.</t>
  </si>
  <si>
    <t>39 Interne Verrechnungen</t>
  </si>
  <si>
    <t>3 Total Aufwand LR</t>
  </si>
  <si>
    <t>400 Einkommens- und Vermögenssteuern</t>
  </si>
  <si>
    <t>401 Gewinn- und Kapitalsteuern</t>
  </si>
  <si>
    <t>403 Vermögenssteuern</t>
  </si>
  <si>
    <t>406 Besitz- und Aufwandsteuern</t>
  </si>
  <si>
    <t>40 Steuern</t>
  </si>
  <si>
    <t>41 Erträge aus Reglien und Konzessionen</t>
  </si>
  <si>
    <t>42 Vermögenserträge</t>
  </si>
  <si>
    <t>424 davon Buchgewinne Anlagen Finanzvermögen</t>
  </si>
  <si>
    <t>43 Entgelte</t>
  </si>
  <si>
    <t>44 Anteile u. Beiträge ohne Zweckbindung</t>
  </si>
  <si>
    <t>45 Rückerstattungen von Gemeinwesen</t>
  </si>
  <si>
    <t>46 Beiträge mit Zweckbindung</t>
  </si>
  <si>
    <t>47 Durchlaufende Beiträge</t>
  </si>
  <si>
    <t>480 Entnahmen aus Spezialfinanzierungen</t>
  </si>
  <si>
    <t>481 Entnahmen aus Spezialfonds</t>
  </si>
  <si>
    <t>482 Entnahmen aus Verpfl.f.Vorfinanzierungen</t>
  </si>
  <si>
    <t>483 Entnahmen aus Verpfl.f.Sonderrechnungen</t>
  </si>
  <si>
    <t>484 Entnahmen aus Rückstellungen</t>
  </si>
  <si>
    <t>48 Entnahmen aus Spezi,Stiftungen,Rückstell.</t>
  </si>
  <si>
    <t>49 Interne Verrechnungen</t>
  </si>
  <si>
    <t>4 Total Ertrag LR</t>
  </si>
  <si>
    <t>912 Ertragsüberschuss laufende Rechnung</t>
  </si>
  <si>
    <t>913 Aufwandüberschuss laufende Rechnung</t>
  </si>
  <si>
    <t>KONTROLLE</t>
  </si>
  <si>
    <t>50 Sachgüter</t>
  </si>
  <si>
    <t>52 Darlehen und Beteiligungen</t>
  </si>
  <si>
    <t>55 Einlagen in Spezialfonds</t>
  </si>
  <si>
    <t>56 Investitionsbeiträge</t>
  </si>
  <si>
    <t>57 Durchlaufende Beiträge</t>
  </si>
  <si>
    <t>58 Übrige zu aktivierende Ausgaben</t>
  </si>
  <si>
    <t>5 Total Ausgaben IR</t>
  </si>
  <si>
    <t>60 Abgang von Sachgütern</t>
  </si>
  <si>
    <t>61 Nutzungsabgaben u. Vorteilsentgelte</t>
  </si>
  <si>
    <t>62 Rückzlg.von Darlehen u.Beteiligungen</t>
  </si>
  <si>
    <t>63 Rückerstattungen für Sachgüter</t>
  </si>
  <si>
    <t>64 Rückzahlung von Investitionsbeiträgen</t>
  </si>
  <si>
    <t>66 Beiträge mit Zweckbindung</t>
  </si>
  <si>
    <t>65 Entnahmen aus Spezialfonds u.Vorzinanz.</t>
  </si>
  <si>
    <t>67 Durchlaufende Beiträge</t>
  </si>
  <si>
    <t>6 Total Einnahmen IR</t>
  </si>
  <si>
    <t>590 Passivierte Einnahmen</t>
  </si>
  <si>
    <t>592 Übertr.Einnahmenüberschuss in Lauf.Re.</t>
  </si>
  <si>
    <t>690 Aktivierte Ausgaben</t>
  </si>
  <si>
    <t>3. Investitionsrechnung (Fortsetzung)</t>
  </si>
  <si>
    <t>942-949 Aufwand Liegensch.im Finanzvermög.(Brutto)</t>
  </si>
  <si>
    <t>10 Finanzvermögen</t>
  </si>
  <si>
    <t>11 Verwaltungvermögen</t>
  </si>
  <si>
    <t>19 Bilanzvehlbetrag</t>
  </si>
  <si>
    <t>1 Aktiven</t>
  </si>
  <si>
    <t>20 Fremdkapital</t>
  </si>
  <si>
    <t>28 Verpflichtungen Spezialfinanzierungen</t>
  </si>
  <si>
    <t>18 Vorschüsse Spezialfinanzierungen</t>
  </si>
  <si>
    <t>29 Eigenkapital</t>
  </si>
  <si>
    <t>2 Passiven</t>
  </si>
  <si>
    <t>Selbstfinanzierung</t>
  </si>
  <si>
    <t>bereinigte Selbstfinanzierung</t>
  </si>
  <si>
    <t>Finanzertrag</t>
  </si>
  <si>
    <t>Nettozinsen</t>
  </si>
  <si>
    <t>Kapitaldienst</t>
  </si>
  <si>
    <t>Abschreibungssatz Verwaltungsvermögen</t>
  </si>
  <si>
    <t>Verschuldungsfaktor</t>
  </si>
  <si>
    <t>Abschreibungsbedarf f.ord.Abschreibung.</t>
  </si>
  <si>
    <t>Vorschüsse Spezialfinanzierungen</t>
  </si>
  <si>
    <t>TOTAL AKTIVEN</t>
  </si>
  <si>
    <t>TOTAL PASSIVEN</t>
  </si>
  <si>
    <t>Nettoschuld(-)/Nettovermögen(+)</t>
  </si>
  <si>
    <t>Nettoschuld(-) / Nettovermögen(+)</t>
  </si>
  <si>
    <t>Cash flow(+)/Cash loss(-)</t>
  </si>
  <si>
    <t>Cash flow(+) / Cash loss(-)</t>
  </si>
  <si>
    <t>Aufwand LR vor Abschreib u. Einl.Rückst.</t>
  </si>
  <si>
    <t>Ertrag LR vor Entnahme Rückst.</t>
  </si>
  <si>
    <t>Einlagen(-)/Entnahmen(+) Rückstellung.</t>
  </si>
  <si>
    <t>Einlagen(-) / Entnahmen(+) Rückstellungen</t>
  </si>
  <si>
    <t>Aufwandüberschuss(-) / Ertragsüberschuss(+)</t>
  </si>
  <si>
    <t>Aktivierte Ausgaben</t>
  </si>
  <si>
    <t>Passivierte Einnahmen</t>
  </si>
  <si>
    <t>Zunahme(+)/Abnahme(-)Nettoinvestit.</t>
  </si>
  <si>
    <t>Übertr.Einnahmenübersch.in lauf.Re.</t>
  </si>
  <si>
    <t>Zunahme(+) / Abnahem(-) Nettoinvestitionen</t>
  </si>
  <si>
    <t>Zunahme(-)/Abnahme(+)Nettoinvestit.</t>
  </si>
  <si>
    <t>Abschreibungen Verw.Vermögen</t>
  </si>
  <si>
    <t>Aufwand-(-)/Ertrags-(+) Überschuss</t>
  </si>
  <si>
    <t>Finanzier.-Fehlbetrag(-)/-Überschuss(+)</t>
  </si>
  <si>
    <t>Abschreibungen Verwaltungsvermögen</t>
  </si>
  <si>
    <t>Finanzierungs-Fehlbetrag(-)/-Überschuss(+)</t>
  </si>
  <si>
    <t xml:space="preserve">Passivierungen </t>
  </si>
  <si>
    <t>Passivierungen (Inves.Einn.u.Abschreibungen</t>
  </si>
  <si>
    <t>Aktivierungen</t>
  </si>
  <si>
    <t>Zunahme(+)/Abnahme(-) des Kapitals</t>
  </si>
  <si>
    <t>Zunahme(+) / Abnahme(-) des Kapitals</t>
  </si>
  <si>
    <t>Abschreibungssatz Verw.vermögen</t>
  </si>
  <si>
    <t>Abschreibungsbedarf f.ordentl.Abschr.</t>
  </si>
  <si>
    <t>Personalaufwand</t>
  </si>
  <si>
    <t>Abschreibungen Finanzvermögen</t>
  </si>
  <si>
    <t>Buchgewinne Anlagen Finanzvermögen</t>
  </si>
  <si>
    <t>Steuerertrag</t>
  </si>
  <si>
    <t>relative Staatssteuerkraft je Einwohner</t>
  </si>
  <si>
    <t>Index der relativen Steuerkraft</t>
  </si>
  <si>
    <t>Nettoschuld(-)/Nettovermög.(+)pro Kopf</t>
  </si>
  <si>
    <t>Nettozinsen pro Kopf</t>
  </si>
  <si>
    <t>Steuerertrag pro Kopf</t>
  </si>
  <si>
    <t>Nettoinvestitionen pro Kopf</t>
  </si>
  <si>
    <t>Finanz.Fehlbetrag(-)/Überschuss(+)p.K.</t>
  </si>
  <si>
    <t>Nettoschuld(-) / Nettovermögen(+) pro Kopf</t>
  </si>
  <si>
    <t>Finanz.Fehlbetrag(-) / -Überschuss(+) pro Kopf</t>
  </si>
  <si>
    <t>1. Allgemeine Angaben (alle Jahr 2002)</t>
  </si>
  <si>
    <t>1. Allgemeine Angaben (alle Jahr 2003)</t>
  </si>
  <si>
    <t>1. Allgemeine Angaben (alle Jahr 2004)</t>
  </si>
  <si>
    <t>BESTANDESRECHNUNG</t>
  </si>
  <si>
    <t>LAUFENDE RECHNUNG</t>
  </si>
  <si>
    <t>INVESTITIONSRECHNUNG</t>
  </si>
  <si>
    <t>FINANZIERUNG</t>
  </si>
  <si>
    <t>KAPITALVERÄNDERUNG</t>
  </si>
  <si>
    <t>FINANZKENNZAHLEN</t>
  </si>
  <si>
    <t>STEUERN</t>
  </si>
  <si>
    <t>STATISTISCHE ANGABEN</t>
  </si>
  <si>
    <t>PRO-KOPF-KENNZAHLEN</t>
  </si>
  <si>
    <t>Aufwand-(-)/Ertrags-(+)Überschuss LR</t>
  </si>
  <si>
    <t>Nettoschuld(-)/Nettovermögen</t>
  </si>
  <si>
    <t>405 (404) Erbschafts-u.Schnekungssteuern</t>
  </si>
  <si>
    <t>30 Personalaufwand</t>
  </si>
  <si>
    <t>Glarus-Riedern</t>
  </si>
  <si>
    <t>Ha-Le-Ni</t>
  </si>
  <si>
    <t>Rüti-Braunwald</t>
  </si>
  <si>
    <t>MÜHLEHORN</t>
  </si>
  <si>
    <t>OBSTALDEN</t>
  </si>
  <si>
    <t>FILZBACH</t>
  </si>
  <si>
    <t>OBERURNEN</t>
  </si>
  <si>
    <t>NÄFELS</t>
  </si>
  <si>
    <t>MOLLIS</t>
  </si>
  <si>
    <t>NETSTAL</t>
  </si>
  <si>
    <t>GLARUS-RIEDERN</t>
  </si>
  <si>
    <t>MITLÖDI</t>
  </si>
  <si>
    <t>SOOL</t>
  </si>
  <si>
    <t>SCHWANDEN</t>
  </si>
  <si>
    <t>HA-LE-NI</t>
  </si>
  <si>
    <t>RÜTI-BRAUNWALD</t>
  </si>
  <si>
    <t>LINTHAL</t>
  </si>
  <si>
    <t>ENGI</t>
  </si>
  <si>
    <t>MATT</t>
  </si>
  <si>
    <t>ELM</t>
  </si>
  <si>
    <t>Total</t>
  </si>
  <si>
    <t>TOTAL</t>
  </si>
  <si>
    <t>bereinigter Selbstfinanzierungsgrad</t>
  </si>
  <si>
    <t>Auswahl der Sozialbehörde:</t>
  </si>
  <si>
    <t>Gegenseitig unterstützungspflichtiges Vermögen</t>
  </si>
  <si>
    <t>Gegenseitige Unterstützungspflicht</t>
  </si>
  <si>
    <t>Mittlere Wohnbev. 2003</t>
  </si>
  <si>
    <t>KERENZERBERG</t>
  </si>
  <si>
    <t>UNTERLAND</t>
  </si>
  <si>
    <t>MITTELLAND</t>
  </si>
  <si>
    <t>SERNFTAL</t>
  </si>
  <si>
    <t>HINTERLAND</t>
  </si>
  <si>
    <t>1. Allgemeine Angaben (alle Jahr 2005)</t>
  </si>
  <si>
    <t>Steuerfuss Fürsorgegemeinde</t>
  </si>
  <si>
    <t>Landreserven im Finanzvermgen</t>
  </si>
  <si>
    <t>GROSSTAL</t>
  </si>
  <si>
    <t>Finanzierungs-Fehlbetrag(-)/-Überschuss(+) bereinigt</t>
  </si>
  <si>
    <t>Finanzier.-Fehlbetrag(-)/-Überschuss(+)bereinigt</t>
  </si>
  <si>
    <t>Mittlere Wohnbev. 2004</t>
  </si>
  <si>
    <t>100 Flüssige Mitel</t>
  </si>
  <si>
    <t>101 Guthaben</t>
  </si>
  <si>
    <t>102 Anlagen</t>
  </si>
  <si>
    <t>103 Transitorische Anlagen</t>
  </si>
  <si>
    <t>114 Sachgüter</t>
  </si>
  <si>
    <t>115 Darlehen und Beteiligungen</t>
  </si>
  <si>
    <t>116 Investitionsbeiträge</t>
  </si>
  <si>
    <t>117 Übrige aktivierte Ausgaben</t>
  </si>
  <si>
    <t>181 Vorschüsse für Spezialfinanzierungen</t>
  </si>
  <si>
    <t>190 Bilanzfehlbetrag</t>
  </si>
  <si>
    <t>1 AKTIVEN</t>
  </si>
  <si>
    <t>200 Laufende Verpflichtungen</t>
  </si>
  <si>
    <t>201 Kurzfristige Schulden</t>
  </si>
  <si>
    <t>202 Mittel- und langfristige Schulden</t>
  </si>
  <si>
    <t>203 Verpflichtunen für Sonderrechnungen</t>
  </si>
  <si>
    <t>204 Rückstellungen</t>
  </si>
  <si>
    <t>205 Transitorische Passiven</t>
  </si>
  <si>
    <t>280 Verpflichtungen für Spezialfinanzierungen</t>
  </si>
  <si>
    <t>290 Eigenkapital</t>
  </si>
  <si>
    <t>2 PASSIVEN</t>
  </si>
  <si>
    <t>Kontrolle Bilanz</t>
  </si>
  <si>
    <t>Bruttoverschuldungsanteil</t>
  </si>
  <si>
    <t>Investitionsanteil</t>
  </si>
  <si>
    <t>Bruttoschulden</t>
  </si>
  <si>
    <t>Konsolidierte Ausgaben</t>
  </si>
</sst>
</file>

<file path=xl/styles.xml><?xml version="1.0" encoding="utf-8"?>
<styleSheet xmlns="http://schemas.openxmlformats.org/spreadsheetml/2006/main">
  <numFmts count="3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######0"/>
    <numFmt numFmtId="165" formatCode="0.00_ ;[Red]\-0.00\ "/>
    <numFmt numFmtId="166" formatCode="#,##0.00_ ;[Red]\-#,##0.00\ "/>
    <numFmt numFmtId="167" formatCode="#,##0_ ;[Red]\-#,##0\ 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000%"/>
    <numFmt numFmtId="174" formatCode="_ * #,##0.0_ ;_ * \-#,##0.0_ ;_ * &quot;-&quot;??_ ;_ @_ "/>
    <numFmt numFmtId="175" formatCode="_ * #,##0_ ;_ * \-#,##0_ ;_ * &quot;-&quot;??_ ;_ @_ "/>
    <numFmt numFmtId="176" formatCode="#,##0_ ;\-#,##0\ "/>
    <numFmt numFmtId="177" formatCode="0.000000"/>
    <numFmt numFmtId="178" formatCode="0.00000"/>
    <numFmt numFmtId="179" formatCode="0.0000"/>
    <numFmt numFmtId="180" formatCode="0.000"/>
    <numFmt numFmtId="181" formatCode="_ * #,##0.0_ ;_ * \-#,##0.0_ ;_ * &quot;-&quot;?_ ;_ @_ "/>
    <numFmt numFmtId="182" formatCode="_ * #,##0.0_ ;_ * \-#,##0.0_ ;_ * &quot;-&quot;_ ;_ @_ "/>
    <numFmt numFmtId="183" formatCode="_ * #,##0.00_ ;_ * \-#,##0.00_ ;_ * &quot;-&quot;_ ;_ @_ "/>
    <numFmt numFmtId="184" formatCode="_ * #,##0.000_ ;_ * \-#,##0.000_ ;_ * &quot;-&quot;??_ ;_ @_ "/>
    <numFmt numFmtId="185" formatCode="#,##0.0"/>
    <numFmt numFmtId="186" formatCode="_ * #,##0.0000_ ;_ * \-#,##0.0000_ ;_ * &quot;-&quot;??_ ;_ @_ "/>
    <numFmt numFmtId="187" formatCode="_ * #,##0.000_ ;_ * \-#,##0.000_ ;_ * &quot;-&quot;_ ;_ @_ "/>
    <numFmt numFmtId="188" formatCode="_ * #,##0.0000_ ;_ * \-#,##0.0000_ ;_ * &quot;-&quot;_ ;_ @_ "/>
    <numFmt numFmtId="189" formatCode="_ * #,##0.00000_ ;_ * \-#,##0.00000_ ;_ * &quot;-&quot;_ ;_ @_ "/>
    <numFmt numFmtId="190" formatCode="_ * #,##0.000000_ ;_ * \-#,##0.000000_ ;_ * &quot;-&quot;_ ;_ @_ "/>
    <numFmt numFmtId="191" formatCode="0.0000000"/>
    <numFmt numFmtId="192" formatCode="0.00000000"/>
    <numFmt numFmtId="193" formatCode="0.0"/>
    <numFmt numFmtId="194" formatCode="0.000000000"/>
  </numFmts>
  <fonts count="1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9.25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9.75"/>
      <name val="Arial"/>
      <family val="2"/>
    </font>
    <font>
      <b/>
      <sz val="10"/>
      <name val="CG Omega"/>
      <family val="2"/>
    </font>
    <font>
      <i/>
      <sz val="1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41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41" fontId="0" fillId="0" borderId="1" xfId="0" applyNumberFormat="1" applyBorder="1" applyAlignment="1">
      <alignment horizontal="left"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8" fontId="2" fillId="0" borderId="3" xfId="19" applyNumberFormat="1" applyFont="1" applyBorder="1" applyAlignment="1">
      <alignment/>
    </xf>
    <xf numFmtId="168" fontId="0" fillId="0" borderId="0" xfId="19" applyNumberFormat="1" applyBorder="1" applyAlignment="1">
      <alignment/>
    </xf>
    <xf numFmtId="168" fontId="0" fillId="0" borderId="0" xfId="19" applyNumberFormat="1" applyAlignment="1">
      <alignment/>
    </xf>
    <xf numFmtId="0" fontId="1" fillId="0" borderId="0" xfId="0" applyFont="1" applyBorder="1" applyAlignment="1">
      <alignment horizontal="right"/>
    </xf>
    <xf numFmtId="175" fontId="0" fillId="0" borderId="0" xfId="16" applyNumberFormat="1" applyBorder="1" applyAlignment="1">
      <alignment/>
    </xf>
    <xf numFmtId="168" fontId="0" fillId="0" borderId="0" xfId="0" applyNumberFormat="1" applyAlignment="1">
      <alignment/>
    </xf>
    <xf numFmtId="175" fontId="0" fillId="0" borderId="0" xfId="16" applyNumberFormat="1" applyAlignment="1">
      <alignment/>
    </xf>
    <xf numFmtId="0" fontId="0" fillId="0" borderId="3" xfId="0" applyBorder="1" applyAlignment="1">
      <alignment horizontal="center" textRotation="90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5" fontId="2" fillId="0" borderId="3" xfId="16" applyNumberFormat="1" applyFont="1" applyBorder="1" applyAlignment="1">
      <alignment/>
    </xf>
    <xf numFmtId="43" fontId="2" fillId="0" borderId="3" xfId="16" applyFont="1" applyBorder="1" applyAlignment="1">
      <alignment/>
    </xf>
    <xf numFmtId="168" fontId="2" fillId="0" borderId="7" xfId="19" applyNumberFormat="1" applyFont="1" applyBorder="1" applyAlignment="1">
      <alignment/>
    </xf>
    <xf numFmtId="175" fontId="2" fillId="0" borderId="8" xfId="16" applyNumberFormat="1" applyFont="1" applyBorder="1" applyAlignment="1">
      <alignment/>
    </xf>
    <xf numFmtId="43" fontId="2" fillId="0" borderId="8" xfId="16" applyFont="1" applyBorder="1" applyAlignment="1">
      <alignment/>
    </xf>
    <xf numFmtId="168" fontId="2" fillId="0" borderId="8" xfId="19" applyNumberFormat="1" applyFont="1" applyBorder="1" applyAlignment="1">
      <alignment/>
    </xf>
    <xf numFmtId="168" fontId="2" fillId="0" borderId="9" xfId="19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3" fontId="0" fillId="0" borderId="1" xfId="16" applyBorder="1" applyAlignment="1">
      <alignment horizontal="left"/>
    </xf>
    <xf numFmtId="43" fontId="0" fillId="0" borderId="1" xfId="16" applyBorder="1" applyAlignment="1">
      <alignment/>
    </xf>
    <xf numFmtId="43" fontId="0" fillId="0" borderId="2" xfId="16" applyBorder="1" applyAlignment="1">
      <alignment/>
    </xf>
    <xf numFmtId="0" fontId="0" fillId="0" borderId="12" xfId="0" applyBorder="1" applyAlignment="1">
      <alignment horizontal="center" textRotation="90" wrapText="1"/>
    </xf>
    <xf numFmtId="3" fontId="0" fillId="0" borderId="1" xfId="0" applyNumberFormat="1" applyBorder="1" applyAlignment="1">
      <alignment horizontal="right"/>
    </xf>
    <xf numFmtId="41" fontId="0" fillId="1" borderId="1" xfId="0" applyNumberFormat="1" applyFill="1" applyBorder="1" applyAlignment="1">
      <alignment/>
    </xf>
    <xf numFmtId="43" fontId="0" fillId="1" borderId="1" xfId="16" applyFill="1" applyBorder="1" applyAlignment="1">
      <alignment/>
    </xf>
    <xf numFmtId="0" fontId="0" fillId="0" borderId="13" xfId="0" applyBorder="1" applyAlignment="1">
      <alignment horizontal="center" textRotation="90" wrapText="1"/>
    </xf>
    <xf numFmtId="164" fontId="0" fillId="0" borderId="14" xfId="0" applyNumberFormat="1" applyBorder="1" applyAlignment="1">
      <alignment/>
    </xf>
    <xf numFmtId="41" fontId="0" fillId="1" borderId="14" xfId="0" applyNumberFormat="1" applyFill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0" fontId="0" fillId="0" borderId="13" xfId="0" applyFont="1" applyBorder="1" applyAlignment="1">
      <alignment horizontal="center" textRotation="90" wrapText="1"/>
    </xf>
    <xf numFmtId="164" fontId="0" fillId="1" borderId="14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left"/>
    </xf>
    <xf numFmtId="0" fontId="2" fillId="1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center" textRotation="90" wrapText="1"/>
    </xf>
    <xf numFmtId="0" fontId="1" fillId="0" borderId="20" xfId="0" applyFont="1" applyBorder="1" applyAlignment="1">
      <alignment/>
    </xf>
    <xf numFmtId="0" fontId="0" fillId="0" borderId="3" xfId="0" applyFont="1" applyBorder="1" applyAlignment="1">
      <alignment horizontal="center" textRotation="90" wrapText="1"/>
    </xf>
    <xf numFmtId="0" fontId="0" fillId="2" borderId="0" xfId="0" applyFill="1" applyBorder="1" applyAlignment="1">
      <alignment/>
    </xf>
    <xf numFmtId="0" fontId="1" fillId="0" borderId="21" xfId="0" applyFont="1" applyBorder="1" applyAlignment="1">
      <alignment/>
    </xf>
    <xf numFmtId="168" fontId="0" fillId="0" borderId="1" xfId="19" applyNumberFormat="1" applyBorder="1" applyAlignment="1">
      <alignment horizontal="right"/>
    </xf>
    <xf numFmtId="0" fontId="2" fillId="0" borderId="6" xfId="0" applyFont="1" applyBorder="1" applyAlignment="1">
      <alignment/>
    </xf>
    <xf numFmtId="0" fontId="0" fillId="0" borderId="0" xfId="0" applyFill="1" applyAlignment="1">
      <alignment/>
    </xf>
    <xf numFmtId="175" fontId="2" fillId="0" borderId="0" xfId="16" applyNumberFormat="1" applyFont="1" applyBorder="1" applyAlignment="1">
      <alignment/>
    </xf>
    <xf numFmtId="43" fontId="0" fillId="0" borderId="1" xfId="16" applyBorder="1" applyAlignment="1">
      <alignment horizontal="left"/>
    </xf>
    <xf numFmtId="168" fontId="0" fillId="0" borderId="1" xfId="19" applyNumberFormat="1" applyBorder="1" applyAlignment="1">
      <alignment/>
    </xf>
    <xf numFmtId="168" fontId="0" fillId="0" borderId="22" xfId="19" applyNumberFormat="1" applyBorder="1" applyAlignment="1">
      <alignment/>
    </xf>
    <xf numFmtId="43" fontId="0" fillId="1" borderId="1" xfId="16" applyFill="1" applyBorder="1" applyAlignment="1">
      <alignment/>
    </xf>
    <xf numFmtId="168" fontId="0" fillId="1" borderId="1" xfId="19" applyNumberFormat="1" applyFill="1" applyBorder="1" applyAlignment="1">
      <alignment/>
    </xf>
    <xf numFmtId="168" fontId="0" fillId="1" borderId="22" xfId="19" applyNumberFormat="1" applyFill="1" applyBorder="1" applyAlignment="1">
      <alignment/>
    </xf>
    <xf numFmtId="43" fontId="0" fillId="0" borderId="1" xfId="16" applyBorder="1" applyAlignment="1">
      <alignment/>
    </xf>
    <xf numFmtId="43" fontId="0" fillId="0" borderId="2" xfId="16" applyBorder="1" applyAlignment="1">
      <alignment/>
    </xf>
    <xf numFmtId="168" fontId="0" fillId="0" borderId="2" xfId="19" applyNumberFormat="1" applyBorder="1" applyAlignment="1">
      <alignment/>
    </xf>
    <xf numFmtId="168" fontId="0" fillId="0" borderId="23" xfId="19" applyNumberFormat="1" applyBorder="1" applyAlignment="1">
      <alignment/>
    </xf>
    <xf numFmtId="43" fontId="0" fillId="1" borderId="1" xfId="16" applyFont="1" applyFill="1" applyBorder="1" applyAlignment="1">
      <alignment/>
    </xf>
    <xf numFmtId="175" fontId="0" fillId="0" borderId="1" xfId="16" applyNumberFormat="1" applyBorder="1" applyAlignment="1">
      <alignment horizontal="right"/>
    </xf>
    <xf numFmtId="174" fontId="0" fillId="0" borderId="1" xfId="16" applyNumberFormat="1" applyBorder="1" applyAlignment="1">
      <alignment/>
    </xf>
    <xf numFmtId="175" fontId="0" fillId="0" borderId="1" xfId="16" applyNumberFormat="1" applyBorder="1" applyAlignment="1">
      <alignment/>
    </xf>
    <xf numFmtId="0" fontId="0" fillId="0" borderId="0" xfId="0" applyFill="1" applyBorder="1" applyAlignment="1">
      <alignment/>
    </xf>
    <xf numFmtId="175" fontId="0" fillId="0" borderId="0" xfId="16" applyNumberFormat="1" applyFill="1" applyBorder="1" applyAlignment="1">
      <alignment/>
    </xf>
    <xf numFmtId="0" fontId="1" fillId="0" borderId="0" xfId="0" applyFont="1" applyBorder="1" applyAlignment="1">
      <alignment/>
    </xf>
    <xf numFmtId="175" fontId="0" fillId="0" borderId="1" xfId="16" applyNumberFormat="1" applyFont="1" applyBorder="1" applyAlignment="1">
      <alignment/>
    </xf>
    <xf numFmtId="43" fontId="0" fillId="0" borderId="1" xfId="16" applyFont="1" applyBorder="1" applyAlignment="1">
      <alignment/>
    </xf>
    <xf numFmtId="0" fontId="0" fillId="2" borderId="24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175" fontId="0" fillId="3" borderId="3" xfId="16" applyNumberFormat="1" applyFill="1" applyBorder="1" applyAlignment="1">
      <alignment/>
    </xf>
    <xf numFmtId="168" fontId="0" fillId="3" borderId="3" xfId="19" applyNumberFormat="1" applyFill="1" applyBorder="1" applyAlignment="1">
      <alignment/>
    </xf>
    <xf numFmtId="0" fontId="1" fillId="3" borderId="3" xfId="16" applyNumberFormat="1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175" fontId="0" fillId="4" borderId="3" xfId="16" applyNumberFormat="1" applyFill="1" applyBorder="1" applyAlignment="1">
      <alignment/>
    </xf>
    <xf numFmtId="168" fontId="0" fillId="4" borderId="3" xfId="19" applyNumberFormat="1" applyFill="1" applyBorder="1" applyAlignment="1">
      <alignment/>
    </xf>
    <xf numFmtId="9" fontId="2" fillId="0" borderId="3" xfId="19" applyFont="1" applyBorder="1" applyAlignment="1">
      <alignment/>
    </xf>
    <xf numFmtId="9" fontId="2" fillId="0" borderId="8" xfId="19" applyFont="1" applyBorder="1" applyAlignment="1">
      <alignment/>
    </xf>
    <xf numFmtId="0" fontId="0" fillId="5" borderId="0" xfId="0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3" xfId="0" applyFont="1" applyFill="1" applyBorder="1" applyAlignment="1">
      <alignment horizontal="right"/>
    </xf>
    <xf numFmtId="0" fontId="0" fillId="5" borderId="3" xfId="0" applyFill="1" applyBorder="1" applyAlignment="1">
      <alignment/>
    </xf>
    <xf numFmtId="175" fontId="0" fillId="5" borderId="3" xfId="16" applyNumberFormat="1" applyFill="1" applyBorder="1" applyAlignment="1">
      <alignment/>
    </xf>
    <xf numFmtId="168" fontId="0" fillId="5" borderId="3" xfId="19" applyNumberForma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175" fontId="0" fillId="6" borderId="3" xfId="16" applyNumberFormat="1" applyFill="1" applyBorder="1" applyAlignment="1">
      <alignment/>
    </xf>
    <xf numFmtId="168" fontId="0" fillId="6" borderId="3" xfId="19" applyNumberFormat="1" applyFill="1" applyBorder="1" applyAlignment="1">
      <alignment/>
    </xf>
    <xf numFmtId="0" fontId="1" fillId="6" borderId="3" xfId="16" applyNumberFormat="1" applyFont="1" applyFill="1" applyBorder="1" applyAlignment="1">
      <alignment/>
    </xf>
    <xf numFmtId="0" fontId="1" fillId="4" borderId="3" xfId="0" applyFont="1" applyFill="1" applyBorder="1" applyAlignment="1">
      <alignment horizontal="right"/>
    </xf>
    <xf numFmtId="0" fontId="1" fillId="7" borderId="3" xfId="0" applyFont="1" applyFill="1" applyBorder="1" applyAlignment="1">
      <alignment/>
    </xf>
    <xf numFmtId="0" fontId="0" fillId="7" borderId="3" xfId="0" applyFill="1" applyBorder="1" applyAlignment="1">
      <alignment/>
    </xf>
    <xf numFmtId="175" fontId="0" fillId="7" borderId="3" xfId="16" applyNumberFormat="1" applyFill="1" applyBorder="1" applyAlignment="1">
      <alignment/>
    </xf>
    <xf numFmtId="0" fontId="1" fillId="8" borderId="3" xfId="0" applyFont="1" applyFill="1" applyBorder="1" applyAlignment="1">
      <alignment/>
    </xf>
    <xf numFmtId="0" fontId="1" fillId="8" borderId="3" xfId="16" applyNumberFormat="1" applyFont="1" applyFill="1" applyBorder="1" applyAlignment="1">
      <alignment/>
    </xf>
    <xf numFmtId="0" fontId="0" fillId="8" borderId="3" xfId="0" applyFill="1" applyBorder="1" applyAlignment="1">
      <alignment/>
    </xf>
    <xf numFmtId="175" fontId="0" fillId="8" borderId="3" xfId="16" applyNumberFormat="1" applyFill="1" applyBorder="1" applyAlignment="1">
      <alignment/>
    </xf>
    <xf numFmtId="168" fontId="0" fillId="8" borderId="3" xfId="19" applyNumberFormat="1" applyFill="1" applyBorder="1" applyAlignment="1">
      <alignment/>
    </xf>
    <xf numFmtId="174" fontId="0" fillId="8" borderId="3" xfId="16" applyNumberFormat="1" applyFill="1" applyBorder="1" applyAlignment="1">
      <alignment/>
    </xf>
    <xf numFmtId="184" fontId="0" fillId="0" borderId="0" xfId="0" applyNumberFormat="1" applyBorder="1" applyAlignment="1">
      <alignment/>
    </xf>
    <xf numFmtId="175" fontId="2" fillId="0" borderId="25" xfId="16" applyNumberFormat="1" applyFont="1" applyBorder="1" applyAlignment="1">
      <alignment/>
    </xf>
    <xf numFmtId="175" fontId="2" fillId="0" borderId="26" xfId="16" applyNumberFormat="1" applyFont="1" applyBorder="1" applyAlignment="1">
      <alignment/>
    </xf>
    <xf numFmtId="175" fontId="2" fillId="0" borderId="27" xfId="16" applyNumberFormat="1" applyFont="1" applyBorder="1" applyAlignment="1">
      <alignment/>
    </xf>
    <xf numFmtId="175" fontId="2" fillId="0" borderId="12" xfId="16" applyNumberFormat="1" applyFont="1" applyBorder="1" applyAlignment="1">
      <alignment/>
    </xf>
    <xf numFmtId="9" fontId="2" fillId="0" borderId="12" xfId="19" applyFont="1" applyBorder="1" applyAlignment="1">
      <alignment/>
    </xf>
    <xf numFmtId="168" fontId="2" fillId="0" borderId="12" xfId="19" applyNumberFormat="1" applyFont="1" applyBorder="1" applyAlignment="1">
      <alignment/>
    </xf>
    <xf numFmtId="168" fontId="2" fillId="0" borderId="28" xfId="19" applyNumberFormat="1" applyFont="1" applyBorder="1" applyAlignment="1">
      <alignment/>
    </xf>
    <xf numFmtId="175" fontId="2" fillId="0" borderId="10" xfId="16" applyNumberFormat="1" applyFont="1" applyBorder="1" applyAlignment="1">
      <alignment/>
    </xf>
    <xf numFmtId="175" fontId="2" fillId="0" borderId="11" xfId="16" applyNumberFormat="1" applyFont="1" applyBorder="1" applyAlignment="1">
      <alignment/>
    </xf>
    <xf numFmtId="41" fontId="0" fillId="0" borderId="0" xfId="0" applyNumberFormat="1" applyBorder="1" applyAlignment="1">
      <alignment horizontal="left"/>
    </xf>
    <xf numFmtId="41" fontId="0" fillId="1" borderId="0" xfId="0" applyNumberFormat="1" applyFill="1" applyBorder="1" applyAlignment="1">
      <alignment/>
    </xf>
    <xf numFmtId="41" fontId="0" fillId="0" borderId="29" xfId="0" applyNumberFormat="1" applyBorder="1" applyAlignment="1">
      <alignment/>
    </xf>
    <xf numFmtId="0" fontId="0" fillId="0" borderId="27" xfId="0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41" fontId="0" fillId="0" borderId="18" xfId="0" applyNumberFormat="1" applyBorder="1" applyAlignment="1">
      <alignment/>
    </xf>
    <xf numFmtId="41" fontId="0" fillId="1" borderId="18" xfId="0" applyNumberFormat="1" applyFill="1" applyBorder="1" applyAlignment="1">
      <alignment/>
    </xf>
    <xf numFmtId="0" fontId="0" fillId="0" borderId="24" xfId="0" applyFont="1" applyBorder="1" applyAlignment="1">
      <alignment horizontal="center" textRotation="90" wrapText="1"/>
    </xf>
    <xf numFmtId="168" fontId="0" fillId="0" borderId="30" xfId="19" applyNumberFormat="1" applyBorder="1" applyAlignment="1">
      <alignment/>
    </xf>
    <xf numFmtId="0" fontId="0" fillId="0" borderId="31" xfId="0" applyFont="1" applyBorder="1" applyAlignment="1">
      <alignment horizontal="center" textRotation="90" wrapText="1"/>
    </xf>
    <xf numFmtId="164" fontId="9" fillId="0" borderId="0" xfId="0" applyNumberFormat="1" applyFont="1" applyBorder="1" applyAlignment="1">
      <alignment/>
    </xf>
    <xf numFmtId="41" fontId="0" fillId="9" borderId="18" xfId="0" applyNumberFormat="1" applyFill="1" applyBorder="1" applyAlignment="1">
      <alignment/>
    </xf>
    <xf numFmtId="10" fontId="0" fillId="7" borderId="3" xfId="19" applyNumberFormat="1" applyFill="1" applyBorder="1" applyAlignment="1">
      <alignment/>
    </xf>
    <xf numFmtId="0" fontId="10" fillId="2" borderId="0" xfId="0" applyFont="1" applyFill="1" applyBorder="1" applyAlignment="1">
      <alignment/>
    </xf>
    <xf numFmtId="168" fontId="0" fillId="0" borderId="1" xfId="19" applyNumberFormat="1" applyFont="1" applyBorder="1" applyAlignment="1">
      <alignment horizontal="right"/>
    </xf>
    <xf numFmtId="168" fontId="0" fillId="0" borderId="1" xfId="19" applyNumberFormat="1" applyBorder="1" applyAlignment="1">
      <alignment horizontal="right"/>
    </xf>
    <xf numFmtId="174" fontId="0" fillId="0" borderId="1" xfId="16" applyNumberFormat="1" applyBorder="1" applyAlignment="1">
      <alignment horizontal="right"/>
    </xf>
    <xf numFmtId="183" fontId="0" fillId="0" borderId="1" xfId="0" applyNumberFormat="1" applyBorder="1" applyAlignment="1">
      <alignment/>
    </xf>
    <xf numFmtId="174" fontId="0" fillId="0" borderId="0" xfId="16" applyNumberFormat="1" applyBorder="1" applyAlignment="1">
      <alignment/>
    </xf>
    <xf numFmtId="3" fontId="0" fillId="0" borderId="1" xfId="19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1" xfId="0" applyNumberFormat="1" applyBorder="1" applyAlignment="1">
      <alignment/>
    </xf>
    <xf numFmtId="183" fontId="0" fillId="0" borderId="14" xfId="0" applyNumberFormat="1" applyBorder="1" applyAlignment="1">
      <alignment/>
    </xf>
    <xf numFmtId="188" fontId="0" fillId="0" borderId="1" xfId="0" applyNumberFormat="1" applyBorder="1" applyAlignment="1">
      <alignment/>
    </xf>
    <xf numFmtId="175" fontId="0" fillId="0" borderId="0" xfId="16" applyNumberFormat="1" applyBorder="1" applyAlignment="1">
      <alignment/>
    </xf>
    <xf numFmtId="174" fontId="0" fillId="0" borderId="0" xfId="16" applyNumberFormat="1" applyBorder="1" applyAlignment="1">
      <alignment/>
    </xf>
    <xf numFmtId="168" fontId="0" fillId="0" borderId="1" xfId="19" applyNumberFormat="1" applyFont="1" applyBorder="1" applyAlignment="1">
      <alignment horizontal="right"/>
    </xf>
    <xf numFmtId="168" fontId="2" fillId="0" borderId="1" xfId="19" applyNumberFormat="1" applyFont="1" applyBorder="1" applyAlignment="1">
      <alignment horizontal="right"/>
    </xf>
    <xf numFmtId="168" fontId="2" fillId="0" borderId="1" xfId="19" applyNumberFormat="1" applyFont="1" applyBorder="1" applyAlignment="1">
      <alignment/>
    </xf>
    <xf numFmtId="174" fontId="2" fillId="0" borderId="1" xfId="16" applyNumberFormat="1" applyFont="1" applyBorder="1" applyAlignment="1">
      <alignment/>
    </xf>
    <xf numFmtId="175" fontId="2" fillId="0" borderId="1" xfId="16" applyNumberFormat="1" applyFont="1" applyBorder="1" applyAlignment="1">
      <alignment/>
    </xf>
    <xf numFmtId="43" fontId="2" fillId="0" borderId="1" xfId="16" applyFont="1" applyBorder="1" applyAlignment="1">
      <alignment/>
    </xf>
    <xf numFmtId="3" fontId="2" fillId="0" borderId="1" xfId="19" applyNumberFormat="1" applyFont="1" applyBorder="1" applyAlignment="1">
      <alignment/>
    </xf>
    <xf numFmtId="0" fontId="0" fillId="10" borderId="12" xfId="0" applyFont="1" applyFill="1" applyBorder="1" applyAlignment="1">
      <alignment horizontal="center" textRotation="90" wrapText="1"/>
    </xf>
    <xf numFmtId="3" fontId="0" fillId="10" borderId="1" xfId="19" applyNumberFormat="1" applyFill="1" applyBorder="1" applyAlignment="1">
      <alignment/>
    </xf>
    <xf numFmtId="4" fontId="0" fillId="10" borderId="0" xfId="0" applyNumberFormat="1" applyFill="1" applyAlignment="1">
      <alignment/>
    </xf>
    <xf numFmtId="4" fontId="0" fillId="10" borderId="1" xfId="19" applyNumberFormat="1" applyFill="1" applyBorder="1" applyAlignment="1">
      <alignment/>
    </xf>
    <xf numFmtId="175" fontId="0" fillId="0" borderId="1" xfId="16" applyNumberFormat="1" applyBorder="1" applyAlignment="1">
      <alignment horizontal="left"/>
    </xf>
    <xf numFmtId="175" fontId="0" fillId="1" borderId="1" xfId="16" applyNumberFormat="1" applyFill="1" applyBorder="1" applyAlignment="1">
      <alignment/>
    </xf>
    <xf numFmtId="175" fontId="0" fillId="0" borderId="2" xfId="16" applyNumberFormat="1" applyBorder="1" applyAlignment="1">
      <alignment/>
    </xf>
    <xf numFmtId="183" fontId="0" fillId="0" borderId="32" xfId="0" applyNumberFormat="1" applyBorder="1" applyAlignment="1">
      <alignment horizontal="left"/>
    </xf>
    <xf numFmtId="183" fontId="0" fillId="1" borderId="1" xfId="0" applyNumberFormat="1" applyFill="1" applyBorder="1" applyAlignment="1">
      <alignment/>
    </xf>
    <xf numFmtId="183" fontId="0" fillId="0" borderId="2" xfId="0" applyNumberFormat="1" applyBorder="1" applyAlignment="1">
      <alignment/>
    </xf>
    <xf numFmtId="2" fontId="2" fillId="10" borderId="3" xfId="19" applyNumberFormat="1" applyFont="1" applyFill="1" applyBorder="1" applyAlignment="1">
      <alignment/>
    </xf>
    <xf numFmtId="2" fontId="2" fillId="10" borderId="8" xfId="19" applyNumberFormat="1" applyFont="1" applyFill="1" applyBorder="1" applyAlignment="1">
      <alignment/>
    </xf>
    <xf numFmtId="2" fontId="0" fillId="10" borderId="2" xfId="19" applyNumberFormat="1" applyFill="1" applyBorder="1" applyAlignment="1">
      <alignment/>
    </xf>
    <xf numFmtId="0" fontId="11" fillId="6" borderId="3" xfId="0" applyFont="1" applyFill="1" applyBorder="1" applyAlignment="1">
      <alignment/>
    </xf>
    <xf numFmtId="175" fontId="0" fillId="0" borderId="3" xfId="16" applyNumberFormat="1" applyBorder="1" applyAlignment="1">
      <alignment horizontal="left"/>
    </xf>
    <xf numFmtId="175" fontId="0" fillId="1" borderId="3" xfId="16" applyNumberFormat="1" applyFill="1" applyBorder="1" applyAlignment="1">
      <alignment/>
    </xf>
    <xf numFmtId="175" fontId="0" fillId="1" borderId="3" xfId="16" applyNumberFormat="1" applyFill="1" applyBorder="1" applyAlignment="1">
      <alignment horizontal="left"/>
    </xf>
    <xf numFmtId="175" fontId="0" fillId="0" borderId="3" xfId="16" applyNumberFormat="1" applyBorder="1" applyAlignment="1">
      <alignment/>
    </xf>
    <xf numFmtId="175" fontId="0" fillId="0" borderId="32" xfId="16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1" borderId="3" xfId="0" applyNumberFormat="1" applyFill="1" applyBorder="1" applyAlignment="1">
      <alignment/>
    </xf>
    <xf numFmtId="41" fontId="0" fillId="9" borderId="3" xfId="0" applyNumberFormat="1" applyFill="1" applyBorder="1" applyAlignment="1">
      <alignment/>
    </xf>
    <xf numFmtId="0" fontId="0" fillId="0" borderId="1" xfId="19" applyNumberFormat="1" applyBorder="1" applyAlignment="1">
      <alignment/>
    </xf>
    <xf numFmtId="3" fontId="0" fillId="0" borderId="0" xfId="0" applyNumberFormat="1" applyBorder="1" applyAlignment="1">
      <alignment/>
    </xf>
    <xf numFmtId="175" fontId="0" fillId="0" borderId="14" xfId="16" applyNumberFormat="1" applyBorder="1" applyAlignment="1">
      <alignment/>
    </xf>
    <xf numFmtId="43" fontId="0" fillId="0" borderId="3" xfId="16" applyBorder="1" applyAlignment="1">
      <alignment horizontal="left"/>
    </xf>
    <xf numFmtId="43" fontId="0" fillId="1" borderId="3" xfId="16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Selbstfinanzierungsgrad (SFG)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1245"/>
          <c:w val="0.812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Grafiken!$A$2</c:f>
              <c:strCache>
                <c:ptCount val="1"/>
                <c:pt idx="0">
                  <c:v>SFG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Grafiken!$B$1:$G$1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-4.0414908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3564145"/>
        <c:axId val="56532986"/>
      </c:barChart>
      <c:lineChart>
        <c:grouping val="standard"/>
        <c:varyColors val="0"/>
        <c:ser>
          <c:idx val="1"/>
          <c:order val="1"/>
          <c:tx>
            <c:strRef>
              <c:f>Grafiken!$A$3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Grafiken!$B$1:$G$1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0.35130875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3564145"/>
        <c:axId val="56532986"/>
      </c:line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532986"/>
        <c:crosses val="autoZero"/>
        <c:auto val="1"/>
        <c:lblOffset val="100"/>
        <c:noMultiLvlLbl val="0"/>
      </c:catAx>
      <c:valAx>
        <c:axId val="56532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Selbstfinanzierung in % der Nettoinvestitionen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641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85"/>
          <c:y val="0.8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Selbstfinanzierungsanteil (SFA)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95"/>
          <c:y val="0.12375"/>
          <c:w val="0.7477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Grafiken!$A$6</c:f>
              <c:strCache>
                <c:ptCount val="1"/>
                <c:pt idx="0">
                  <c:v>SFA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Grafiken!$B$5:$G$5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Grafiken!$B$6:$G$6</c:f>
              <c:numCache>
                <c:ptCount val="6"/>
                <c:pt idx="0">
                  <c:v>-0.06672544084630094</c:v>
                </c:pt>
                <c:pt idx="1">
                  <c:v>-0.1786707938183808</c:v>
                </c:pt>
                <c:pt idx="2">
                  <c:v>-0.056543938734800216</c:v>
                </c:pt>
                <c:pt idx="3">
                  <c:v>-0.088105524017061</c:v>
                </c:pt>
                <c:pt idx="4">
                  <c:v>-0.07588961027182599</c:v>
                </c:pt>
                <c:pt idx="5">
                  <c:v>-0.0931870615376738</c:v>
                </c:pt>
              </c:numCache>
            </c:numRef>
          </c:val>
        </c:ser>
        <c:axId val="39034827"/>
        <c:axId val="15769124"/>
      </c:barChart>
      <c:lineChart>
        <c:grouping val="standard"/>
        <c:varyColors val="0"/>
        <c:ser>
          <c:idx val="1"/>
          <c:order val="1"/>
          <c:tx>
            <c:strRef>
              <c:f>Grafiken!$A$7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Grafiken!$B$5:$G$5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Grafiken!$B$7:$G$7</c:f>
              <c:numCache>
                <c:ptCount val="6"/>
                <c:pt idx="0">
                  <c:v>-0.1587228558065037</c:v>
                </c:pt>
                <c:pt idx="1">
                  <c:v>-0.1294412727572224</c:v>
                </c:pt>
                <c:pt idx="2">
                  <c:v>-0.03824471963907241</c:v>
                </c:pt>
                <c:pt idx="3">
                  <c:v>-0.06662888945503365</c:v>
                </c:pt>
                <c:pt idx="4">
                  <c:v>-0.1540475244592174</c:v>
                </c:pt>
                <c:pt idx="5">
                  <c:v>-0.1094170524234099</c:v>
                </c:pt>
              </c:numCache>
            </c:numRef>
          </c:val>
          <c:smooth val="0"/>
        </c:ser>
        <c:axId val="39034827"/>
        <c:axId val="15769124"/>
      </c:line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769124"/>
        <c:crosses val="autoZero"/>
        <c:auto val="1"/>
        <c:lblOffset val="100"/>
        <c:noMultiLvlLbl val="0"/>
      </c:catAx>
      <c:valAx>
        <c:axId val="1576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348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475"/>
          <c:y val="0.8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Zinsbelastungsanteil (ZBA)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245"/>
          <c:w val="0.83525"/>
          <c:h val="0.6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Grafiken!$A$10</c:f>
              <c:strCache>
                <c:ptCount val="1"/>
                <c:pt idx="0">
                  <c:v>ZBA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Grafiken!$B$9:$G$9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Grafiken!$B$10:$G$10</c:f>
              <c:numCache>
                <c:ptCount val="6"/>
                <c:pt idx="0">
                  <c:v>-0.020705363499497108</c:v>
                </c:pt>
                <c:pt idx="1">
                  <c:v>-0.019909768423232128</c:v>
                </c:pt>
                <c:pt idx="2">
                  <c:v>-0.011274675787663828</c:v>
                </c:pt>
                <c:pt idx="3">
                  <c:v>-0.006769647801904293</c:v>
                </c:pt>
                <c:pt idx="4">
                  <c:v>-0.00658771969865295</c:v>
                </c:pt>
                <c:pt idx="5">
                  <c:v>-0.01304943504219006</c:v>
                </c:pt>
              </c:numCache>
            </c:numRef>
          </c:val>
        </c:ser>
        <c:axId val="7704389"/>
        <c:axId val="2230638"/>
      </c:barChart>
      <c:lineChart>
        <c:grouping val="standard"/>
        <c:varyColors val="0"/>
        <c:ser>
          <c:idx val="1"/>
          <c:order val="1"/>
          <c:tx>
            <c:strRef>
              <c:f>Grafiken!$A$11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Grafiken!$B$9:$G$9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Grafiken!$B$11:$G$11</c:f>
              <c:numCache>
                <c:ptCount val="6"/>
                <c:pt idx="0">
                  <c:v>-0.02629215656279736</c:v>
                </c:pt>
                <c:pt idx="1">
                  <c:v>-0.0157940217008591</c:v>
                </c:pt>
                <c:pt idx="2">
                  <c:v>-0.007924522052130078</c:v>
                </c:pt>
                <c:pt idx="3">
                  <c:v>-0.0045550430126035345</c:v>
                </c:pt>
                <c:pt idx="4">
                  <c:v>-0.005566085835565184</c:v>
                </c:pt>
                <c:pt idx="5">
                  <c:v>-0.012026365832791052</c:v>
                </c:pt>
              </c:numCache>
            </c:numRef>
          </c:val>
          <c:smooth val="0"/>
        </c:ser>
        <c:axId val="7704389"/>
        <c:axId val="2230638"/>
      </c:line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0638"/>
        <c:crosses val="autoZero"/>
        <c:auto val="1"/>
        <c:lblOffset val="100"/>
        <c:noMultiLvlLbl val="0"/>
      </c:catAx>
      <c:valAx>
        <c:axId val="223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04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25"/>
          <c:y val="0.7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Kapitaldienstanteil (KDA)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13425"/>
          <c:w val="0.81125"/>
          <c:h val="0.6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Grafiken!$A$14</c:f>
              <c:strCache>
                <c:ptCount val="1"/>
                <c:pt idx="0">
                  <c:v>KDA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Grafiken!$B$13:$G$13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Grafiken!$B$14:$G$14</c:f>
              <c:numCache>
                <c:ptCount val="6"/>
                <c:pt idx="0">
                  <c:v>-0.02059650878815288</c:v>
                </c:pt>
                <c:pt idx="1">
                  <c:v>-0.01888858408347444</c:v>
                </c:pt>
                <c:pt idx="2">
                  <c:v>-0.009033112396174867</c:v>
                </c:pt>
                <c:pt idx="3">
                  <c:v>-0.005070428619342204</c:v>
                </c:pt>
                <c:pt idx="4">
                  <c:v>-0.0050974522165242305</c:v>
                </c:pt>
                <c:pt idx="5">
                  <c:v>-0.011737217220733724</c:v>
                </c:pt>
              </c:numCache>
            </c:numRef>
          </c:val>
        </c:ser>
        <c:axId val="20075743"/>
        <c:axId val="46463960"/>
      </c:barChart>
      <c:lineChart>
        <c:grouping val="standard"/>
        <c:varyColors val="0"/>
        <c:ser>
          <c:idx val="1"/>
          <c:order val="1"/>
          <c:tx>
            <c:strRef>
              <c:f>Grafiken!$A$15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Grafiken!$B$13:$G$13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Grafiken!$B$15:$G$15</c:f>
              <c:numCache>
                <c:ptCount val="6"/>
                <c:pt idx="0">
                  <c:v>-0.025999609620526786</c:v>
                </c:pt>
                <c:pt idx="1">
                  <c:v>-0.0157940217008591</c:v>
                </c:pt>
                <c:pt idx="2">
                  <c:v>-0.006305300456194333</c:v>
                </c:pt>
                <c:pt idx="3">
                  <c:v>-0.004346706596863646</c:v>
                </c:pt>
                <c:pt idx="4">
                  <c:v>-0.004101278704941546</c:v>
                </c:pt>
                <c:pt idx="5">
                  <c:v>-0.011309383415877084</c:v>
                </c:pt>
              </c:numCache>
            </c:numRef>
          </c:val>
          <c:smooth val="0"/>
        </c:ser>
        <c:axId val="20075743"/>
        <c:axId val="46463960"/>
      </c:line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63960"/>
        <c:crosses val="autoZero"/>
        <c:auto val="1"/>
        <c:lblOffset val="100"/>
        <c:noMultiLvlLbl val="0"/>
      </c:catAx>
      <c:valAx>
        <c:axId val="46463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757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3"/>
          <c:y val="0.8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Entwicklung Nettoschuld / Nettovermögen</a:t>
            </a:r>
          </a:p>
        </c:rich>
      </c:tx>
      <c:layout/>
      <c:spPr>
        <a:noFill/>
        <a:ln>
          <a:noFill/>
        </a:ln>
      </c:spPr>
    </c:title>
    <c:view3D>
      <c:rotX val="18"/>
      <c:rotY val="25"/>
      <c:depthPercent val="100"/>
      <c:rAngAx val="1"/>
    </c:view3D>
    <c:plotArea>
      <c:layout>
        <c:manualLayout>
          <c:xMode val="edge"/>
          <c:yMode val="edge"/>
          <c:x val="0.05525"/>
          <c:y val="0.17025"/>
          <c:w val="0.9415"/>
          <c:h val="0.53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Grafiken!$A$22</c:f>
              <c:strCache>
                <c:ptCount val="1"/>
                <c:pt idx="0">
                  <c:v>Nettoschuld(-)/Nettovermögen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Grafiken!$B$21:$F$21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Grafiken!$B$22:$F$22</c:f>
              <c:numCache>
                <c:ptCount val="5"/>
                <c:pt idx="0">
                  <c:v>11507.92616</c:v>
                </c:pt>
                <c:pt idx="1">
                  <c:v>9256.97601</c:v>
                </c:pt>
                <c:pt idx="2">
                  <c:v>9279.551479999998</c:v>
                </c:pt>
                <c:pt idx="3">
                  <c:v>7688.045269999998</c:v>
                </c:pt>
                <c:pt idx="4">
                  <c:v>6076.312929999997</c:v>
                </c:pt>
              </c:numCache>
            </c:numRef>
          </c:val>
          <c:shape val="box"/>
        </c:ser>
        <c:shape val="box"/>
        <c:axId val="15522457"/>
        <c:axId val="5484386"/>
      </c:bar3D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224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5"/>
          <c:y val="0.7187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Nettoinvestitionen und Finanzierungsüberschuss / -fehlbetrag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311"/>
          <c:w val="0.8397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Grafiken!$A$18</c:f>
              <c:strCache>
                <c:ptCount val="1"/>
                <c:pt idx="0">
                  <c:v>Nettoinvestitionen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Grafiken!$B$17:$G$17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Grafiken!$B$18:$G$18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</c:numCache>
            </c:numRef>
          </c:val>
        </c:ser>
        <c:ser>
          <c:idx val="1"/>
          <c:order val="1"/>
          <c:tx>
            <c:strRef>
              <c:f>Grafiken!$A$19</c:f>
              <c:strCache>
                <c:ptCount val="1"/>
                <c:pt idx="0">
                  <c:v>Überschuss (+), Fehlbetrag (-)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Grafiken!$B$17:$G$17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Grafiken!$B$19:$G$19</c:f>
              <c:numCache>
                <c:ptCount val="6"/>
                <c:pt idx="0">
                  <c:v>-827.518929999996</c:v>
                </c:pt>
                <c:pt idx="1">
                  <c:v>-2171.744510000002</c:v>
                </c:pt>
                <c:pt idx="2">
                  <c:v>-1008.2981599999982</c:v>
                </c:pt>
                <c:pt idx="3">
                  <c:v>-1432.7823699999954</c:v>
                </c:pt>
                <c:pt idx="4">
                  <c:v>-1042.9027400000002</c:v>
                </c:pt>
                <c:pt idx="5">
                  <c:v>-1296.6493419999983</c:v>
                </c:pt>
              </c:numCache>
            </c:numRef>
          </c:val>
        </c:ser>
        <c:axId val="49359475"/>
        <c:axId val="41582092"/>
      </c:bar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59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25"/>
          <c:y val="0.8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107</xdr:row>
      <xdr:rowOff>66675</xdr:rowOff>
    </xdr:from>
    <xdr:to>
      <xdr:col>2</xdr:col>
      <xdr:colOff>447675</xdr:colOff>
      <xdr:row>123</xdr:row>
      <xdr:rowOff>95250</xdr:rowOff>
    </xdr:to>
    <xdr:graphicFrame>
      <xdr:nvGraphicFramePr>
        <xdr:cNvPr id="1" name="Chart 11"/>
        <xdr:cNvGraphicFramePr/>
      </xdr:nvGraphicFramePr>
      <xdr:xfrm>
        <a:off x="38100" y="20221575"/>
        <a:ext cx="3371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107</xdr:row>
      <xdr:rowOff>57150</xdr:rowOff>
    </xdr:from>
    <xdr:to>
      <xdr:col>7</xdr:col>
      <xdr:colOff>0</xdr:colOff>
      <xdr:row>123</xdr:row>
      <xdr:rowOff>85725</xdr:rowOff>
    </xdr:to>
    <xdr:graphicFrame>
      <xdr:nvGraphicFramePr>
        <xdr:cNvPr id="2" name="Chart 12"/>
        <xdr:cNvGraphicFramePr/>
      </xdr:nvGraphicFramePr>
      <xdr:xfrm>
        <a:off x="3486150" y="20212050"/>
        <a:ext cx="34956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124</xdr:row>
      <xdr:rowOff>0</xdr:rowOff>
    </xdr:from>
    <xdr:to>
      <xdr:col>2</xdr:col>
      <xdr:colOff>466725</xdr:colOff>
      <xdr:row>140</xdr:row>
      <xdr:rowOff>28575</xdr:rowOff>
    </xdr:to>
    <xdr:graphicFrame>
      <xdr:nvGraphicFramePr>
        <xdr:cNvPr id="3" name="Chart 13"/>
        <xdr:cNvGraphicFramePr/>
      </xdr:nvGraphicFramePr>
      <xdr:xfrm>
        <a:off x="47625" y="22907625"/>
        <a:ext cx="33813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533400</xdr:colOff>
      <xdr:row>124</xdr:row>
      <xdr:rowOff>19050</xdr:rowOff>
    </xdr:from>
    <xdr:to>
      <xdr:col>7</xdr:col>
      <xdr:colOff>0</xdr:colOff>
      <xdr:row>140</xdr:row>
      <xdr:rowOff>47625</xdr:rowOff>
    </xdr:to>
    <xdr:graphicFrame>
      <xdr:nvGraphicFramePr>
        <xdr:cNvPr id="4" name="Chart 14"/>
        <xdr:cNvGraphicFramePr/>
      </xdr:nvGraphicFramePr>
      <xdr:xfrm>
        <a:off x="3495675" y="22926675"/>
        <a:ext cx="348615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533400</xdr:colOff>
      <xdr:row>140</xdr:row>
      <xdr:rowOff>114300</xdr:rowOff>
    </xdr:from>
    <xdr:to>
      <xdr:col>7</xdr:col>
      <xdr:colOff>0</xdr:colOff>
      <xdr:row>156</xdr:row>
      <xdr:rowOff>142875</xdr:rowOff>
    </xdr:to>
    <xdr:graphicFrame>
      <xdr:nvGraphicFramePr>
        <xdr:cNvPr id="5" name="Chart 16"/>
        <xdr:cNvGraphicFramePr/>
      </xdr:nvGraphicFramePr>
      <xdr:xfrm>
        <a:off x="3495675" y="25612725"/>
        <a:ext cx="348615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157</xdr:row>
      <xdr:rowOff>38100</xdr:rowOff>
    </xdr:from>
    <xdr:to>
      <xdr:col>7</xdr:col>
      <xdr:colOff>0</xdr:colOff>
      <xdr:row>163</xdr:row>
      <xdr:rowOff>152400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66675" y="28289250"/>
          <a:ext cx="69151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140</xdr:row>
      <xdr:rowOff>114300</xdr:rowOff>
    </xdr:from>
    <xdr:to>
      <xdr:col>2</xdr:col>
      <xdr:colOff>476250</xdr:colOff>
      <xdr:row>157</xdr:row>
      <xdr:rowOff>0</xdr:rowOff>
    </xdr:to>
    <xdr:graphicFrame>
      <xdr:nvGraphicFramePr>
        <xdr:cNvPr id="7" name="Chart 20"/>
        <xdr:cNvGraphicFramePr/>
      </xdr:nvGraphicFramePr>
      <xdr:xfrm>
        <a:off x="66675" y="25612725"/>
        <a:ext cx="3371850" cy="2638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07"/>
  <sheetViews>
    <sheetView tabSelected="1" zoomScale="120" zoomScaleNormal="120" workbookViewId="0" topLeftCell="A1">
      <selection activeCell="N16" sqref="N16"/>
    </sheetView>
  </sheetViews>
  <sheetFormatPr defaultColWidth="11.421875" defaultRowHeight="12.75"/>
  <cols>
    <col min="1" max="1" width="32.421875" style="0" customWidth="1"/>
    <col min="2" max="4" width="12.00390625" style="0" customWidth="1"/>
    <col min="5" max="6" width="11.57421875" style="0" customWidth="1"/>
    <col min="7" max="7" width="13.140625" style="0" customWidth="1"/>
    <col min="8" max="8" width="11.7109375" style="0" customWidth="1"/>
    <col min="9" max="9" width="3.00390625" style="0" customWidth="1"/>
    <col min="10" max="10" width="1.8515625" style="0" customWidth="1"/>
    <col min="11" max="11" width="1.7109375" style="0" customWidth="1"/>
    <col min="12" max="12" width="3.00390625" style="0" hidden="1" customWidth="1"/>
    <col min="13" max="13" width="14.57421875" style="0" customWidth="1"/>
    <col min="14" max="14" width="4.00390625" style="0" customWidth="1"/>
    <col min="15" max="15" width="3.28125" style="0" bestFit="1" customWidth="1"/>
  </cols>
  <sheetData>
    <row r="1" spans="1:16" ht="9" customHeight="1">
      <c r="A1" s="57"/>
      <c r="B1" s="57"/>
      <c r="C1" s="57"/>
      <c r="D1" s="57"/>
      <c r="E1" s="57"/>
      <c r="F1" s="57"/>
      <c r="G1" s="57"/>
      <c r="J1" s="9"/>
      <c r="K1" s="12"/>
      <c r="L1" s="10"/>
      <c r="M1" s="12" t="s">
        <v>38</v>
      </c>
      <c r="N1" s="10">
        <v>1</v>
      </c>
      <c r="O1" s="9">
        <v>33</v>
      </c>
      <c r="P1" t="str">
        <f>INDEX(M1:M33,O1)</f>
        <v>TOTAL</v>
      </c>
    </row>
    <row r="2" spans="1:15" ht="15">
      <c r="A2" s="139" t="s">
        <v>238</v>
      </c>
      <c r="B2" s="57"/>
      <c r="C2" s="57"/>
      <c r="D2" s="57"/>
      <c r="E2" s="57"/>
      <c r="F2" s="57"/>
      <c r="G2" s="57"/>
      <c r="J2" s="9"/>
      <c r="K2" s="11"/>
      <c r="L2" s="10"/>
      <c r="M2" s="11" t="s">
        <v>0</v>
      </c>
      <c r="N2" s="10">
        <v>2</v>
      </c>
      <c r="O2" s="9"/>
    </row>
    <row r="3" spans="1:15" ht="7.5" customHeight="1">
      <c r="A3" s="82"/>
      <c r="B3" s="82"/>
      <c r="C3" s="82"/>
      <c r="D3" s="82"/>
      <c r="E3" s="82"/>
      <c r="F3" s="82"/>
      <c r="G3" s="82"/>
      <c r="J3" s="9"/>
      <c r="K3" s="11"/>
      <c r="L3" s="10"/>
      <c r="M3" s="11" t="s">
        <v>32</v>
      </c>
      <c r="N3" s="10">
        <v>3</v>
      </c>
      <c r="O3" s="9"/>
    </row>
    <row r="4" spans="1:15" ht="21" customHeight="1">
      <c r="A4" s="94"/>
      <c r="B4" s="94"/>
      <c r="C4" s="94"/>
      <c r="D4" s="94"/>
      <c r="E4" s="94"/>
      <c r="F4" s="94"/>
      <c r="G4" s="94"/>
      <c r="J4" s="9"/>
      <c r="K4" s="11"/>
      <c r="L4" s="10"/>
      <c r="M4" s="11" t="s">
        <v>1</v>
      </c>
      <c r="N4" s="10">
        <v>4</v>
      </c>
      <c r="O4" s="9"/>
    </row>
    <row r="5" spans="1:15" ht="15" customHeight="1">
      <c r="A5" s="95" t="s">
        <v>202</v>
      </c>
      <c r="B5" s="95">
        <v>2001</v>
      </c>
      <c r="C5" s="95">
        <v>2002</v>
      </c>
      <c r="D5" s="95">
        <v>2003</v>
      </c>
      <c r="E5" s="95">
        <v>2004</v>
      </c>
      <c r="F5" s="95">
        <v>2005</v>
      </c>
      <c r="G5" s="96" t="s">
        <v>50</v>
      </c>
      <c r="H5" s="16"/>
      <c r="J5" s="9"/>
      <c r="K5" s="11"/>
      <c r="L5" s="10"/>
      <c r="M5" s="11" t="s">
        <v>234</v>
      </c>
      <c r="N5" s="10">
        <v>5</v>
      </c>
      <c r="O5" s="9"/>
    </row>
    <row r="6" spans="1:15" ht="15" customHeight="1">
      <c r="A6" s="97" t="s">
        <v>26</v>
      </c>
      <c r="B6" s="98">
        <f>SUMIF('2001'!$A$3:$A$49,$P$1,'2001'!$BT$3:$BT$49)</f>
        <v>16193973.08</v>
      </c>
      <c r="C6" s="98">
        <f>SUMIF('2002'!$A$3:$A$49,$P$1,'2002'!$BT$3:$BT$49)</f>
        <v>14924879.49</v>
      </c>
      <c r="D6" s="98">
        <f>SUMIF('2003'!$A$3:$A$49,$P$1,'2003'!$BT$3:$BT$49)</f>
        <v>15413074.159999998</v>
      </c>
      <c r="E6" s="98">
        <f>SUMIF('2004'!$A$3:$A$49,$P$1,'2004'!$BT$3:$BT$49)</f>
        <v>14432729.259999998</v>
      </c>
      <c r="F6" s="98">
        <f>SUMIF('2005'!$A$3:$A$49,$P$1,'2005'!$BT$3:$BT$49)</f>
        <v>11463756.899999997</v>
      </c>
      <c r="G6" s="99">
        <f>(F6-B6)/B6</f>
        <v>-0.2920973226664153</v>
      </c>
      <c r="H6" s="16"/>
      <c r="J6" s="9"/>
      <c r="K6" s="11"/>
      <c r="L6" s="10"/>
      <c r="M6" s="11" t="s">
        <v>232</v>
      </c>
      <c r="N6" s="10">
        <v>6</v>
      </c>
      <c r="O6" s="9"/>
    </row>
    <row r="7" spans="1:15" ht="15" customHeight="1">
      <c r="A7" s="97" t="s">
        <v>27</v>
      </c>
      <c r="B7" s="98">
        <f>SUMIF('2001'!$A$3:$A$49,$P$1,'2001'!$BU$3:$BU$49)</f>
        <v>105427.00000000001</v>
      </c>
      <c r="C7" s="98">
        <f>SUMIF('2002'!$A$3:$A$49,$P$1,'2002'!$BU$3:$BU$49)</f>
        <v>77103.00000000001</v>
      </c>
      <c r="D7" s="98">
        <f>SUMIF('2003'!$A$3:$A$49,$P$1,'2003'!$BU$3:$BU$49)</f>
        <v>198067.8</v>
      </c>
      <c r="E7" s="98">
        <f>SUMIF('2004'!$A$3:$A$49,$P$1,'2004'!$BU$3:$BU$49)</f>
        <v>433952.5</v>
      </c>
      <c r="F7" s="98">
        <f>SUMIF('2005'!$A$3:$A$49,$P$1,'2005'!$BU$3:$BU$49)</f>
        <v>247118.7</v>
      </c>
      <c r="G7" s="99">
        <f aca="true" t="shared" si="0" ref="G7:G15">(F7-B7)/B7</f>
        <v>1.343979246303129</v>
      </c>
      <c r="H7" s="16"/>
      <c r="J7" s="9"/>
      <c r="K7" s="11"/>
      <c r="L7" s="10"/>
      <c r="M7" s="11" t="s">
        <v>4</v>
      </c>
      <c r="N7" s="10">
        <v>7</v>
      </c>
      <c r="O7" s="9"/>
    </row>
    <row r="8" spans="1:15" ht="15" customHeight="1">
      <c r="A8" s="97" t="s">
        <v>156</v>
      </c>
      <c r="B8" s="98">
        <f>SUMIF('2001'!$A$3:$A$49,$P$1,'2001'!$BV$3:$BV$49)</f>
        <v>0</v>
      </c>
      <c r="C8" s="98">
        <f>SUMIF('2002'!$A$3:$A$49,$P$1,'2002'!$BV$3:$BV$49)</f>
        <v>0</v>
      </c>
      <c r="D8" s="98">
        <f>SUMIF('2003'!$A$3:$A$49,$P$1,'2003'!$BV$3:$BV$49)</f>
        <v>0</v>
      </c>
      <c r="E8" s="98">
        <f>SUMIF('2004'!$A$3:$A$49,$P$1,'2004'!$BV$3:$BV$49)</f>
        <v>0</v>
      </c>
      <c r="F8" s="98">
        <f>SUMIF('2005'!$A$3:$A$49,$P$1,'2005'!$BV$3:$BV$49)</f>
        <v>0</v>
      </c>
      <c r="G8" s="99" t="e">
        <f t="shared" si="0"/>
        <v>#DIV/0!</v>
      </c>
      <c r="H8" s="16"/>
      <c r="J8" s="9"/>
      <c r="K8" s="11"/>
      <c r="L8" s="10"/>
      <c r="M8" s="11" t="s">
        <v>220</v>
      </c>
      <c r="N8" s="10">
        <v>8</v>
      </c>
      <c r="O8" s="9"/>
    </row>
    <row r="9" spans="1:15" ht="15" customHeight="1">
      <c r="A9" s="97" t="s">
        <v>28</v>
      </c>
      <c r="B9" s="98">
        <f>SUMIF('2001'!$A$3:$A$49,$P$1,'2001'!$BW$3:$BW$49)</f>
        <v>187510.01</v>
      </c>
      <c r="C9" s="98">
        <f>SUMIF('2002'!$A$3:$A$49,$P$1,'2002'!$BW$3:$BW$49)</f>
        <v>346426.91</v>
      </c>
      <c r="D9" s="98">
        <f>SUMIF('2003'!$A$3:$A$49,$P$1,'2003'!$BW$3:$BW$49)</f>
        <v>170335.41</v>
      </c>
      <c r="E9" s="98">
        <f>SUMIF('2004'!$A$3:$A$49,$P$1,'2004'!$BW$3:$BW$49)</f>
        <v>74614.4</v>
      </c>
      <c r="F9" s="98">
        <f>SUMIF('2005'!$A$3:$A$49,$P$1,'2005'!$BW$3:$BW$49)</f>
        <v>144390.5</v>
      </c>
      <c r="G9" s="99">
        <f t="shared" si="0"/>
        <v>-0.22995844328524118</v>
      </c>
      <c r="H9" s="16"/>
      <c r="J9" s="9"/>
      <c r="K9" s="11"/>
      <c r="L9" s="10"/>
      <c r="M9" s="11" t="s">
        <v>6</v>
      </c>
      <c r="N9" s="10">
        <v>9</v>
      </c>
      <c r="O9" s="9"/>
    </row>
    <row r="10" spans="1:15" ht="15" customHeight="1">
      <c r="A10" s="97" t="s">
        <v>157</v>
      </c>
      <c r="B10" s="98">
        <f>SUMIF('2001'!$A$3:$A$49,$P$1,'2001'!$BX$3:$BX$49)</f>
        <v>16486910.090000002</v>
      </c>
      <c r="C10" s="98">
        <f>SUMIF('2002'!$A$3:$A$49,$P$1,'2002'!$BX$3:$BX$49)</f>
        <v>15348409.400000002</v>
      </c>
      <c r="D10" s="98">
        <f>SUMIF('2003'!$A$3:$A$49,$P$1,'2003'!$BX$3:$BX$49)</f>
        <v>15781477.369999997</v>
      </c>
      <c r="E10" s="98">
        <f>SUMIF('2004'!$A$3:$A$49,$P$1,'2004'!$BX$3:$BX$49)</f>
        <v>14941296.159999996</v>
      </c>
      <c r="F10" s="98">
        <f>SUMIF('2005'!$A$3:$A$49,$P$1,'2005'!$BX$3:$BX$49)</f>
        <v>11855266.1</v>
      </c>
      <c r="G10" s="99">
        <f t="shared" si="0"/>
        <v>-0.2809285648260608</v>
      </c>
      <c r="H10" s="16"/>
      <c r="J10" s="9"/>
      <c r="K10" s="11"/>
      <c r="L10" s="10"/>
      <c r="M10" t="s">
        <v>225</v>
      </c>
      <c r="N10" s="10">
        <v>10</v>
      </c>
      <c r="O10" s="9"/>
    </row>
    <row r="11" spans="1:15" ht="15" customHeight="1">
      <c r="A11" s="97" t="s">
        <v>29</v>
      </c>
      <c r="B11" s="98">
        <f>SUMIF('2001'!$A$3:$A$49,$P$1,'2001'!$BY$3:$BY$49)</f>
        <v>4686046.920000001</v>
      </c>
      <c r="C11" s="98">
        <f>SUMIF('2002'!$A$3:$A$49,$P$1,'2002'!$BY$3:$BY$49)</f>
        <v>5667903.48</v>
      </c>
      <c r="D11" s="98">
        <f>SUMIF('2003'!$A$3:$A$49,$P$1,'2003'!$BY$3:$BY$49)</f>
        <v>6133522.68</v>
      </c>
      <c r="E11" s="98">
        <f>SUMIF('2004'!$A$3:$A$49,$P$1,'2004'!$BY$3:$BY$49)</f>
        <v>6744683.99</v>
      </c>
      <c r="F11" s="98">
        <f>SUMIF('2005'!$A$3:$A$49,$P$1,'2005'!$BY$3:$BY$49)</f>
        <v>5387443.97</v>
      </c>
      <c r="G11" s="99">
        <f t="shared" si="0"/>
        <v>0.14967776933825466</v>
      </c>
      <c r="H11" s="16"/>
      <c r="J11" s="9"/>
      <c r="K11" s="11"/>
      <c r="L11" s="10"/>
      <c r="M11" t="s">
        <v>229</v>
      </c>
      <c r="N11" s="10">
        <v>11</v>
      </c>
      <c r="O11" s="9"/>
    </row>
    <row r="12" spans="1:15" ht="15" customHeight="1">
      <c r="A12" s="97" t="s">
        <v>56</v>
      </c>
      <c r="B12" s="98">
        <f>SUMIF('2001'!$A$3:$A$49,$P$1,'2001'!$BZ$3:$BZ$49)</f>
        <v>20000</v>
      </c>
      <c r="C12" s="98">
        <f>SUMIF('2002'!$A$3:$A$49,$P$1,'2002'!$BZ$3:$BZ$49)</f>
        <v>20000</v>
      </c>
      <c r="D12" s="98">
        <f>SUMIF('2003'!$A$3:$A$49,$P$1,'2003'!$BZ$3:$BZ$49)</f>
        <v>20000</v>
      </c>
      <c r="E12" s="98">
        <f>SUMIF('2004'!$A$3:$A$49,$P$1,'2004'!$BZ$3:$BZ$49)</f>
        <v>31755.15</v>
      </c>
      <c r="F12" s="98">
        <f>SUMIF('2005'!$A$3:$A$49,$P$1,'2005'!$BZ$3:$BZ$49)</f>
        <v>11755.15</v>
      </c>
      <c r="G12" s="99">
        <f t="shared" si="0"/>
        <v>-0.4122425</v>
      </c>
      <c r="H12" s="16"/>
      <c r="J12" s="9"/>
      <c r="K12" s="11"/>
      <c r="L12" s="10"/>
      <c r="M12" s="11" t="s">
        <v>7</v>
      </c>
      <c r="N12" s="10">
        <v>12</v>
      </c>
      <c r="O12" s="9"/>
    </row>
    <row r="13" spans="1:15" ht="15" customHeight="1">
      <c r="A13" s="97" t="s">
        <v>30</v>
      </c>
      <c r="B13" s="98">
        <f>SUMIF('2001'!$A$3:$A$49,$P$1,'2001'!$CA$3:$CA$49)</f>
        <v>11780863.17</v>
      </c>
      <c r="C13" s="98">
        <f>SUMIF('2002'!$A$3:$A$49,$P$1,'2002'!$CA$3:$CA$49)</f>
        <v>9660506.02</v>
      </c>
      <c r="D13" s="98">
        <f>SUMIF('2003'!$A$3:$A$49,$P$1,'2003'!$CA$3:$CA$49)</f>
        <v>9627954.690000001</v>
      </c>
      <c r="E13" s="98">
        <f>SUMIF('2004'!$A$3:$A$49,$P$1,'2004'!$CA$3:$CA$49)</f>
        <v>8164857.470000002</v>
      </c>
      <c r="F13" s="98">
        <f>SUMIF('2005'!$A$3:$A$49,$P$1,'2005'!$CA$3:$CA$49)</f>
        <v>6456066.980000001</v>
      </c>
      <c r="G13" s="99">
        <f t="shared" si="0"/>
        <v>-0.45198693110701826</v>
      </c>
      <c r="H13" s="16"/>
      <c r="J13" s="9"/>
      <c r="K13" s="11"/>
      <c r="L13" s="10"/>
      <c r="M13" s="11" t="s">
        <v>8</v>
      </c>
      <c r="N13" s="10">
        <v>13</v>
      </c>
      <c r="O13" s="9"/>
    </row>
    <row r="14" spans="1:15" ht="15" customHeight="1">
      <c r="A14" s="97" t="s">
        <v>158</v>
      </c>
      <c r="B14" s="98">
        <f>SUMIF('2001'!$A$3:$A$49,$P$1,'2001'!$CB$3:$CB$49)</f>
        <v>16486910.089999998</v>
      </c>
      <c r="C14" s="98">
        <f>SUMIF('2002'!$A$3:$A$49,$P$1,'2002'!$CB$3:$CB$49)</f>
        <v>15348409.5</v>
      </c>
      <c r="D14" s="98">
        <f>SUMIF('2003'!$A$3:$A$49,$P$1,'2003'!$CB$3:$CB$49)</f>
        <v>15781477.369999997</v>
      </c>
      <c r="E14" s="98">
        <f>SUMIF('2004'!$A$3:$A$49,$P$1,'2004'!$CB$3:$CB$49)</f>
        <v>14941296.609999998</v>
      </c>
      <c r="F14" s="98">
        <f>SUMIF('2005'!$A$3:$A$49,$P$1,'2005'!$CB$3:$CB$49)</f>
        <v>11855266.1</v>
      </c>
      <c r="G14" s="99">
        <f t="shared" si="0"/>
        <v>-0.28092856482606066</v>
      </c>
      <c r="H14" s="16"/>
      <c r="J14" s="9"/>
      <c r="K14" s="11"/>
      <c r="L14" s="10"/>
      <c r="M14" s="11" t="s">
        <v>33</v>
      </c>
      <c r="N14" s="10">
        <v>14</v>
      </c>
      <c r="O14" s="9"/>
    </row>
    <row r="15" spans="1:15" ht="15" customHeight="1">
      <c r="A15" s="97" t="s">
        <v>159</v>
      </c>
      <c r="B15" s="98">
        <f>SUMIF('2001'!$A$3:$A$49,$P$1,'2001'!$CS$3:$CS$49)</f>
        <v>11507926.16</v>
      </c>
      <c r="C15" s="98">
        <f>SUMIF('2002'!$A$3:$A$49,$P$1,'2002'!$CS$3:$CS$49)</f>
        <v>9256976.01</v>
      </c>
      <c r="D15" s="98">
        <f>SUMIF('2003'!$A$3:$A$49,$P$1,'2003'!$CS$3:$CS$49)</f>
        <v>9279551.479999999</v>
      </c>
      <c r="E15" s="98">
        <f>SUMIF('2004'!$A$3:$A$49,$P$1,'2004'!$CS$3:$CS$49)</f>
        <v>7688045.269999998</v>
      </c>
      <c r="F15" s="98">
        <f>SUMIF('2005'!$A$3:$A$49,$P$1,'2005'!$CW$3:$CW$49)</f>
        <v>6076312.929999997</v>
      </c>
      <c r="G15" s="99">
        <f t="shared" si="0"/>
        <v>-0.47198888439861203</v>
      </c>
      <c r="H15" s="16"/>
      <c r="J15" s="9"/>
      <c r="K15" s="11"/>
      <c r="L15" s="10"/>
      <c r="M15" s="11" t="s">
        <v>231</v>
      </c>
      <c r="N15" s="10">
        <v>15</v>
      </c>
      <c r="O15" s="9"/>
    </row>
    <row r="16" spans="1:15" ht="15" customHeight="1">
      <c r="A16" s="61"/>
      <c r="B16" s="61"/>
      <c r="C16" s="61"/>
      <c r="D16" s="61"/>
      <c r="E16" s="61"/>
      <c r="F16" s="61"/>
      <c r="G16" s="61"/>
      <c r="H16" s="16"/>
      <c r="J16" s="9"/>
      <c r="K16" s="11"/>
      <c r="L16" s="10"/>
      <c r="M16" s="11" t="s">
        <v>34</v>
      </c>
      <c r="N16" s="10">
        <v>16</v>
      </c>
      <c r="O16" s="9"/>
    </row>
    <row r="17" spans="1:15" ht="15" customHeight="1">
      <c r="A17" s="100" t="s">
        <v>203</v>
      </c>
      <c r="B17" s="100">
        <f>B5</f>
        <v>2001</v>
      </c>
      <c r="C17" s="100">
        <f>C5</f>
        <v>2002</v>
      </c>
      <c r="D17" s="100">
        <f>D5</f>
        <v>2003</v>
      </c>
      <c r="E17" s="100">
        <f>E5</f>
        <v>2004</v>
      </c>
      <c r="F17" s="100">
        <f>F5</f>
        <v>2005</v>
      </c>
      <c r="G17" s="100" t="s">
        <v>50</v>
      </c>
      <c r="H17" s="14"/>
      <c r="J17" s="9"/>
      <c r="K17" s="11"/>
      <c r="L17" s="10"/>
      <c r="M17" s="11" t="s">
        <v>233</v>
      </c>
      <c r="N17" s="10">
        <v>17</v>
      </c>
      <c r="O17" s="9"/>
    </row>
    <row r="18" spans="1:15" ht="15" customHeight="1">
      <c r="A18" s="101" t="s">
        <v>22</v>
      </c>
      <c r="B18" s="102">
        <f>SUMIF('2001'!$A$3:$A$49,$P$1,'2001'!$CT$3:$CT$49)</f>
        <v>13280184.449999997</v>
      </c>
      <c r="C18" s="102">
        <f>SUMIF('2002'!$A$3:$A$49,$P$1,'2002'!$CT$3:$CT$49)</f>
        <v>14388679.870000001</v>
      </c>
      <c r="D18" s="102">
        <f>SUMIF('2003'!$A$3:$A$49,$P$1,'2003'!$CT$3:$CT$49)</f>
        <v>15299249.56</v>
      </c>
      <c r="E18" s="102">
        <f>SUMIF('2004'!$A$3:$A$49,$P$1,'2004'!$CT$3:$CT$49)</f>
        <v>17927456.889999997</v>
      </c>
      <c r="F18" s="102">
        <f>SUMIF('2005'!$A$3:$A$49,$P$1,'2005'!$CX$3:$CX$49)</f>
        <v>14996010.549999999</v>
      </c>
      <c r="G18" s="103">
        <f aca="true" t="shared" si="1" ref="G18:G25">(F18-B18)/B18</f>
        <v>0.12920197806439365</v>
      </c>
      <c r="H18" s="14"/>
      <c r="J18" s="9"/>
      <c r="K18" s="11"/>
      <c r="L18" s="10"/>
      <c r="M18" s="11" t="s">
        <v>226</v>
      </c>
      <c r="N18" s="10">
        <v>18</v>
      </c>
      <c r="O18" s="9"/>
    </row>
    <row r="19" spans="1:15" ht="15" customHeight="1">
      <c r="A19" s="101" t="s">
        <v>23</v>
      </c>
      <c r="B19" s="102">
        <f>SUMIF('2001'!$A$3:$A$49,$P$1,'2001'!$CU$3:$CU$49)</f>
        <v>12452665.520000001</v>
      </c>
      <c r="C19" s="102">
        <f>SUMIF('2002'!$A$3:$A$49,$P$1,'2002'!$CU$3:$CU$49)</f>
        <v>12216935.36</v>
      </c>
      <c r="D19" s="102">
        <f>SUMIF('2003'!$A$3:$A$49,$P$1,'2003'!$CU$3:$CU$49)</f>
        <v>14490951.400000002</v>
      </c>
      <c r="E19" s="102">
        <f>SUMIF('2004'!$A$3:$A$49,$P$1,'2004'!$CU$3:$CU$49)</f>
        <v>16494674.520000001</v>
      </c>
      <c r="F19" s="102">
        <f>SUMIF('2005'!$A$3:$A$49,$P$1,'2005'!$CY$3:$CY$49)</f>
        <v>13953107.809999999</v>
      </c>
      <c r="G19" s="103">
        <f t="shared" si="1"/>
        <v>0.12049165599045152</v>
      </c>
      <c r="H19" s="14"/>
      <c r="J19" s="9"/>
      <c r="K19" s="11"/>
      <c r="L19" s="10"/>
      <c r="M19" s="11" t="s">
        <v>223</v>
      </c>
      <c r="N19" s="10">
        <v>19</v>
      </c>
      <c r="O19" s="9"/>
    </row>
    <row r="20" spans="1:15" ht="15" customHeight="1">
      <c r="A20" s="101" t="s">
        <v>161</v>
      </c>
      <c r="B20" s="102">
        <f>SUMIF('2001'!$A$3:$A$49,$P$1,'2001'!$CV$3:$CV$49)</f>
        <v>-827518.929999996</v>
      </c>
      <c r="C20" s="102">
        <f>SUMIF('2002'!$A$3:$A$49,$P$1,'2002'!$CV$3:$CV$49)</f>
        <v>-2171744.5100000016</v>
      </c>
      <c r="D20" s="102">
        <f>SUMIF('2003'!$A$3:$A$49,$P$1,'2003'!$CV$3:$CV$49)</f>
        <v>-808298.1599999983</v>
      </c>
      <c r="E20" s="102">
        <f>SUMIF('2004'!$A$3:$A$49,$P$1,'2004'!$CV$3:$CV$49)</f>
        <v>-1432782.3699999955</v>
      </c>
      <c r="F20" s="102">
        <f>SUMIF('2005'!$A$3:$A$49,$P$1,'2005'!$CZ$3:$CZ$49)</f>
        <v>-1042902.7400000002</v>
      </c>
      <c r="G20" s="103">
        <f t="shared" si="1"/>
        <v>0.26027659572694645</v>
      </c>
      <c r="H20" s="14"/>
      <c r="J20" s="9"/>
      <c r="K20" s="11"/>
      <c r="L20" s="10"/>
      <c r="M20" s="11" t="s">
        <v>218</v>
      </c>
      <c r="N20" s="10">
        <v>20</v>
      </c>
      <c r="O20" s="9"/>
    </row>
    <row r="21" spans="1:15" ht="15" customHeight="1">
      <c r="A21" s="101" t="s">
        <v>165</v>
      </c>
      <c r="B21" s="102">
        <f>SUMIF('2001'!$A$3:$A$49,$P$1,'2001'!$CW$3:$CW$49)</f>
        <v>0</v>
      </c>
      <c r="C21" s="102">
        <f>SUMIF('2002'!$A$3:$A$49,$P$1,'2002'!$CW$3:$CW$49)</f>
        <v>0</v>
      </c>
      <c r="D21" s="102">
        <f>SUMIF('2003'!$A$3:$A$49,$P$1,'2003'!$CW$3:$CW$49)</f>
        <v>0</v>
      </c>
      <c r="E21" s="102">
        <f>SUMIF('2004'!$A$3:$A$49,$P$1,'2004'!$CW$3:$CW$49)</f>
        <v>0</v>
      </c>
      <c r="F21" s="102">
        <f>SUMIF('2005'!$A$3:$A$49,$P$1,'2005'!$DA$3:$DA$49)</f>
        <v>0</v>
      </c>
      <c r="G21" s="103" t="e">
        <f t="shared" si="1"/>
        <v>#DIV/0!</v>
      </c>
      <c r="H21" s="14"/>
      <c r="J21" s="9"/>
      <c r="K21" s="11"/>
      <c r="L21" s="10"/>
      <c r="M21" t="s">
        <v>222</v>
      </c>
      <c r="N21" s="10">
        <v>21</v>
      </c>
      <c r="O21" s="9"/>
    </row>
    <row r="22" spans="1:15" ht="15" customHeight="1">
      <c r="A22" s="101" t="s">
        <v>148</v>
      </c>
      <c r="B22" s="102">
        <f>SUMIF('2001'!$A$3:$A$49,$P$1,'2001'!$CX$3:$CX$49)</f>
        <v>-827518.929999996</v>
      </c>
      <c r="C22" s="102">
        <f>SUMIF('2002'!$A$3:$A$49,$P$1,'2002'!$CX$3:$CX$49)</f>
        <v>-2171744.5100000016</v>
      </c>
      <c r="D22" s="102">
        <f>SUMIF('2003'!$A$3:$A$49,$P$1,'2003'!$CX$3:$CX$49)</f>
        <v>-808298.1599999983</v>
      </c>
      <c r="E22" s="102">
        <f>SUMIF('2004'!$A$3:$A$49,$P$1,'2004'!$CX$3:$CX$49)</f>
        <v>-1432782.3699999955</v>
      </c>
      <c r="F22" s="102">
        <f>SUMIF('2005'!$A$3:$A$49,$P$1,'2005'!$DB$3:$DB$49)</f>
        <v>-1042902.7400000002</v>
      </c>
      <c r="G22" s="103">
        <f t="shared" si="1"/>
        <v>0.26027659572694645</v>
      </c>
      <c r="H22" s="14"/>
      <c r="J22" s="9"/>
      <c r="K22" s="11"/>
      <c r="L22" s="79"/>
      <c r="M22" s="11" t="s">
        <v>224</v>
      </c>
      <c r="N22" s="10">
        <v>22</v>
      </c>
      <c r="O22" s="9"/>
    </row>
    <row r="23" spans="1:15" ht="15" customHeight="1">
      <c r="A23" s="101" t="s">
        <v>54</v>
      </c>
      <c r="B23" s="102">
        <f>SUMIF('2001'!$A$3:$A$49,$P$1,'2001'!$K$3:$K$49)</f>
        <v>1350.0000000000002</v>
      </c>
      <c r="C23" s="102">
        <f>SUMIF('2002'!$A$3:$A$49,$P$1,'2002'!$K$3:$K$49)</f>
        <v>12412.499999999998</v>
      </c>
      <c r="D23" s="102">
        <f>SUMIF('2003'!$A$3:$A$49,$P$1,'2003'!$K$3:$K$49)</f>
        <v>32043.25</v>
      </c>
      <c r="E23" s="102">
        <f>SUMIF('2004'!$A$3:$A$49,$P$1,'2004'!$K$3:$K$49)</f>
        <v>27632.9</v>
      </c>
      <c r="F23" s="102">
        <f>SUMIF('2005'!$A$3:$A$49,$P$1,'2005'!$K$3:$K$49)</f>
        <v>20479.8</v>
      </c>
      <c r="G23" s="103">
        <f t="shared" si="1"/>
        <v>14.17022222222222</v>
      </c>
      <c r="H23" s="14"/>
      <c r="J23" s="9"/>
      <c r="K23" s="9"/>
      <c r="L23" s="79"/>
      <c r="M23" s="11" t="s">
        <v>15</v>
      </c>
      <c r="N23" s="10">
        <v>23</v>
      </c>
      <c r="O23" s="9"/>
    </row>
    <row r="24" spans="1:15" ht="15" customHeight="1">
      <c r="A24" s="101" t="s">
        <v>55</v>
      </c>
      <c r="B24" s="102">
        <f>SUMIF('2001'!$A$3:$A$49,$P$1,'2001'!$L$3:$L$49)</f>
        <v>0</v>
      </c>
      <c r="C24" s="102">
        <f>SUMIF('2002'!$A$3:$A$49,$P$1,'2002'!$L$3:$L$49)</f>
        <v>50000</v>
      </c>
      <c r="D24" s="102">
        <f>SUMIF('2003'!$A$3:$A$49,$P$1,'2003'!$L$3:$L$49)</f>
        <v>50000</v>
      </c>
      <c r="E24" s="102">
        <f>SUMIF('2004'!$A$3:$A$49,$P$1,'2004'!$L$3:$L$49)</f>
        <v>0</v>
      </c>
      <c r="F24" s="102">
        <f>SUMIF('2005'!$A$3:$A$49,$P$1,'2005'!$L$3:$L$49)</f>
        <v>40000</v>
      </c>
      <c r="G24" s="103" t="e">
        <f t="shared" si="1"/>
        <v>#DIV/0!</v>
      </c>
      <c r="H24" s="14"/>
      <c r="J24" s="9"/>
      <c r="L24" s="2"/>
      <c r="M24" s="11" t="s">
        <v>16</v>
      </c>
      <c r="N24" s="10">
        <v>24</v>
      </c>
      <c r="O24" s="9"/>
    </row>
    <row r="25" spans="1:15" ht="15" customHeight="1">
      <c r="A25" s="101" t="s">
        <v>211</v>
      </c>
      <c r="B25" s="102">
        <f>SUMIF('2001'!$A$3:$A$49,$P$1,'2001'!$CY$3:$CY$49)</f>
        <v>-828868.929999996</v>
      </c>
      <c r="C25" s="102">
        <f>SUMIF('2002'!$A$3:$A$49,$P$1,'2002'!$CY$3:$CY$49)</f>
        <v>-2234157.0100000016</v>
      </c>
      <c r="D25" s="102">
        <f>SUMIF('2003'!$A$3:$A$49,$P$1,'2003'!$CY$3:$CY$49)</f>
        <v>-890341.4099999983</v>
      </c>
      <c r="E25" s="102">
        <f>SUMIF('2004'!$A$3:$A$49,$P$1,'2004'!$CY$3:$CY$49)</f>
        <v>-1460415.2699999954</v>
      </c>
      <c r="F25" s="102">
        <f>SUMIF('2005'!$A$3:$A$49,$P$1,'2005'!$DC$3:$DC$49)</f>
        <v>-1103382.5400000003</v>
      </c>
      <c r="G25" s="103">
        <f t="shared" si="1"/>
        <v>0.3311906141782943</v>
      </c>
      <c r="H25" s="14"/>
      <c r="J25" s="9"/>
      <c r="L25" s="2"/>
      <c r="M25" s="11" t="s">
        <v>221</v>
      </c>
      <c r="N25" s="10">
        <v>25</v>
      </c>
      <c r="O25" s="9"/>
    </row>
    <row r="26" spans="1:15" ht="15" customHeight="1">
      <c r="A26" s="101"/>
      <c r="B26" s="102"/>
      <c r="C26" s="102"/>
      <c r="D26" s="102"/>
      <c r="E26" s="102"/>
      <c r="F26" s="102"/>
      <c r="G26" s="103"/>
      <c r="H26" s="14"/>
      <c r="J26" s="9"/>
      <c r="L26" s="2"/>
      <c r="M26" s="11" t="s">
        <v>219</v>
      </c>
      <c r="N26" s="10">
        <v>26</v>
      </c>
      <c r="O26" s="9"/>
    </row>
    <row r="27" spans="1:15" ht="15" customHeight="1">
      <c r="A27" s="100" t="s">
        <v>204</v>
      </c>
      <c r="B27" s="104">
        <f>B5</f>
        <v>2001</v>
      </c>
      <c r="C27" s="104">
        <f>C5</f>
        <v>2002</v>
      </c>
      <c r="D27" s="104">
        <f>D5</f>
        <v>2003</v>
      </c>
      <c r="E27" s="104">
        <f>E5</f>
        <v>2004</v>
      </c>
      <c r="F27" s="104">
        <f>F5</f>
        <v>2005</v>
      </c>
      <c r="G27" s="104" t="s">
        <v>57</v>
      </c>
      <c r="H27" s="14"/>
      <c r="J27" s="9"/>
      <c r="L27" s="2"/>
      <c r="M27" s="11" t="s">
        <v>18</v>
      </c>
      <c r="N27" s="10">
        <v>27</v>
      </c>
      <c r="O27" s="9"/>
    </row>
    <row r="28" spans="1:15" ht="15" customHeight="1">
      <c r="A28" s="101" t="s">
        <v>168</v>
      </c>
      <c r="B28" s="102">
        <f>SUMIF('2001'!$A$3:$A$49,$P$1,'2001'!$BR$3:$BR$49)</f>
        <v>0</v>
      </c>
      <c r="C28" s="102">
        <f>SUMIF('2002'!$A$3:$A$49,$P$1,'2002'!$BR$3:$BR$49)</f>
        <v>0</v>
      </c>
      <c r="D28" s="102">
        <f>SUMIF('2003'!$A$3:$A$49,$P$1,'2003'!$BR$3:$BR$49)</f>
        <v>200000</v>
      </c>
      <c r="E28" s="102">
        <f>SUMIF('2004'!$A$3:$A$49,$P$1,'2004'!$BR$3:$BR$49)</f>
        <v>0</v>
      </c>
      <c r="F28" s="102">
        <f>SUMIF('2005'!$A$3:$A$49,$P$1,'2005'!$BR$3:$BR$49)</f>
        <v>0</v>
      </c>
      <c r="G28" s="102">
        <f>AVERAGE(B28:F28)</f>
        <v>40000</v>
      </c>
      <c r="H28" s="14"/>
      <c r="J28" s="9"/>
      <c r="L28" s="2"/>
      <c r="M28" s="11" t="s">
        <v>19</v>
      </c>
      <c r="N28" s="10">
        <v>28</v>
      </c>
      <c r="O28" s="9"/>
    </row>
    <row r="29" spans="1:15" ht="15" customHeight="1">
      <c r="A29" s="101" t="s">
        <v>169</v>
      </c>
      <c r="B29" s="102">
        <f>SUMIF('2001'!$A$3:$A$49,$P$1,'2001'!$BP$3:$BP$49)</f>
        <v>0</v>
      </c>
      <c r="C29" s="102">
        <f>SUMIF('2002'!$A$3:$A$49,$P$1,'2002'!$BP$3:$BP$49)</f>
        <v>0</v>
      </c>
      <c r="D29" s="102">
        <f>SUMIF('2003'!$A$3:$A$49,$P$1,'2003'!$BP$3:$BP$49)</f>
        <v>0</v>
      </c>
      <c r="E29" s="102">
        <f>SUMIF('2004'!$A$3:$A$49,$P$1,'2004'!$BP$3:$BP$49)</f>
        <v>0</v>
      </c>
      <c r="F29" s="102">
        <f>SUMIF('2005'!$A$3:$A$49,$P$1,'2005'!$BP$3:$BP$49)</f>
        <v>0</v>
      </c>
      <c r="G29" s="102">
        <f>AVERAGE(B29:F29)</f>
        <v>0</v>
      </c>
      <c r="H29" s="14"/>
      <c r="J29" s="9"/>
      <c r="L29" s="2"/>
      <c r="M29" t="s">
        <v>230</v>
      </c>
      <c r="N29" s="10">
        <v>29</v>
      </c>
      <c r="O29" s="9"/>
    </row>
    <row r="30" spans="1:14" ht="15" customHeight="1">
      <c r="A30" s="101" t="s">
        <v>170</v>
      </c>
      <c r="B30" s="102">
        <f>SUMIF('2001'!$A$3:$A$49,$P$1,'2001'!$CZ$3:$CZ$49)</f>
        <v>0</v>
      </c>
      <c r="C30" s="102">
        <f>SUMIF('2002'!$A$3:$A$49,$P$1,'2002'!$CZ$3:$CZ$49)</f>
        <v>0</v>
      </c>
      <c r="D30" s="102">
        <f>SUMIF('2003'!$A$3:$A$49,$P$1,'2003'!$CZ$3:$CZ$49)</f>
        <v>200000</v>
      </c>
      <c r="E30" s="102">
        <f>SUMIF('2004'!$A$3:$A$49,$P$1,'2004'!$CZ$3:$CZ$49)</f>
        <v>0</v>
      </c>
      <c r="F30" s="102">
        <f>SUMIF('2005'!$A$3:$A$49,$P$1,'2005'!$DD$3:$DD$49)</f>
        <v>0</v>
      </c>
      <c r="G30" s="102">
        <f>AVERAGE(B30:F30)</f>
        <v>40000</v>
      </c>
      <c r="H30" s="14"/>
      <c r="J30" s="9"/>
      <c r="L30" s="2"/>
      <c r="M30" s="11" t="s">
        <v>228</v>
      </c>
      <c r="N30" s="10">
        <v>30</v>
      </c>
    </row>
    <row r="31" spans="1:14" ht="15" customHeight="1">
      <c r="A31" s="101" t="s">
        <v>171</v>
      </c>
      <c r="B31" s="102">
        <f>SUMIF('2001'!$A$3:$A$49,$P$1,'2001'!$BQ$3:$BQ$49)</f>
        <v>0</v>
      </c>
      <c r="C31" s="102">
        <f>SUMIF('2002'!$A$3:$A$49,$P$1,'2002'!$BQ$3:$BQ$49)</f>
        <v>0</v>
      </c>
      <c r="D31" s="102">
        <f>SUMIF('2003'!$A$3:$A$49,$P$1,'2003'!$BQ$3:$BQ$49)</f>
        <v>0</v>
      </c>
      <c r="E31" s="102">
        <f>SUMIF('2004'!$A$3:$A$49,$P$1,'2004'!$BQ$3:$BQ$49)</f>
        <v>0</v>
      </c>
      <c r="F31" s="102">
        <f>SUMIF('2005'!$A$3:$A$49,$P$1,'2005'!$BQ$3:$BQ$49)</f>
        <v>0</v>
      </c>
      <c r="G31" s="102">
        <f>AVERAGE(B31:F31)</f>
        <v>0</v>
      </c>
      <c r="H31" s="14"/>
      <c r="J31" s="9"/>
      <c r="L31" s="2"/>
      <c r="M31" s="11" t="s">
        <v>31</v>
      </c>
      <c r="N31" s="10">
        <v>31</v>
      </c>
    </row>
    <row r="32" spans="1:14" ht="15" customHeight="1">
      <c r="A32" s="101"/>
      <c r="B32" s="102"/>
      <c r="C32" s="102"/>
      <c r="D32" s="102"/>
      <c r="E32" s="102"/>
      <c r="F32" s="102"/>
      <c r="G32" s="103"/>
      <c r="H32" s="14"/>
      <c r="J32" s="9"/>
      <c r="L32" s="2"/>
      <c r="M32" s="11" t="s">
        <v>227</v>
      </c>
      <c r="N32" s="10">
        <v>32</v>
      </c>
    </row>
    <row r="33" spans="1:14" ht="15" customHeight="1">
      <c r="A33" s="100" t="s">
        <v>205</v>
      </c>
      <c r="B33" s="104">
        <f>B5</f>
        <v>2001</v>
      </c>
      <c r="C33" s="104">
        <f>C5</f>
        <v>2002</v>
      </c>
      <c r="D33" s="104">
        <f>D5</f>
        <v>2003</v>
      </c>
      <c r="E33" s="104">
        <f>E5</f>
        <v>2004</v>
      </c>
      <c r="F33" s="104">
        <f>F5</f>
        <v>2005</v>
      </c>
      <c r="G33" s="104" t="s">
        <v>57</v>
      </c>
      <c r="H33" s="14"/>
      <c r="J33" s="9"/>
      <c r="L33" s="2"/>
      <c r="M33" s="11" t="s">
        <v>236</v>
      </c>
      <c r="N33" s="10">
        <v>33</v>
      </c>
    </row>
    <row r="34" spans="1:13" ht="15" customHeight="1">
      <c r="A34" s="101" t="s">
        <v>173</v>
      </c>
      <c r="B34" s="102">
        <f>-B30</f>
        <v>0</v>
      </c>
      <c r="C34" s="102">
        <f>-C30</f>
        <v>0</v>
      </c>
      <c r="D34" s="102">
        <f>-D30</f>
        <v>-200000</v>
      </c>
      <c r="E34" s="102">
        <f>-E30</f>
        <v>0</v>
      </c>
      <c r="F34" s="102">
        <f>-F30</f>
        <v>0</v>
      </c>
      <c r="G34" s="102">
        <f>AVERAGE(B34:F34)</f>
        <v>-40000</v>
      </c>
      <c r="H34" s="14"/>
      <c r="J34" s="9"/>
      <c r="L34" s="2"/>
      <c r="M34" s="9"/>
    </row>
    <row r="35" spans="1:13" ht="15" customHeight="1">
      <c r="A35" s="101" t="s">
        <v>174</v>
      </c>
      <c r="B35" s="102">
        <f>SUMIF('2001'!$A$3:$A$49,$P$1,'2001'!$DA$3:$DA$49)</f>
        <v>1350.0000000000002</v>
      </c>
      <c r="C35" s="102">
        <f>SUMIF('2002'!$A$3:$A$49,$P$1,'2002'!$DA$3:$DA$49)</f>
        <v>62412.5</v>
      </c>
      <c r="D35" s="102">
        <f>SUMIF('2003'!$A$3:$A$49,$P$1,'2003'!$DA$3:$DA$49)</f>
        <v>82043.25</v>
      </c>
      <c r="E35" s="102">
        <f>SUMIF('2004'!$A$3:$A$49,$P$1,'2004'!$DA$3:$DA$49)</f>
        <v>27632.9</v>
      </c>
      <c r="F35" s="102">
        <f>SUMIF('2005'!$A$3:$A$49,$P$1,'2005'!$DE$3:$DE$49)</f>
        <v>60479.8</v>
      </c>
      <c r="G35" s="102">
        <f>AVERAGE(B35:F35)</f>
        <v>46783.69</v>
      </c>
      <c r="H35" s="14"/>
      <c r="J35" s="9"/>
      <c r="L35" s="2"/>
      <c r="M35" s="9"/>
    </row>
    <row r="36" spans="1:13" ht="15" customHeight="1">
      <c r="A36" s="101" t="s">
        <v>175</v>
      </c>
      <c r="B36" s="102">
        <f>B25</f>
        <v>-828868.929999996</v>
      </c>
      <c r="C36" s="102">
        <f>C25</f>
        <v>-2234157.0100000016</v>
      </c>
      <c r="D36" s="102">
        <f>D25</f>
        <v>-890341.4099999983</v>
      </c>
      <c r="E36" s="102">
        <f>E25</f>
        <v>-1460415.2699999954</v>
      </c>
      <c r="F36" s="102">
        <f>F25</f>
        <v>-1103382.5400000003</v>
      </c>
      <c r="G36" s="102">
        <f>AVERAGE(B36:F36)</f>
        <v>-1303433.0319999983</v>
      </c>
      <c r="H36" s="14"/>
      <c r="J36" s="9"/>
      <c r="L36" s="2"/>
      <c r="M36" s="9"/>
    </row>
    <row r="37" spans="1:13" ht="15" customHeight="1">
      <c r="A37" s="101" t="s">
        <v>176</v>
      </c>
      <c r="B37" s="102">
        <f>SUMIF('2001'!$A$3:$A$49,$P$1,'2001'!$DB$3:$DB$49)</f>
        <v>-827518.929999996</v>
      </c>
      <c r="C37" s="102">
        <f>SUMIF('2002'!$A$3:$A$49,$P$1,'2002'!$DB$3:$DB$49)</f>
        <v>-2171744.5100000016</v>
      </c>
      <c r="D37" s="102">
        <f>SUMIF('2003'!$A$3:$A$49,$P$1,'2003'!$DB$3:$DB$49)</f>
        <v>-1008298.1599999983</v>
      </c>
      <c r="E37" s="102">
        <f>SUMIF('2004'!$A$3:$A$49,$P$1,'2004'!$DB$3:$DB$49)</f>
        <v>-1432782.3699999955</v>
      </c>
      <c r="F37" s="102">
        <f>SUMIF('2005'!$A$3:$A$49,$P$1,'2005'!$DF$3:$DF$49)</f>
        <v>-1042902.7400000002</v>
      </c>
      <c r="G37" s="102">
        <f>AVERAGE(B37:F37)</f>
        <v>-1296649.3419999983</v>
      </c>
      <c r="H37" s="14"/>
      <c r="J37" s="9"/>
      <c r="L37" s="2"/>
      <c r="M37" s="9"/>
    </row>
    <row r="38" spans="1:13" ht="15" customHeight="1">
      <c r="A38" s="172" t="s">
        <v>252</v>
      </c>
      <c r="B38" s="102">
        <f>SUMIF('2001'!$A$3:$A$49,$P$1,'2001'!$DC$3:$DC$49)</f>
        <v>-827518.929999996</v>
      </c>
      <c r="C38" s="102">
        <f>SUMIF('2002'!$A$3:$A$49,$P$1,'2002'!$DC$3:$DC$49)</f>
        <v>-2171744.5100000016</v>
      </c>
      <c r="D38" s="102">
        <f>SUMIF('2003'!$A$3:$A$49,$P$1,'2003'!$DC$3:$DC$49)</f>
        <v>-758298.1599999983</v>
      </c>
      <c r="E38" s="102">
        <f>SUMIF('2004'!$A$3:$A$49,$P$1,'2004'!$DC$3:$DC$49)</f>
        <v>-1182782.3699999955</v>
      </c>
      <c r="F38" s="102">
        <f>SUMIF('2005'!$A$3:$A$49,$P$1,'2005'!$DG$3:$DG$49)</f>
        <v>-1042902.7400000002</v>
      </c>
      <c r="G38" s="102">
        <f>AVERAGE(B38:F38)</f>
        <v>-1196649.3419999983</v>
      </c>
      <c r="H38" s="14"/>
      <c r="J38" s="9"/>
      <c r="L38" s="2"/>
      <c r="M38" s="9"/>
    </row>
    <row r="39" spans="1:13" ht="15" customHeight="1">
      <c r="A39" s="101"/>
      <c r="B39" s="102"/>
      <c r="C39" s="102"/>
      <c r="D39" s="102"/>
      <c r="E39" s="102"/>
      <c r="F39" s="102"/>
      <c r="G39" s="103"/>
      <c r="H39" s="14"/>
      <c r="J39" s="9"/>
      <c r="L39" s="2"/>
      <c r="M39" s="9"/>
    </row>
    <row r="40" spans="1:13" ht="15" customHeight="1">
      <c r="A40" s="100" t="s">
        <v>206</v>
      </c>
      <c r="B40" s="104">
        <f>B5</f>
        <v>2001</v>
      </c>
      <c r="C40" s="104">
        <f>C5</f>
        <v>2002</v>
      </c>
      <c r="D40" s="104">
        <f>D5</f>
        <v>2003</v>
      </c>
      <c r="E40" s="104">
        <f>E5</f>
        <v>2004</v>
      </c>
      <c r="F40" s="104">
        <f>F5</f>
        <v>2005</v>
      </c>
      <c r="G40" s="104" t="s">
        <v>57</v>
      </c>
      <c r="H40" s="14"/>
      <c r="J40" s="9"/>
      <c r="L40" s="2"/>
      <c r="M40" s="9"/>
    </row>
    <row r="41" spans="1:13" ht="15" customHeight="1">
      <c r="A41" s="101" t="s">
        <v>176</v>
      </c>
      <c r="B41" s="102">
        <f>B37</f>
        <v>-827518.929999996</v>
      </c>
      <c r="C41" s="102">
        <f>C37</f>
        <v>-2171744.5100000016</v>
      </c>
      <c r="D41" s="102">
        <f>D37</f>
        <v>-1008298.1599999983</v>
      </c>
      <c r="E41" s="102">
        <f>E37</f>
        <v>-1432782.3699999955</v>
      </c>
      <c r="F41" s="102">
        <f>F37</f>
        <v>-1042902.7400000002</v>
      </c>
      <c r="G41" s="102">
        <f>AVERAGE(B41:F41)</f>
        <v>-1296649.3419999983</v>
      </c>
      <c r="H41" s="14"/>
      <c r="J41" s="9"/>
      <c r="L41" s="2"/>
      <c r="M41" s="9"/>
    </row>
    <row r="42" spans="1:13" ht="15" customHeight="1">
      <c r="A42" s="101" t="s">
        <v>179</v>
      </c>
      <c r="B42" s="102">
        <f>SUMIF('2001'!$A$3:$A$49,$P$1,'2001'!$DD$3:$DD$49)</f>
        <v>-1350.0000000000002</v>
      </c>
      <c r="C42" s="102">
        <f>SUMIF('2002'!$A$3:$A$49,$P$1,'2002'!$DD$3:$DD$49)</f>
        <v>-62412.5</v>
      </c>
      <c r="D42" s="102">
        <f>SUMIF('2003'!$A$3:$A$49,$P$1,'2003'!$DD$3:$DD$49)</f>
        <v>-82043.25</v>
      </c>
      <c r="E42" s="102">
        <f>SUMIF('2004'!$A$3:$A$49,$P$1,'2004'!$DD$3:$DD$49)</f>
        <v>-27632.9</v>
      </c>
      <c r="F42" s="102">
        <f>SUMIF('2005'!$A$3:$A$49,$P$1,'2005'!$DH$3:$DH$49)</f>
        <v>-60479.8</v>
      </c>
      <c r="G42" s="102">
        <f>AVERAGE(B42:F42)</f>
        <v>-46783.69</v>
      </c>
      <c r="H42" s="14"/>
      <c r="J42" s="9"/>
      <c r="L42" s="2"/>
      <c r="M42" s="9"/>
    </row>
    <row r="43" spans="1:13" ht="15" customHeight="1">
      <c r="A43" s="101" t="s">
        <v>181</v>
      </c>
      <c r="B43" s="102">
        <f>B28</f>
        <v>0</v>
      </c>
      <c r="C43" s="102">
        <f>C28</f>
        <v>0</v>
      </c>
      <c r="D43" s="102">
        <f>D28</f>
        <v>200000</v>
      </c>
      <c r="E43" s="102">
        <f>E28</f>
        <v>0</v>
      </c>
      <c r="F43" s="102">
        <f>F28</f>
        <v>0</v>
      </c>
      <c r="G43" s="102">
        <f>AVERAGE(B43:F43)</f>
        <v>40000</v>
      </c>
      <c r="H43" s="14"/>
      <c r="J43" s="9"/>
      <c r="L43" s="2"/>
      <c r="M43" s="9"/>
    </row>
    <row r="44" spans="1:13" ht="15" customHeight="1">
      <c r="A44" s="101" t="s">
        <v>182</v>
      </c>
      <c r="B44" s="102">
        <f>SUMIF('2001'!$A$3:$A$49,$P$1,'2001'!$CY$3:$CY$49)</f>
        <v>-828868.929999996</v>
      </c>
      <c r="C44" s="102">
        <f>SUMIF('2002'!$A$3:$A$49,$P$1,'2002'!$CY$3:$CY$49)</f>
        <v>-2234157.0100000016</v>
      </c>
      <c r="D44" s="102">
        <f>SUMIF('2003'!$A$3:$A$49,$P$1,'2003'!$CY$3:$CY$49)</f>
        <v>-890341.4099999983</v>
      </c>
      <c r="E44" s="102">
        <f>SUMIF('2004'!$A$3:$A$49,$P$1,'2004'!$CY$3:$CY$49)</f>
        <v>-1460415.2699999954</v>
      </c>
      <c r="F44" s="102">
        <f>SUMIF('2005'!$A$3:$A$49,$P$1,'2005'!$DC$3:$DC$49)</f>
        <v>-1103382.5400000003</v>
      </c>
      <c r="G44" s="102">
        <f>AVERAGE(B44:F44)</f>
        <v>-1303433.0319999983</v>
      </c>
      <c r="H44" s="14"/>
      <c r="J44" s="9"/>
      <c r="L44" s="2"/>
      <c r="M44" s="9"/>
    </row>
    <row r="45" spans="1:8" ht="15" customHeight="1">
      <c r="A45" s="61"/>
      <c r="B45" s="61"/>
      <c r="C45" s="61"/>
      <c r="D45" s="61"/>
      <c r="E45" s="61"/>
      <c r="F45" s="61"/>
      <c r="G45" s="61"/>
      <c r="H45" s="14"/>
    </row>
    <row r="46" spans="1:8" ht="15" customHeight="1">
      <c r="A46" s="61"/>
      <c r="B46" s="61"/>
      <c r="C46" s="61"/>
      <c r="D46" s="61"/>
      <c r="E46" s="61"/>
      <c r="F46" s="61"/>
      <c r="G46" s="61"/>
      <c r="H46" s="14"/>
    </row>
    <row r="47" spans="1:8" ht="15" customHeight="1">
      <c r="A47" s="61"/>
      <c r="B47" s="61"/>
      <c r="C47" s="61"/>
      <c r="D47" s="61"/>
      <c r="E47" s="61"/>
      <c r="F47" s="61"/>
      <c r="G47" s="61"/>
      <c r="H47" s="14"/>
    </row>
    <row r="48" spans="1:8" ht="15" customHeight="1">
      <c r="A48" s="61"/>
      <c r="B48" s="61"/>
      <c r="C48" s="61"/>
      <c r="D48" s="61"/>
      <c r="E48" s="61"/>
      <c r="F48" s="61"/>
      <c r="G48" s="61"/>
      <c r="H48" s="14"/>
    </row>
    <row r="49" spans="1:8" ht="15" customHeight="1">
      <c r="A49" s="61"/>
      <c r="B49" s="61"/>
      <c r="C49" s="61"/>
      <c r="D49" s="61"/>
      <c r="E49" s="61"/>
      <c r="F49" s="61"/>
      <c r="G49" s="61"/>
      <c r="H49" s="14"/>
    </row>
    <row r="50" spans="1:8" ht="15" customHeight="1">
      <c r="A50" s="61"/>
      <c r="B50" s="61"/>
      <c r="C50" s="61"/>
      <c r="D50" s="61"/>
      <c r="E50" s="61"/>
      <c r="F50" s="61"/>
      <c r="G50" s="61"/>
      <c r="H50" s="14"/>
    </row>
    <row r="51" spans="1:8" ht="15" customHeight="1">
      <c r="A51" s="61"/>
      <c r="B51" s="61"/>
      <c r="C51" s="61"/>
      <c r="D51" s="61"/>
      <c r="E51" s="61"/>
      <c r="F51" s="61"/>
      <c r="G51" s="61"/>
      <c r="H51" s="14"/>
    </row>
    <row r="52" spans="1:8" ht="15" customHeight="1">
      <c r="A52" s="61"/>
      <c r="B52" s="61"/>
      <c r="C52" s="61"/>
      <c r="D52" s="61"/>
      <c r="E52" s="61"/>
      <c r="F52" s="61"/>
      <c r="G52" s="61"/>
      <c r="H52" s="14"/>
    </row>
    <row r="53" spans="1:8" ht="15" customHeight="1">
      <c r="A53" s="61"/>
      <c r="B53" s="61"/>
      <c r="C53" s="61"/>
      <c r="D53" s="61"/>
      <c r="E53" s="61"/>
      <c r="F53" s="61"/>
      <c r="G53" s="61"/>
      <c r="H53" s="14"/>
    </row>
    <row r="54" spans="1:8" ht="15" customHeight="1">
      <c r="A54" s="61"/>
      <c r="B54" s="61"/>
      <c r="C54" s="61"/>
      <c r="D54" s="61"/>
      <c r="E54" s="61"/>
      <c r="F54" s="61"/>
      <c r="G54" s="61"/>
      <c r="H54" s="17"/>
    </row>
    <row r="55" spans="1:7" ht="15" customHeight="1">
      <c r="A55" s="61"/>
      <c r="B55" s="61"/>
      <c r="C55" s="61"/>
      <c r="D55" s="61"/>
      <c r="E55" s="61"/>
      <c r="F55" s="61"/>
      <c r="G55" s="61"/>
    </row>
    <row r="56" spans="1:8" ht="15" customHeight="1">
      <c r="A56" s="88" t="s">
        <v>207</v>
      </c>
      <c r="B56" s="88">
        <f>B5</f>
        <v>2001</v>
      </c>
      <c r="C56" s="88">
        <f>C5</f>
        <v>2002</v>
      </c>
      <c r="D56" s="88">
        <f>D5</f>
        <v>2003</v>
      </c>
      <c r="E56" s="88">
        <f>E5</f>
        <v>2004</v>
      </c>
      <c r="F56" s="88">
        <f>F5</f>
        <v>2005</v>
      </c>
      <c r="G56" s="105" t="s">
        <v>57</v>
      </c>
      <c r="H56" s="16"/>
    </row>
    <row r="57" spans="1:8" ht="15" customHeight="1">
      <c r="A57" s="89" t="s">
        <v>148</v>
      </c>
      <c r="B57" s="90">
        <f>SUMIF('2001'!$A$3:$A$49,$P$1,'2001'!$CD$3:$CD$49)</f>
        <v>-827519.0299999999</v>
      </c>
      <c r="C57" s="90">
        <f>SUMIF('2002'!$A$3:$A$49,$P$1,'2002'!$CD$3:$CD$49)</f>
        <v>-2171744.2600000002</v>
      </c>
      <c r="D57" s="90">
        <f>SUMIF('2003'!$A$3:$A$49,$P$1,'2003'!$CD$3:$CD$49)</f>
        <v>-808298.16</v>
      </c>
      <c r="E57" s="90">
        <f>SUMIF('2004'!$A$3:$A$49,$P$1,'2004'!$CD$3:$CD$49)</f>
        <v>-1432782.2799999998</v>
      </c>
      <c r="F57" s="90">
        <f>SUMIF('2005'!$A$3:$A$49,$P$1,'2005'!$CD$3:$CD$49)</f>
        <v>-1042902.74</v>
      </c>
      <c r="G57" s="90">
        <f aca="true" t="shared" si="2" ref="G57:G79">AVERAGE(B57:F57)</f>
        <v>-1256649.2940000002</v>
      </c>
      <c r="H57" s="16"/>
    </row>
    <row r="58" spans="1:8" ht="15" customHeight="1">
      <c r="A58" s="89" t="s">
        <v>149</v>
      </c>
      <c r="B58" s="90">
        <f>SUMIF('2001'!$A$3:$A$49,$P$1,'2001'!$CE$3:$CE$49)</f>
        <v>-827519.0299999999</v>
      </c>
      <c r="C58" s="90">
        <f>SUMIF('2002'!$A$3:$A$49,$P$1,'2002'!$CE$3:$CE$49)</f>
        <v>-2171744.2600000002</v>
      </c>
      <c r="D58" s="90">
        <f>SUMIF('2003'!$A$3:$A$49,$P$1,'2003'!$CE$3:$CE$49)</f>
        <v>-558298.16</v>
      </c>
      <c r="E58" s="90">
        <f>SUMIF('2004'!$A$3:$A$49,$P$1,'2004'!$CE$3:$CE$49)</f>
        <v>-1182782.2799999998</v>
      </c>
      <c r="F58" s="90">
        <f>SUMIF('2005'!$A$3:$A$49,$P$1,'2005'!$CE$3:$CE$49)</f>
        <v>-1042902.74</v>
      </c>
      <c r="G58" s="90">
        <f t="shared" si="2"/>
        <v>-1156649.2940000002</v>
      </c>
      <c r="H58" s="16"/>
    </row>
    <row r="59" spans="1:8" ht="15" customHeight="1">
      <c r="A59" s="89" t="s">
        <v>60</v>
      </c>
      <c r="B59" s="90">
        <f>SUMIF('2001'!$A$3:$A$49,$P$1,'2001'!$CF$3:$CF$49)</f>
        <v>0</v>
      </c>
      <c r="C59" s="90">
        <f>SUMIF('2002'!$A$3:$A$49,$P$1,'2002'!$CF$3:$CF$49)</f>
        <v>0</v>
      </c>
      <c r="D59" s="90">
        <f>SUMIF('2003'!$A$3:$A$49,$P$1,'2003'!$CF$3:$CF$49)</f>
        <v>200000</v>
      </c>
      <c r="E59" s="90">
        <f>SUMIF('2004'!$A$3:$A$49,$P$1,'2004'!$CF$3:$CF$49)</f>
        <v>0</v>
      </c>
      <c r="F59" s="90">
        <f>SUMIF('2005'!$A$3:$A$49,$P$1,'2005'!$CF$3:$CF$49)</f>
        <v>0</v>
      </c>
      <c r="G59" s="90">
        <f t="shared" si="2"/>
        <v>40000</v>
      </c>
      <c r="H59" s="16"/>
    </row>
    <row r="60" spans="1:8" ht="15" customHeight="1">
      <c r="A60" s="89" t="s">
        <v>150</v>
      </c>
      <c r="B60" s="90">
        <f>SUMIF('2001'!$A$3:$A$49,$P$1,'2001'!$CG$3:$CG$49)</f>
        <v>12401851.820000002</v>
      </c>
      <c r="C60" s="90">
        <f>SUMIF('2002'!$A$3:$A$49,$P$1,'2002'!$CG$3:$CG$49)</f>
        <v>12155004.26</v>
      </c>
      <c r="D60" s="90">
        <f>SUMIF('2003'!$A$3:$A$49,$P$1,'2003'!$CG$3:$CG$49)</f>
        <v>14295045.200000003</v>
      </c>
      <c r="E60" s="90">
        <f>SUMIF('2004'!$A$3:$A$49,$P$1,'2004'!$CG$3:$CG$49)</f>
        <v>16262116.320000002</v>
      </c>
      <c r="F60" s="90">
        <f>SUMIF('2005'!$A$3:$A$49,$P$1,'2005'!$CG$3:$CG$49)</f>
        <v>13742365.209999999</v>
      </c>
      <c r="G60" s="90">
        <f t="shared" si="2"/>
        <v>13771276.562</v>
      </c>
      <c r="H60" s="16"/>
    </row>
    <row r="61" spans="1:8" ht="15" customHeight="1">
      <c r="A61" s="89" t="s">
        <v>151</v>
      </c>
      <c r="B61" s="90">
        <f>SUMIF('2001'!$A$3:$A$49,$P$1,'2001'!$CH$3:$CH$49)</f>
        <v>-256784.84999999983</v>
      </c>
      <c r="C61" s="90">
        <f>SUMIF('2002'!$A$3:$A$49,$P$1,'2002'!$CH$3:$CH$49)</f>
        <v>-242003.31999999998</v>
      </c>
      <c r="D61" s="90">
        <f>SUMIF('2003'!$A$3:$A$49,$P$1,'2003'!$CH$3:$CH$49)</f>
        <v>-161172.00000000006</v>
      </c>
      <c r="E61" s="90">
        <f>SUMIF('2004'!$A$3:$A$49,$P$1,'2004'!$CH$3:$CH$49)</f>
        <v>-110088.79999999994</v>
      </c>
      <c r="F61" s="90">
        <f>SUMIF('2005'!$A$3:$A$49,$P$1,'2005'!$CH$3:$CH$49)</f>
        <v>-90530.84999999998</v>
      </c>
      <c r="G61" s="90">
        <f t="shared" si="2"/>
        <v>-172115.96399999998</v>
      </c>
      <c r="H61" s="16"/>
    </row>
    <row r="62" spans="1:8" ht="15" customHeight="1">
      <c r="A62" s="89" t="s">
        <v>152</v>
      </c>
      <c r="B62" s="90">
        <f>SUMIF('2001'!$A$3:$A$49,$P$1,'2001'!$CI$3:$CI$49)</f>
        <v>-255434.84999999983</v>
      </c>
      <c r="C62" s="90">
        <f>SUMIF('2002'!$A$3:$A$49,$P$1,'2002'!$CI$3:$CI$49)</f>
        <v>-229590.81999999998</v>
      </c>
      <c r="D62" s="90">
        <f>SUMIF('2003'!$A$3:$A$49,$P$1,'2003'!$CI$3:$CI$49)</f>
        <v>-129128.75000000006</v>
      </c>
      <c r="E62" s="90">
        <f>SUMIF('2004'!$A$3:$A$49,$P$1,'2004'!$CI$3:$CI$49)</f>
        <v>-82455.89999999994</v>
      </c>
      <c r="F62" s="90">
        <f>SUMIF('2005'!$A$3:$A$49,$P$1,'2005'!$CI$3:$CI$49)</f>
        <v>-70051.04999999997</v>
      </c>
      <c r="G62" s="90">
        <f t="shared" si="2"/>
        <v>-153332.27399999995</v>
      </c>
      <c r="H62" s="16"/>
    </row>
    <row r="63" spans="1:8" ht="15" customHeight="1">
      <c r="A63" s="89" t="s">
        <v>277</v>
      </c>
      <c r="B63" s="90"/>
      <c r="C63" s="90"/>
      <c r="D63" s="90"/>
      <c r="E63" s="90"/>
      <c r="F63" s="90">
        <f>SUMIF('2005'!$A$3:$A$49,$P$1,'2005'!$CJ$3:$CJ$49)</f>
        <v>2034086.5899999999</v>
      </c>
      <c r="G63" s="90"/>
      <c r="H63" s="16"/>
    </row>
    <row r="64" spans="1:8" ht="15" customHeight="1">
      <c r="A64" s="89" t="s">
        <v>46</v>
      </c>
      <c r="B64" s="91" t="e">
        <f>SUMIF('2001'!$A$3:$A$49,$P$1,'2001'!$CJ$3:$CJ$49)</f>
        <v>#DIV/0!</v>
      </c>
      <c r="C64" s="91" t="e">
        <f>SUMIF('2002'!$A$3:$A$49,$P$1,'2002'!$CJ$3:$CJ$49)</f>
        <v>#DIV/0!</v>
      </c>
      <c r="D64" s="91">
        <f>SUMIF('2003'!$A$3:$A$49,$P$1,'2003'!$CJ$3:$CJ$49)</f>
        <v>-4.0414908</v>
      </c>
      <c r="E64" s="91" t="e">
        <f>SUMIF('2004'!$A$3:$A$49,$P$1,'2004'!$CJ$3:$CJ$49)</f>
        <v>#DIV/0!</v>
      </c>
      <c r="F64" s="91" t="e">
        <f>SUMIF('2005'!$A$3:$A$49,$P$1,'2005'!$CL$3:$CL$49)</f>
        <v>#DIV/0!</v>
      </c>
      <c r="G64" s="91" t="e">
        <f t="shared" si="2"/>
        <v>#DIV/0!</v>
      </c>
      <c r="H64" s="16"/>
    </row>
    <row r="65" spans="1:8" ht="15" customHeight="1">
      <c r="A65" s="89" t="s">
        <v>237</v>
      </c>
      <c r="B65" s="91" t="e">
        <f>SUMIF('2001'!$A$3:$A$49,$P$1,'2001'!$CK$3:$CK$49)</f>
        <v>#DIV/0!</v>
      </c>
      <c r="C65" s="91" t="e">
        <f>SUMIF('2002'!$A$3:$A$49,$P$1,'2002'!$CK$3:$CK$49)</f>
        <v>#DIV/0!</v>
      </c>
      <c r="D65" s="91">
        <f>SUMIF('2003'!$A$3:$A$49,$P$1,'2003'!$CK$3:$CK$49)</f>
        <v>-2.7914908</v>
      </c>
      <c r="E65" s="91" t="e">
        <f>SUMIF('2004'!$A$3:$A$49,$P$1,'2004'!$CK$3:$CK$49)</f>
        <v>#DIV/0!</v>
      </c>
      <c r="F65" s="91" t="e">
        <f>SUMIF('2005'!$A$3:$A$49,$P$1,'2005'!$CM$3:$CM$49)</f>
        <v>#DIV/0!</v>
      </c>
      <c r="G65" s="91" t="e">
        <f t="shared" si="2"/>
        <v>#DIV/0!</v>
      </c>
      <c r="H65" s="16"/>
    </row>
    <row r="66" spans="1:8" ht="15" customHeight="1">
      <c r="A66" s="89" t="s">
        <v>45</v>
      </c>
      <c r="B66" s="91">
        <f>SUMIF('2001'!$A$3:$A$49,$P$1,'2001'!$CL$3:$CL$49)</f>
        <v>-0.06672544084630094</v>
      </c>
      <c r="C66" s="91">
        <f>SUMIF('2002'!$A$3:$A$49,$P$1,'2002'!$CL$3:$CL$49)</f>
        <v>-0.1786707938183808</v>
      </c>
      <c r="D66" s="91">
        <f>SUMIF('2003'!$A$3:$A$49,$P$1,'2003'!$CL$3:$CL$49)</f>
        <v>-0.056543938734800216</v>
      </c>
      <c r="E66" s="91">
        <f>SUMIF('2004'!$A$3:$A$49,$P$1,'2004'!$CL$3:$CL$49)</f>
        <v>-0.088105524017061</v>
      </c>
      <c r="F66" s="91">
        <f>SUMIF('2005'!$A$3:$A$49,$P$1,'2005'!$CN$3:$CN$49)</f>
        <v>-0.07588961027182599</v>
      </c>
      <c r="G66" s="91">
        <f t="shared" si="2"/>
        <v>-0.0931870615376738</v>
      </c>
      <c r="H66" s="16"/>
    </row>
    <row r="67" spans="1:8" ht="15" customHeight="1">
      <c r="A67" s="89" t="s">
        <v>69</v>
      </c>
      <c r="B67" s="91">
        <f>SUMIF('2001'!$A$3:$A$49,$P$1,'2001'!$CM$3:$CM$49)</f>
        <v>-0.06672544084630094</v>
      </c>
      <c r="C67" s="91">
        <f>SUMIF('2002'!$A$3:$A$49,$P$1,'2002'!$CM$3:$CM$49)</f>
        <v>-0.1786707938183808</v>
      </c>
      <c r="D67" s="91">
        <f>SUMIF('2003'!$A$3:$A$49,$P$1,'2003'!$CM$3:$CM$49)</f>
        <v>-0.03905536164376731</v>
      </c>
      <c r="E67" s="91">
        <f>SUMIF('2004'!$A$3:$A$49,$P$1,'2004'!$CM$3:$CM$49)</f>
        <v>-0.07273237115795023</v>
      </c>
      <c r="F67" s="91">
        <f>SUMIF('2005'!$A$3:$A$49,$P$1,'2005'!$CO$3:$CO$49)</f>
        <v>-0.07588961027182599</v>
      </c>
      <c r="G67" s="91">
        <f t="shared" si="2"/>
        <v>-0.08661471554764506</v>
      </c>
      <c r="H67" s="16"/>
    </row>
    <row r="68" spans="1:8" ht="15" customHeight="1">
      <c r="A68" s="89" t="s">
        <v>43</v>
      </c>
      <c r="B68" s="91">
        <f>SUMIF('2001'!$A$3:$A$49,$P$1,'2001'!$CN$3:$CN$49)</f>
        <v>-0.020705363499497108</v>
      </c>
      <c r="C68" s="91">
        <f>SUMIF('2002'!$A$3:$A$49,$P$1,'2002'!$CN$3:$CN$49)</f>
        <v>-0.019909768423232128</v>
      </c>
      <c r="D68" s="91">
        <f>SUMIF('2003'!$A$3:$A$49,$P$1,'2003'!$CN$3:$CN$49)</f>
        <v>-0.011274675787663828</v>
      </c>
      <c r="E68" s="91">
        <f>SUMIF('2004'!$A$3:$A$49,$P$1,'2004'!$CN$3:$CN$49)</f>
        <v>-0.006769647801904293</v>
      </c>
      <c r="F68" s="91">
        <f>SUMIF('2005'!$A$3:$A$49,$P$1,'2005'!$CP$3:$CP$49)</f>
        <v>-0.00658771969865295</v>
      </c>
      <c r="G68" s="91">
        <f t="shared" si="2"/>
        <v>-0.01304943504219006</v>
      </c>
      <c r="H68" s="16"/>
    </row>
    <row r="69" spans="1:8" ht="15" customHeight="1">
      <c r="A69" s="89" t="s">
        <v>44</v>
      </c>
      <c r="B69" s="91">
        <f>SUMIF('2001'!$A$3:$A$49,$P$1,'2001'!$CO$3:$CO$49)</f>
        <v>-0.02059650878815288</v>
      </c>
      <c r="C69" s="91">
        <f>SUMIF('2002'!$A$3:$A$49,$P$1,'2002'!$CO$3:$CO$49)</f>
        <v>-0.01888858408347444</v>
      </c>
      <c r="D69" s="91">
        <f>SUMIF('2003'!$A$3:$A$49,$P$1,'2003'!$CO$3:$CO$49)</f>
        <v>-0.009033112396174867</v>
      </c>
      <c r="E69" s="91">
        <f>SUMIF('2004'!$A$3:$A$49,$P$1,'2004'!$CO$3:$CO$49)</f>
        <v>-0.005070428619342204</v>
      </c>
      <c r="F69" s="91">
        <f>SUMIF('2005'!$A$3:$A$49,$P$1,'2005'!$CQ$3:$CQ$49)</f>
        <v>-0.0050974522165242305</v>
      </c>
      <c r="G69" s="91">
        <f t="shared" si="2"/>
        <v>-0.011737217220733724</v>
      </c>
      <c r="H69" s="16"/>
    </row>
    <row r="70" spans="1:8" ht="15" customHeight="1">
      <c r="A70" s="89" t="s">
        <v>275</v>
      </c>
      <c r="B70" s="91"/>
      <c r="C70" s="91"/>
      <c r="D70" s="91"/>
      <c r="E70" s="91"/>
      <c r="F70" s="91">
        <f>SUMIF('2005'!$A$3:$A$49,$P$1,'2005'!$CR$3:$CR$49)</f>
        <v>0.14801575703430167</v>
      </c>
      <c r="G70" s="91"/>
      <c r="H70" s="16"/>
    </row>
    <row r="71" spans="1:8" ht="15" customHeight="1">
      <c r="A71" s="89" t="s">
        <v>276</v>
      </c>
      <c r="B71" s="91"/>
      <c r="C71" s="91"/>
      <c r="D71" s="91"/>
      <c r="E71" s="91"/>
      <c r="F71" s="91">
        <f>SUMIF('2005'!$A$3:$A$49,$P$1,'2005'!$CS$3:$CS$49)</f>
        <v>0</v>
      </c>
      <c r="G71" s="91"/>
      <c r="H71" s="16"/>
    </row>
    <row r="72" spans="1:8" ht="15" customHeight="1">
      <c r="A72" s="89" t="s">
        <v>184</v>
      </c>
      <c r="B72" s="91">
        <f>SUMIF('2001'!$A$3:$A$49,$P$1,'2001'!$CP$3:$CP$49)</f>
        <v>0.012643172218736246</v>
      </c>
      <c r="C72" s="91">
        <f>SUMIF('2002'!$A$3:$A$49,$P$1,'2002'!$CP$3:$CP$49)</f>
        <v>0.4473517279442069</v>
      </c>
      <c r="D72" s="91">
        <f>SUMIF('2003'!$A$3:$A$49,$P$1,'2003'!$CP$3:$CP$49)</f>
        <v>0.2928954427181648</v>
      </c>
      <c r="E72" s="91">
        <f>SUMIF('2004'!$A$3:$A$49,$P$1,'2004'!$CP$3:$CP$49)</f>
        <v>0.05986519504299746</v>
      </c>
      <c r="F72" s="91">
        <f>SUMIF('2005'!$A$3:$A$49,$P$1,'2005'!$CT$3:$CT$49)</f>
        <v>0.19661929430735198</v>
      </c>
      <c r="G72" s="91">
        <f t="shared" si="2"/>
        <v>0.2018749664462915</v>
      </c>
      <c r="H72" s="16"/>
    </row>
    <row r="73" spans="1:8" ht="15" customHeight="1">
      <c r="A73" s="89" t="s">
        <v>185</v>
      </c>
      <c r="B73" s="91">
        <f>SUMIF('2001'!$A$3:$A$49,$P$1,'2001'!$CQ$3:$CQ$49)</f>
        <v>0.012643172218736246</v>
      </c>
      <c r="C73" s="91">
        <f>SUMIF('2002'!$A$3:$A$49,$P$1,'2002'!$CQ$3:$CQ$49)</f>
        <v>0.08896860922263117</v>
      </c>
      <c r="D73" s="91">
        <f>SUMIF('2003'!$A$3:$A$49,$P$1,'2003'!$CQ$3:$CQ$49)</f>
        <v>0.11439480877316337</v>
      </c>
      <c r="E73" s="91">
        <f>SUMIF('2004'!$A$3:$A$49,$P$1,'2004'!$CQ$3:$CQ$49)</f>
        <v>0.05986519504299746</v>
      </c>
      <c r="F73" s="91">
        <f>SUMIF('2005'!$A$3:$A$49,$P$1,'2005'!$CU$3:$CU$49)</f>
        <v>0.0665796484703274</v>
      </c>
      <c r="G73" s="91">
        <f t="shared" si="2"/>
        <v>0.06849028674557113</v>
      </c>
      <c r="H73" s="16"/>
    </row>
    <row r="74" spans="1:8" ht="15" customHeight="1">
      <c r="A74" s="89" t="s">
        <v>278</v>
      </c>
      <c r="B74" s="91"/>
      <c r="C74" s="91"/>
      <c r="D74" s="91"/>
      <c r="E74" s="91"/>
      <c r="F74" s="90">
        <f>SUMIF('2005'!$A$3:$A$49,$P$1,'2005'!$CK$3:$CK$49)</f>
        <v>14785267.95</v>
      </c>
      <c r="G74" s="91"/>
      <c r="H74" s="16"/>
    </row>
    <row r="75" spans="1:8" ht="15" customHeight="1">
      <c r="A75" s="89" t="s">
        <v>186</v>
      </c>
      <c r="B75" s="90">
        <f>SUMIF('2001'!$A$3:$A$49,$P$1,'2001'!$G$3:$G$49)</f>
        <v>946790.5499999998</v>
      </c>
      <c r="C75" s="90">
        <f>SUMIF('2002'!$A$3:$A$49,$P$1,'2002'!$G$3:$G$49)</f>
        <v>1033882.6000000003</v>
      </c>
      <c r="D75" s="90">
        <f>SUMIF('2003'!$A$3:$A$49,$P$1,'2003'!$G$3:$G$49)</f>
        <v>1121896.8499999999</v>
      </c>
      <c r="E75" s="90">
        <f>SUMIF('2004'!$A$3:$A$49,$P$1,'2004'!$G$3:$G$49)</f>
        <v>1122347.15</v>
      </c>
      <c r="F75" s="90">
        <f>SUMIF('2005'!$A$3:$A$49,$P$1,'2005'!$G$3:$G$49)</f>
        <v>1028002.2499999999</v>
      </c>
      <c r="G75" s="90">
        <f>AVERAGE(B75:F75)</f>
        <v>1050583.8800000001</v>
      </c>
      <c r="H75" s="16"/>
    </row>
    <row r="76" spans="1:8" ht="15" customHeight="1">
      <c r="A76" s="89" t="s">
        <v>24</v>
      </c>
      <c r="B76" s="90">
        <f>SUMIF('2001'!$A$3:$A$49,$P$1,'2001'!$I$3:$I$49)</f>
        <v>64856.15</v>
      </c>
      <c r="C76" s="90">
        <f>SUMIF('2002'!$A$3:$A$49,$P$1,'2002'!$I$3:$I$49)</f>
        <v>47229.9</v>
      </c>
      <c r="D76" s="90">
        <f>SUMIF('2003'!$A$3:$A$49,$P$1,'2003'!$I$3:$I$49)</f>
        <v>60081.45</v>
      </c>
      <c r="E76" s="90">
        <f>SUMIF('2004'!$A$3:$A$49,$P$1,'2004'!$I$3:$I$49)</f>
        <v>54146.600000000006</v>
      </c>
      <c r="F76" s="90">
        <f>SUMIF('2005'!$A$3:$A$49,$P$1,'2005'!$I$3:$I$49)</f>
        <v>55819.49999999999</v>
      </c>
      <c r="G76" s="90">
        <f t="shared" si="2"/>
        <v>56426.719999999994</v>
      </c>
      <c r="H76" s="16"/>
    </row>
    <row r="77" spans="1:8" ht="15" customHeight="1">
      <c r="A77" s="89" t="s">
        <v>25</v>
      </c>
      <c r="B77" s="90">
        <f>SUMIF('2001'!$A$3:$A$49,$P$1,'2001'!$AG$3:$AG$49)</f>
        <v>386389.69999999984</v>
      </c>
      <c r="C77" s="90">
        <f>SUMIF('2002'!$A$3:$A$49,$P$1,'2002'!$AG$3:$AG$49)</f>
        <v>314834.62</v>
      </c>
      <c r="D77" s="90">
        <f>SUMIF('2003'!$A$3:$A$49,$P$1,'2003'!$AG$3:$AG$49)</f>
        <v>245221.95000000004</v>
      </c>
      <c r="E77" s="90">
        <f>SUMIF('2004'!$A$3:$A$49,$P$1,'2004'!$AG$3:$AG$49)</f>
        <v>189205.04999999996</v>
      </c>
      <c r="F77" s="90">
        <f>SUMIF('2005'!$A$3:$A$49,$P$1,'2005'!$AG$3:$AG$49)</f>
        <v>157319.84999999998</v>
      </c>
      <c r="G77" s="90">
        <f t="shared" si="2"/>
        <v>258594.234</v>
      </c>
      <c r="H77" s="16"/>
    </row>
    <row r="78" spans="1:8" ht="15" customHeight="1">
      <c r="A78" s="89" t="s">
        <v>187</v>
      </c>
      <c r="B78" s="90">
        <f>SUMIF('2001'!$A$3:$A$49,$P$1,'2001'!$J$3:$J$49)</f>
        <v>26462</v>
      </c>
      <c r="C78" s="90">
        <f>SUMIF('2002'!$A$3:$A$49,$P$1,'2002'!$J$3:$J$49)</f>
        <v>227056.05000000002</v>
      </c>
      <c r="D78" s="90">
        <f>SUMIF('2003'!$A$3:$A$49,$P$1,'2003'!$J$3:$J$49)</f>
        <v>41138.7</v>
      </c>
      <c r="E78" s="90">
        <f>SUMIF('2004'!$A$3:$A$49,$P$1,'2004'!$J$3:$J$49)</f>
        <v>14411.5</v>
      </c>
      <c r="F78" s="90">
        <f>SUMIF('2005'!$A$3:$A$49,$P$1,'2005'!$J$3:$J$49)</f>
        <v>8308.800000000001</v>
      </c>
      <c r="G78" s="90">
        <f t="shared" si="2"/>
        <v>63475.409999999996</v>
      </c>
      <c r="H78" s="16"/>
    </row>
    <row r="79" spans="1:8" ht="15" customHeight="1">
      <c r="A79" s="89" t="s">
        <v>188</v>
      </c>
      <c r="B79" s="90">
        <f>SUMIF('2001'!$A$3:$A$49,$P$1,'2001'!$AH$3:$AH$49)</f>
        <v>18595.65</v>
      </c>
      <c r="C79" s="90">
        <f>SUMIF('2002'!$A$3:$A$49,$P$1,'2002'!$AH$3:$AH$49)</f>
        <v>17390</v>
      </c>
      <c r="D79" s="90">
        <f>SUMIF('2003'!$A$3:$A$49,$P$1,'2003'!$AH$3:$AH$49)</f>
        <v>12195.45</v>
      </c>
      <c r="E79" s="90">
        <f>SUMIF('2004'!$A$3:$A$49,$P$1,'2004'!$AH$3:$AH$49)</f>
        <v>5749.55</v>
      </c>
      <c r="F79" s="90">
        <f>SUMIF('2005'!$A$3:$A$49,$P$1,'2005'!$AH$3:$AH$49)</f>
        <v>8571.8</v>
      </c>
      <c r="G79" s="90">
        <f t="shared" si="2"/>
        <v>12500.490000000002</v>
      </c>
      <c r="H79" s="16"/>
    </row>
    <row r="80" spans="1:8" ht="15" customHeight="1">
      <c r="A80" s="77"/>
      <c r="B80" s="78"/>
      <c r="C80" s="78"/>
      <c r="D80" s="78"/>
      <c r="E80" s="78"/>
      <c r="F80" s="78"/>
      <c r="G80" s="78"/>
      <c r="H80" s="16"/>
    </row>
    <row r="81" spans="1:8" ht="15" customHeight="1">
      <c r="A81" s="109" t="s">
        <v>208</v>
      </c>
      <c r="B81" s="110">
        <f aca="true" t="shared" si="3" ref="B81:G81">B5</f>
        <v>2001</v>
      </c>
      <c r="C81" s="110">
        <f t="shared" si="3"/>
        <v>2002</v>
      </c>
      <c r="D81" s="110">
        <f t="shared" si="3"/>
        <v>2003</v>
      </c>
      <c r="E81" s="110">
        <f t="shared" si="3"/>
        <v>2004</v>
      </c>
      <c r="F81" s="110">
        <f t="shared" si="3"/>
        <v>2005</v>
      </c>
      <c r="G81" s="110" t="str">
        <f t="shared" si="3"/>
        <v>Veränderung</v>
      </c>
      <c r="H81" s="16"/>
    </row>
    <row r="82" spans="1:8" ht="15" customHeight="1">
      <c r="A82" s="111" t="s">
        <v>58</v>
      </c>
      <c r="B82" s="112">
        <f>SUMIF('2001'!$A$3:$A$49,$P$1,'2001'!$F$3:$F$49)</f>
        <v>80</v>
      </c>
      <c r="C82" s="112">
        <f>SUMIF('2002'!$A$3:$A$49,$P$1,'2002'!$F$3:$F$49)</f>
        <v>85</v>
      </c>
      <c r="D82" s="112">
        <f>SUMIF('2003'!$A$3:$A$49,$P$1,'2003'!$F$3:$F$49)</f>
        <v>91</v>
      </c>
      <c r="E82" s="112">
        <f>SUMIF('2004'!$A$3:$A$49,$P$1,'2004'!$F$3:$F$49)</f>
        <v>90</v>
      </c>
      <c r="F82" s="112">
        <f>SUMIF('2005'!$A$3:$A$49,$P$1,'2005'!$F$3:$F$49)</f>
        <v>100</v>
      </c>
      <c r="G82" s="113">
        <f>(F82-B82)/B82</f>
        <v>0.25</v>
      </c>
      <c r="H82" s="16"/>
    </row>
    <row r="83" spans="1:8" ht="15" customHeight="1">
      <c r="A83" s="111" t="s">
        <v>189</v>
      </c>
      <c r="B83" s="112">
        <f>SUMIF('2001'!$A$3:$A$49,$P$1,'2001'!$DF$3:$DF$49)</f>
        <v>6034202.25</v>
      </c>
      <c r="C83" s="112">
        <f>SUMIF('2002'!$A$3:$A$49,$P$1,'2002'!$DF$3:$DF$49)</f>
        <v>6065918.829999999</v>
      </c>
      <c r="D83" s="112">
        <f>SUMIF('2003'!$A$3:$A$49,$P$1,'2003'!$DF$3:$DF$49)</f>
        <v>6285369.250000001</v>
      </c>
      <c r="E83" s="112">
        <f>SUMIF('2004'!$A$3:$A$49,$P$1,'2004'!$DF$3:$DF$49)</f>
        <v>7175792.1</v>
      </c>
      <c r="F83" s="112">
        <f>SUMIF('2005'!$A$3:$A$49,$P$1,'2005'!$DJ$3:$DJ$49)</f>
        <v>6583779.7</v>
      </c>
      <c r="G83" s="113">
        <f>(F83-B83)/B83</f>
        <v>0.09107706822388995</v>
      </c>
      <c r="H83" s="16"/>
    </row>
    <row r="84" spans="1:8" ht="15" customHeight="1">
      <c r="A84" s="111" t="s">
        <v>51</v>
      </c>
      <c r="B84" s="112">
        <f>SUMIF('2001'!$A$3:$A$49,$P$1,'2001'!$C$3:$C$49)</f>
        <v>126728843</v>
      </c>
      <c r="C84" s="112">
        <f>SUMIF('2002'!$A$3:$A$49,$P$1,'2002'!$C$3:$C$49)</f>
        <v>120978291</v>
      </c>
      <c r="D84" s="112">
        <f>SUMIF('2003'!$A$3:$A$49,$P$1,'2003'!$C$3:$C$49)</f>
        <v>136563571</v>
      </c>
      <c r="E84" s="112">
        <f>SUMIF('2004'!$A$3:$A$49,$P$1,'2004'!$C$3:$C$49)</f>
        <v>137257180</v>
      </c>
      <c r="F84" s="112">
        <f>SUMIF('2005'!$A$3:$A$49,$P$1,'2005'!$C$3:$C$49)</f>
        <v>143851498</v>
      </c>
      <c r="G84" s="113">
        <f>(F84-B84)/B84</f>
        <v>0.1351125331429089</v>
      </c>
      <c r="H84" s="16"/>
    </row>
    <row r="85" spans="1:8" ht="15" customHeight="1">
      <c r="A85" s="111" t="s">
        <v>190</v>
      </c>
      <c r="B85" s="112">
        <f>SUMIF('2001'!$A$3:$A$49,$P$1,'2001'!$D$3:$D$49)</f>
        <v>2722.5</v>
      </c>
      <c r="C85" s="112">
        <f>SUMIF('2002'!$A$3:$A$49,$P$1,'2002'!$D$3:$D$49)</f>
        <v>2674.32</v>
      </c>
      <c r="D85" s="112">
        <f>SUMIF('2003'!$A$3:$A$49,$P$1,'2003'!$D$3:$D$49)</f>
        <v>2933.89</v>
      </c>
      <c r="E85" s="112">
        <f>SUMIF('2004'!$A$3:$A$49,$P$1,'2004'!$D$3:$D$49)</f>
        <v>3230.03</v>
      </c>
      <c r="F85" s="112">
        <f>SUMIF('2005'!$A$3:$A$49,$P$1,'2005'!$D$3:$D$49)</f>
        <v>3283.83</v>
      </c>
      <c r="G85" s="113">
        <f>(F85-B85)/B85</f>
        <v>0.20618181818181816</v>
      </c>
      <c r="H85" s="16"/>
    </row>
    <row r="86" spans="1:8" ht="15" customHeight="1">
      <c r="A86" s="111" t="s">
        <v>191</v>
      </c>
      <c r="B86" s="114">
        <f>SUMIF('2001'!$A$3:$A$49,$P$1,'2001'!$E$3:$E$49)</f>
        <v>82.08</v>
      </c>
      <c r="C86" s="114">
        <f>SUMIF('2002'!$A$3:$A$49,$P$1,'2002'!$E$3:$E$49)</f>
        <v>83.93</v>
      </c>
      <c r="D86" s="114">
        <f>SUMIF('2003'!$A$3:$A$49,$P$1,'2003'!$E$3:$E$49)</f>
        <v>82.09</v>
      </c>
      <c r="E86" s="114">
        <f>SUMIF('2004'!$A$3:$A$49,$P$1,'2004'!$E$3:$E$49)</f>
        <v>90.09</v>
      </c>
      <c r="F86" s="114">
        <f>SUMIF('2005'!$A$3:$A$49,$P$1,'2005'!$E$3:$E$49)</f>
        <v>87.37</v>
      </c>
      <c r="G86" s="113">
        <f>(F86-B86)/B86</f>
        <v>0.0644493177387915</v>
      </c>
      <c r="H86" s="16"/>
    </row>
    <row r="87" spans="1:8" ht="15" customHeight="1">
      <c r="A87" s="77"/>
      <c r="B87" s="78"/>
      <c r="C87" s="78"/>
      <c r="D87" s="78"/>
      <c r="E87" s="78"/>
      <c r="F87" s="78"/>
      <c r="G87" s="78"/>
      <c r="H87" s="16"/>
    </row>
    <row r="88" spans="1:8" ht="15" customHeight="1">
      <c r="A88" s="83" t="s">
        <v>210</v>
      </c>
      <c r="B88" s="87">
        <f aca="true" t="shared" si="4" ref="B88:G88">B5</f>
        <v>2001</v>
      </c>
      <c r="C88" s="87">
        <f t="shared" si="4"/>
        <v>2002</v>
      </c>
      <c r="D88" s="87">
        <f t="shared" si="4"/>
        <v>2003</v>
      </c>
      <c r="E88" s="87">
        <f t="shared" si="4"/>
        <v>2004</v>
      </c>
      <c r="F88" s="87">
        <f t="shared" si="4"/>
        <v>2005</v>
      </c>
      <c r="G88" s="87" t="str">
        <f t="shared" si="4"/>
        <v>Veränderung</v>
      </c>
      <c r="H88" s="16"/>
    </row>
    <row r="89" spans="1:8" ht="15" customHeight="1">
      <c r="A89" s="84" t="s">
        <v>192</v>
      </c>
      <c r="B89" s="85">
        <f>SUMIF('2001'!$A$3:$A$49,$P$1,'2001'!$DG$3:$DG$49)</f>
        <v>301.19941790771327</v>
      </c>
      <c r="C89" s="85">
        <f>SUMIF('2002'!$A$3:$A$49,$P$1,'2002'!$DG$3:$DG$49)</f>
        <v>243.822789074435</v>
      </c>
      <c r="D89" s="85">
        <f>SUMIF('2003'!$A$3:$A$49,$P$1,'2003'!$DG$3:$DG$49)</f>
        <v>242.8566207799005</v>
      </c>
      <c r="E89" s="85">
        <f>SUMIF('2004'!$A$3:$A$49,$P$1,'2004'!$DG$3:$DG$49)</f>
        <v>200.82138991197132</v>
      </c>
      <c r="F89" s="85">
        <f>SUMIF('2005'!$A$3:$A$49,$P$1,'2005'!$DK$3:$DK$49)</f>
        <v>158.76238941290197</v>
      </c>
      <c r="G89" s="86">
        <f>(F89-B89)/B89</f>
        <v>-0.4728994148934698</v>
      </c>
      <c r="H89" s="16"/>
    </row>
    <row r="90" spans="1:8" ht="15" customHeight="1">
      <c r="A90" s="84" t="s">
        <v>193</v>
      </c>
      <c r="B90" s="85">
        <f>SUMIF('2001'!$A$3:$A$49,$P$1,'2001'!$DH$3:$DH$49)</f>
        <v>-6.720884916376575</v>
      </c>
      <c r="C90" s="85">
        <f>SUMIF('2002'!$A$3:$A$49,$P$1,'2002'!$DH$3:$DH$49)</f>
        <v>-6.374211663066954</v>
      </c>
      <c r="D90" s="85">
        <f>SUMIF('2003'!$A$3:$A$49,$P$1,'2003'!$DH$3:$DH$49)</f>
        <v>-4.21805809997383</v>
      </c>
      <c r="E90" s="85">
        <f>SUMIF('2004'!$A$3:$A$49,$P$1,'2004'!$DH$3:$DH$49)</f>
        <v>-2.875657602591227</v>
      </c>
      <c r="F90" s="85">
        <f>SUMIF('2005'!$A$3:$A$49,$P$1,'2005'!$DL$3:$DL$49)</f>
        <v>-2.3653972774540795</v>
      </c>
      <c r="G90" s="86">
        <f>(F90-B90)/B90</f>
        <v>-0.6480527033441105</v>
      </c>
      <c r="H90" s="16"/>
    </row>
    <row r="91" spans="1:8" ht="15" customHeight="1">
      <c r="A91" s="84" t="s">
        <v>194</v>
      </c>
      <c r="B91" s="85">
        <f>SUMIF('2001'!$A$3:$A$49,$P$1,'2001'!$DI$3:$DI$49)</f>
        <v>157.93446881461512</v>
      </c>
      <c r="C91" s="85">
        <f>SUMIF('2002'!$A$3:$A$49,$P$1,'2002'!$DI$3:$DI$49)</f>
        <v>159.77239714481377</v>
      </c>
      <c r="D91" s="85">
        <f>SUMIF('2003'!$A$3:$A$49,$P$1,'2003'!$DI$3:$DI$49)</f>
        <v>164.49540041873857</v>
      </c>
      <c r="E91" s="85">
        <f>SUMIF('2004'!$A$3:$A$49,$P$1,'2004'!$DI$3:$DI$49)</f>
        <v>187.4406943029543</v>
      </c>
      <c r="F91" s="85">
        <f>SUMIF('2005'!$A$3:$A$49,$P$1,'2005'!$DM$3:$DM$49)</f>
        <v>172.0215216993703</v>
      </c>
      <c r="G91" s="86">
        <f>(F91-B91)/B91</f>
        <v>0.0891955568058465</v>
      </c>
      <c r="H91" s="16"/>
    </row>
    <row r="92" spans="1:8" ht="15" customHeight="1">
      <c r="A92" s="84" t="s">
        <v>195</v>
      </c>
      <c r="B92" s="85">
        <f>SUMIF('2001'!$A$3:$A$49,$P$1,'2001'!$DJ$3:$DJ$49)</f>
        <v>0</v>
      </c>
      <c r="C92" s="85">
        <f>SUMIF('2002'!$A$3:$A$49,$P$1,'2002'!$DJ$3:$DJ$49)</f>
        <v>0</v>
      </c>
      <c r="D92" s="85">
        <f>SUMIF('2003'!$A$3:$A$49,$P$1,'2003'!$DJ$3:$DJ$49)</f>
        <v>5.234231876472128</v>
      </c>
      <c r="E92" s="85">
        <f>SUMIF('2004'!$A$3:$A$49,$P$1,'2004'!$DJ$3:$DJ$49)</f>
        <v>0</v>
      </c>
      <c r="F92" s="85">
        <f>SUMIF('2005'!$A$3:$A$49,$P$1,'2005'!$DN$3:$DN$49)</f>
        <v>0</v>
      </c>
      <c r="G92" s="86" t="e">
        <f>(F92-B92)/B92</f>
        <v>#DIV/0!</v>
      </c>
      <c r="H92" s="16"/>
    </row>
    <row r="93" spans="1:8" ht="15" customHeight="1">
      <c r="A93" s="84" t="s">
        <v>196</v>
      </c>
      <c r="B93" s="85">
        <f>SUMIF('2001'!$A$3:$A$49,$P$1,'2001'!$DK$3:$DK$49)</f>
        <v>-21.65883031905138</v>
      </c>
      <c r="C93" s="85">
        <f>SUMIF('2002'!$A$3:$A$49,$P$1,'2002'!$DK$3:$DK$49)</f>
        <v>-57.20235236790817</v>
      </c>
      <c r="D93" s="85">
        <f>SUMIF('2003'!$A$3:$A$49,$P$1,'2003'!$DK$3:$DK$49)</f>
        <v>-26.388331850300922</v>
      </c>
      <c r="E93" s="85">
        <f>SUMIF('2004'!$A$3:$A$49,$P$1,'2004'!$DK$3:$DK$49)</f>
        <v>-37.42607345296856</v>
      </c>
      <c r="F93" s="85">
        <f>SUMIF('2005'!$A$3:$A$49,$P$1,'2005'!$DO$3:$DO$49)</f>
        <v>-27.249046063804776</v>
      </c>
      <c r="G93" s="86">
        <f>(F93-B93)/B93</f>
        <v>0.25810330763042977</v>
      </c>
      <c r="H93" s="16"/>
    </row>
    <row r="94" spans="1:8" ht="15" customHeight="1">
      <c r="A94" s="61"/>
      <c r="B94" s="61"/>
      <c r="C94" s="61"/>
      <c r="D94" s="61"/>
      <c r="E94" s="61"/>
      <c r="F94" s="61"/>
      <c r="G94" s="61"/>
      <c r="H94" s="16"/>
    </row>
    <row r="95" spans="1:8" ht="15" customHeight="1">
      <c r="A95" s="106" t="s">
        <v>209</v>
      </c>
      <c r="B95" s="106">
        <f aca="true" t="shared" si="5" ref="B95:G95">B5</f>
        <v>2001</v>
      </c>
      <c r="C95" s="106">
        <f t="shared" si="5"/>
        <v>2002</v>
      </c>
      <c r="D95" s="106">
        <f t="shared" si="5"/>
        <v>2003</v>
      </c>
      <c r="E95" s="106">
        <f t="shared" si="5"/>
        <v>2004</v>
      </c>
      <c r="F95" s="106">
        <f t="shared" si="5"/>
        <v>2005</v>
      </c>
      <c r="G95" s="106" t="str">
        <f t="shared" si="5"/>
        <v>Veränderung</v>
      </c>
      <c r="H95" s="16"/>
    </row>
    <row r="96" spans="1:8" ht="15" customHeight="1">
      <c r="A96" s="107" t="s">
        <v>53</v>
      </c>
      <c r="B96" s="108">
        <f>SUMIF('2001'!$A$3:$A$49,$P$1,'2001'!$B$3:$B$49)</f>
        <v>38207</v>
      </c>
      <c r="C96" s="108">
        <f>SUMIF('2002'!$A$3:$A$49,$P$1,'2002'!$B$3:$B$49)</f>
        <v>37966</v>
      </c>
      <c r="D96" s="108">
        <f>SUMIF('2003'!$A$3:$A$49,$P$1,'2003'!$B$3:$B$49)</f>
        <v>38210</v>
      </c>
      <c r="E96" s="108">
        <f>SUMIF('2004'!$A$3:$A$49,$P$1,'2004'!$B$3:$B$49)</f>
        <v>38283</v>
      </c>
      <c r="F96" s="108">
        <f>SUMIF('2005'!$A$3:$A$49,$P$1,'2005'!$B$3:$B$49)</f>
        <v>38273</v>
      </c>
      <c r="G96" s="138">
        <f>(F96-B96)/B96</f>
        <v>0.0017274321459418431</v>
      </c>
      <c r="H96" s="16"/>
    </row>
    <row r="97" spans="1:8" ht="15" customHeight="1">
      <c r="A97" s="107" t="s">
        <v>240</v>
      </c>
      <c r="B97" s="108">
        <f>SUMIF('2001'!$A$3:$A$49,$P$1,'2001'!$DL$3:$DL$49)</f>
        <v>11487926.16</v>
      </c>
      <c r="C97" s="108">
        <f>SUMIF('2002'!$A$3:$A$49,$P$1,'2002'!$DL$3:$DL$49)</f>
        <v>9236976.11</v>
      </c>
      <c r="D97" s="108">
        <f>SUMIF('2003'!$A$3:$A$49,$P$1,'2003'!$DL$3:$DL$49)</f>
        <v>9259551.48</v>
      </c>
      <c r="E97" s="108">
        <f>SUMIF('2004'!$A$3:$A$49,$P$1,'2004'!$DL$3:$DL$49)</f>
        <v>7656290.570000001</v>
      </c>
      <c r="F97" s="108">
        <f>SUMIF('2005'!$A$3:$A$49,$P$1,'2005'!$DP$3:$DP$49)</f>
        <v>6064557.780000001</v>
      </c>
      <c r="G97" s="138">
        <f>(F97-B97)/B97</f>
        <v>-0.4720929003603553</v>
      </c>
      <c r="H97" s="14"/>
    </row>
    <row r="98" spans="1:8" ht="15" customHeight="1">
      <c r="A98" s="61"/>
      <c r="B98" s="61"/>
      <c r="C98" s="61"/>
      <c r="D98" s="61"/>
      <c r="E98" s="61"/>
      <c r="F98" s="61"/>
      <c r="G98" s="61"/>
      <c r="H98" s="14"/>
    </row>
    <row r="99" spans="1:8" ht="15" customHeight="1">
      <c r="A99" s="61"/>
      <c r="B99" s="61"/>
      <c r="C99" s="61"/>
      <c r="D99" s="61"/>
      <c r="E99" s="61"/>
      <c r="F99" s="61"/>
      <c r="G99" s="61"/>
      <c r="H99" s="14"/>
    </row>
    <row r="100" ht="15" customHeight="1">
      <c r="H100" s="14"/>
    </row>
    <row r="101" ht="15" customHeight="1">
      <c r="H101" s="14"/>
    </row>
    <row r="102" ht="15" customHeight="1">
      <c r="H102" s="14"/>
    </row>
    <row r="103" ht="15" customHeight="1">
      <c r="H103" s="14"/>
    </row>
    <row r="104" ht="15" customHeight="1">
      <c r="H104" s="14"/>
    </row>
    <row r="105" ht="15" customHeight="1">
      <c r="H105" s="14"/>
    </row>
    <row r="106" ht="15" customHeight="1">
      <c r="H106" s="14"/>
    </row>
    <row r="107" ht="4.5" customHeight="1">
      <c r="H107" s="14"/>
    </row>
  </sheetData>
  <printOptions horizontalCentered="1"/>
  <pageMargins left="0.03937007874015748" right="0.03937007874015748" top="0.7874015748031497" bottom="0.5905511811023623" header="0.1968503937007874" footer="0.2755905511811024"/>
  <pageSetup orientation="portrait" paperSize="9" scale="93" r:id="rId3"/>
  <headerFooter alignWithMargins="0">
    <oddHeader>&amp;L&amp;"Arial,Fett"&amp;14Finanzkennzahlen Gemeinden Kanton Glarus - Erhebung 2005</oddHeader>
    <oddFooter>&amp;C&amp;D&amp;RSeite &amp;N</oddFooter>
  </headerFooter>
  <rowBreaks count="1" manualBreakCount="1">
    <brk id="106" max="255" man="1"/>
  </rowBreaks>
  <colBreaks count="1" manualBreakCount="1">
    <brk id="7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G22"/>
  <sheetViews>
    <sheetView workbookViewId="0" topLeftCell="A1">
      <selection activeCell="G3" sqref="G3"/>
    </sheetView>
  </sheetViews>
  <sheetFormatPr defaultColWidth="11.421875" defaultRowHeight="12.75"/>
  <cols>
    <col min="1" max="1" width="30.57421875" style="0" bestFit="1" customWidth="1"/>
    <col min="2" max="2" width="13.8515625" style="0" bestFit="1" customWidth="1"/>
  </cols>
  <sheetData>
    <row r="1" spans="2:7" ht="12.75">
      <c r="B1">
        <f>+Abfrage!B56</f>
        <v>2001</v>
      </c>
      <c r="C1">
        <f>+Abfrage!C56</f>
        <v>2002</v>
      </c>
      <c r="D1">
        <f>+Abfrage!D56</f>
        <v>2003</v>
      </c>
      <c r="E1">
        <f>+Abfrage!E56</f>
        <v>2004</v>
      </c>
      <c r="F1">
        <f>+Abfrage!F56</f>
        <v>2005</v>
      </c>
      <c r="G1" t="str">
        <f>+Abfrage!G56</f>
        <v>Mittelwert</v>
      </c>
    </row>
    <row r="2" spans="1:7" ht="12.75">
      <c r="A2" t="s">
        <v>39</v>
      </c>
      <c r="B2" s="15" t="e">
        <f>+Abfrage!B64</f>
        <v>#DIV/0!</v>
      </c>
      <c r="C2" s="15" t="e">
        <f>+Abfrage!C64</f>
        <v>#DIV/0!</v>
      </c>
      <c r="D2" s="15">
        <f>+Abfrage!D64</f>
        <v>-4.0414908</v>
      </c>
      <c r="E2" s="15" t="e">
        <f>+Abfrage!E64</f>
        <v>#DIV/0!</v>
      </c>
      <c r="F2" s="15" t="e">
        <f>+Abfrage!F64</f>
        <v>#DIV/0!</v>
      </c>
      <c r="G2" s="15" t="e">
        <f>+Abfrage!G64</f>
        <v>#DIV/0!</v>
      </c>
    </row>
    <row r="3" spans="1:7" ht="12.75">
      <c r="A3" t="s">
        <v>59</v>
      </c>
      <c r="B3" s="15" t="e">
        <f>+'2001'!CJ35</f>
        <v>#NUM!</v>
      </c>
      <c r="C3" s="15" t="e">
        <f>+'2002'!CJ35</f>
        <v>#NUM!</v>
      </c>
      <c r="D3" s="15">
        <f>+'2003'!CJ35</f>
        <v>0.35130875</v>
      </c>
      <c r="E3" s="15" t="e">
        <f>+'2004'!CJ35</f>
        <v>#NUM!</v>
      </c>
      <c r="F3" s="15" t="e">
        <f>+'2005'!CL35</f>
        <v>#NUM!</v>
      </c>
      <c r="G3" s="18" t="e">
        <f>AVERAGE(B3:F3)</f>
        <v>#NUM!</v>
      </c>
    </row>
    <row r="5" spans="2:7" ht="12.75">
      <c r="B5">
        <f>+Abfrage!B56</f>
        <v>2001</v>
      </c>
      <c r="C5">
        <f>+Abfrage!C56</f>
        <v>2002</v>
      </c>
      <c r="D5">
        <f>+Abfrage!D56</f>
        <v>2003</v>
      </c>
      <c r="E5">
        <f>+Abfrage!E56</f>
        <v>2004</v>
      </c>
      <c r="F5">
        <f>+Abfrage!F56</f>
        <v>2005</v>
      </c>
      <c r="G5" t="str">
        <f>+Abfrage!G56</f>
        <v>Mittelwert</v>
      </c>
    </row>
    <row r="6" spans="1:7" ht="12.75">
      <c r="A6" t="s">
        <v>40</v>
      </c>
      <c r="B6" s="15">
        <f>+Abfrage!B66</f>
        <v>-0.06672544084630094</v>
      </c>
      <c r="C6" s="15">
        <f>+Abfrage!C66</f>
        <v>-0.1786707938183808</v>
      </c>
      <c r="D6" s="15">
        <f>+Abfrage!D66</f>
        <v>-0.056543938734800216</v>
      </c>
      <c r="E6" s="15">
        <f>+Abfrage!E66</f>
        <v>-0.088105524017061</v>
      </c>
      <c r="F6" s="15">
        <f>+Abfrage!F66</f>
        <v>-0.07588961027182599</v>
      </c>
      <c r="G6" s="15">
        <f>+Abfrage!G66</f>
        <v>-0.0931870615376738</v>
      </c>
    </row>
    <row r="7" spans="1:7" ht="12.75">
      <c r="A7" t="s">
        <v>59</v>
      </c>
      <c r="B7" s="15">
        <f>+'2001'!CL35</f>
        <v>-0.1587228558065037</v>
      </c>
      <c r="C7" s="15">
        <f>+'2002'!CL35</f>
        <v>-0.1294412727572224</v>
      </c>
      <c r="D7" s="15">
        <f>+'2003'!CL35</f>
        <v>-0.03824471963907241</v>
      </c>
      <c r="E7" s="15">
        <f>+'2004'!CL35</f>
        <v>-0.06662888945503365</v>
      </c>
      <c r="F7" s="15">
        <f>+'2005'!CN35</f>
        <v>-0.1540475244592174</v>
      </c>
      <c r="G7" s="15">
        <f>AVERAGE(B7:F7)</f>
        <v>-0.1094170524234099</v>
      </c>
    </row>
    <row r="9" spans="2:7" ht="12.75">
      <c r="B9">
        <f>+Abfrage!B56</f>
        <v>2001</v>
      </c>
      <c r="C9">
        <f>+Abfrage!C56</f>
        <v>2002</v>
      </c>
      <c r="D9">
        <f>+Abfrage!D56</f>
        <v>2003</v>
      </c>
      <c r="E9">
        <f>+Abfrage!E56</f>
        <v>2004</v>
      </c>
      <c r="F9">
        <f>+Abfrage!F56</f>
        <v>2005</v>
      </c>
      <c r="G9" t="str">
        <f>+Abfrage!G56</f>
        <v>Mittelwert</v>
      </c>
    </row>
    <row r="10" spans="1:7" ht="12.75">
      <c r="A10" t="s">
        <v>41</v>
      </c>
      <c r="B10" s="15">
        <f>+Abfrage!B68</f>
        <v>-0.020705363499497108</v>
      </c>
      <c r="C10" s="15">
        <f>+Abfrage!C68</f>
        <v>-0.019909768423232128</v>
      </c>
      <c r="D10" s="15">
        <f>+Abfrage!D68</f>
        <v>-0.011274675787663828</v>
      </c>
      <c r="E10" s="15">
        <f>+Abfrage!E68</f>
        <v>-0.006769647801904293</v>
      </c>
      <c r="F10" s="15">
        <f>+Abfrage!F68</f>
        <v>-0.00658771969865295</v>
      </c>
      <c r="G10" s="15">
        <f>+Abfrage!G68</f>
        <v>-0.01304943504219006</v>
      </c>
    </row>
    <row r="11" spans="1:7" ht="12.75">
      <c r="A11" t="s">
        <v>59</v>
      </c>
      <c r="B11" s="15">
        <f>+'2001'!CN35</f>
        <v>-0.02629215656279736</v>
      </c>
      <c r="C11" s="15">
        <f>+'2002'!CN35</f>
        <v>-0.0157940217008591</v>
      </c>
      <c r="D11" s="15">
        <f>+'2003'!CN35</f>
        <v>-0.007924522052130078</v>
      </c>
      <c r="E11" s="15">
        <f>+'2004'!CN35</f>
        <v>-0.0045550430126035345</v>
      </c>
      <c r="F11" s="15">
        <f>+'2005'!CP35</f>
        <v>-0.005566085835565184</v>
      </c>
      <c r="G11" s="15">
        <f>AVERAGE(B11:F11)</f>
        <v>-0.012026365832791052</v>
      </c>
    </row>
    <row r="13" spans="2:7" ht="12.75">
      <c r="B13">
        <f>+Abfrage!B56</f>
        <v>2001</v>
      </c>
      <c r="C13">
        <f>+Abfrage!C56</f>
        <v>2002</v>
      </c>
      <c r="D13">
        <f>+Abfrage!D56</f>
        <v>2003</v>
      </c>
      <c r="E13">
        <f>+Abfrage!E56</f>
        <v>2004</v>
      </c>
      <c r="F13">
        <f>+Abfrage!F56</f>
        <v>2005</v>
      </c>
      <c r="G13" t="str">
        <f>+Abfrage!G56</f>
        <v>Mittelwert</v>
      </c>
    </row>
    <row r="14" spans="1:7" ht="12.75">
      <c r="A14" t="s">
        <v>42</v>
      </c>
      <c r="B14" s="15">
        <f>+Abfrage!B69</f>
        <v>-0.02059650878815288</v>
      </c>
      <c r="C14" s="15">
        <f>+Abfrage!C69</f>
        <v>-0.01888858408347444</v>
      </c>
      <c r="D14" s="15">
        <f>+Abfrage!D69</f>
        <v>-0.009033112396174867</v>
      </c>
      <c r="E14" s="15">
        <f>+Abfrage!E69</f>
        <v>-0.005070428619342204</v>
      </c>
      <c r="F14" s="15">
        <f>+Abfrage!F69</f>
        <v>-0.0050974522165242305</v>
      </c>
      <c r="G14" s="15">
        <f>+Abfrage!G69</f>
        <v>-0.011737217220733724</v>
      </c>
    </row>
    <row r="15" spans="1:7" ht="12.75">
      <c r="A15" t="s">
        <v>59</v>
      </c>
      <c r="B15" s="15">
        <f>+'2001'!CO35</f>
        <v>-0.025999609620526786</v>
      </c>
      <c r="C15" s="15">
        <f>+'2002'!CO35</f>
        <v>-0.0157940217008591</v>
      </c>
      <c r="D15" s="15">
        <f>+'2003'!CO35</f>
        <v>-0.006305300456194333</v>
      </c>
      <c r="E15" s="15">
        <f>+'2004'!CO35</f>
        <v>-0.004346706596863646</v>
      </c>
      <c r="F15" s="15">
        <f>+'2005'!CQ35</f>
        <v>-0.004101278704941546</v>
      </c>
      <c r="G15" s="15">
        <f>AVERAGE(B15:F15)</f>
        <v>-0.011309383415877084</v>
      </c>
    </row>
    <row r="17" spans="2:7" ht="12.75">
      <c r="B17">
        <f>+Abfrage!B56</f>
        <v>2001</v>
      </c>
      <c r="C17">
        <f>+Abfrage!C56</f>
        <v>2002</v>
      </c>
      <c r="D17">
        <f>+Abfrage!D56</f>
        <v>2003</v>
      </c>
      <c r="E17">
        <f>+Abfrage!E56</f>
        <v>2004</v>
      </c>
      <c r="F17">
        <f>+Abfrage!F56</f>
        <v>2005</v>
      </c>
      <c r="G17" t="str">
        <f>+Abfrage!G56</f>
        <v>Mittelwert</v>
      </c>
    </row>
    <row r="18" spans="1:7" ht="12.75">
      <c r="A18" t="s">
        <v>60</v>
      </c>
      <c r="B18" s="19">
        <f>Abfrage!B59/1000</f>
        <v>0</v>
      </c>
      <c r="C18" s="19">
        <f>Abfrage!C59/1000</f>
        <v>0</v>
      </c>
      <c r="D18" s="19">
        <f>Abfrage!D59/1000</f>
        <v>200</v>
      </c>
      <c r="E18" s="19">
        <f>Abfrage!E59/1000</f>
        <v>0</v>
      </c>
      <c r="F18" s="19">
        <f>Abfrage!F59/1000</f>
        <v>0</v>
      </c>
      <c r="G18" s="19">
        <f>Abfrage!G59/1000</f>
        <v>40</v>
      </c>
    </row>
    <row r="19" spans="1:7" ht="12.75">
      <c r="A19" t="s">
        <v>61</v>
      </c>
      <c r="B19" s="19">
        <f>Abfrage!B37/1000</f>
        <v>-827.518929999996</v>
      </c>
      <c r="C19" s="19">
        <f>Abfrage!C37/1000</f>
        <v>-2171.744510000002</v>
      </c>
      <c r="D19" s="19">
        <f>Abfrage!D37/1000</f>
        <v>-1008.2981599999982</v>
      </c>
      <c r="E19" s="19">
        <f>Abfrage!E37/1000</f>
        <v>-1432.7823699999954</v>
      </c>
      <c r="F19" s="19">
        <f>Abfrage!F37/1000</f>
        <v>-1042.9027400000002</v>
      </c>
      <c r="G19" s="19">
        <f>Abfrage!G37/1000</f>
        <v>-1296.6493419999983</v>
      </c>
    </row>
    <row r="21" spans="2:6" ht="12.75">
      <c r="B21">
        <f>+Abfrage!B56</f>
        <v>2001</v>
      </c>
      <c r="C21">
        <f>+Abfrage!C56</f>
        <v>2002</v>
      </c>
      <c r="D21">
        <f>+Abfrage!D56</f>
        <v>2003</v>
      </c>
      <c r="E21">
        <f>+Abfrage!E56</f>
        <v>2004</v>
      </c>
      <c r="F21">
        <f>+Abfrage!F56</f>
        <v>2005</v>
      </c>
    </row>
    <row r="22" spans="1:7" ht="12.75">
      <c r="A22" t="s">
        <v>212</v>
      </c>
      <c r="B22" s="19">
        <f>+Abfrage!B15/1000</f>
        <v>11507.92616</v>
      </c>
      <c r="C22" s="19">
        <f>+Abfrage!C15/1000</f>
        <v>9256.97601</v>
      </c>
      <c r="D22" s="19">
        <f>+Abfrage!D15/1000</f>
        <v>9279.551479999998</v>
      </c>
      <c r="E22" s="19">
        <f>+Abfrage!E15/1000</f>
        <v>7688.045269999998</v>
      </c>
      <c r="F22" s="19">
        <f>+Abfrage!F15/1000</f>
        <v>6076.312929999997</v>
      </c>
      <c r="G22" s="1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1"/>
  <dimension ref="A1:DO65"/>
  <sheetViews>
    <sheetView workbookViewId="0" topLeftCell="A1">
      <pane xSplit="6" ySplit="2" topLeftCell="DA51" activePane="bottomRight" state="frozen"/>
      <selection pane="topLeft" activeCell="N5" sqref="N5"/>
      <selection pane="topRight" activeCell="N5" sqref="N5"/>
      <selection pane="bottomLeft" activeCell="N5" sqref="N5"/>
      <selection pane="bottomRight" activeCell="DC2" sqref="DC2:DC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9" width="12.140625" style="0" customWidth="1"/>
    <col min="40" max="40" width="12.57421875" style="0" bestFit="1" customWidth="1"/>
    <col min="41" max="51" width="12.57421875" style="0" customWidth="1"/>
    <col min="52" max="71" width="11.28125" style="0" customWidth="1"/>
    <col min="72" max="81" width="12.28125" style="0" customWidth="1"/>
    <col min="82" max="82" width="13.8515625" style="0" customWidth="1"/>
    <col min="83" max="83" width="14.140625" style="0" customWidth="1"/>
    <col min="84" max="84" width="13.7109375" style="0" customWidth="1"/>
    <col min="85" max="85" width="12.57421875" style="0" customWidth="1"/>
    <col min="86" max="86" width="13.421875" style="0" customWidth="1"/>
    <col min="87" max="88" width="13.140625" style="0" bestFit="1" customWidth="1"/>
    <col min="89" max="89" width="13.140625" style="0" customWidth="1"/>
    <col min="90" max="90" width="12.421875" style="0" bestFit="1" customWidth="1"/>
    <col min="91" max="96" width="12.421875" style="0" customWidth="1"/>
    <col min="97" max="97" width="14.28125" style="0" customWidth="1"/>
    <col min="98" max="116" width="12.421875" style="0" customWidth="1"/>
    <col min="117" max="117" width="11.57421875" style="0" bestFit="1" customWidth="1"/>
  </cols>
  <sheetData>
    <row r="1" spans="1:118" s="2" customFormat="1" ht="15.75" customHeight="1" thickBot="1">
      <c r="A1" s="48"/>
      <c r="B1" s="23" t="s">
        <v>71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137</v>
      </c>
      <c r="BG1" s="21"/>
      <c r="BH1" s="21"/>
      <c r="BI1" s="21"/>
      <c r="BJ1" s="21"/>
      <c r="BK1" s="21"/>
      <c r="BL1" s="21" t="s">
        <v>137</v>
      </c>
      <c r="BM1" s="21"/>
      <c r="BN1" s="21"/>
      <c r="BO1" s="21"/>
      <c r="BP1" s="21"/>
      <c r="BQ1" s="21" t="s">
        <v>137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2"/>
    </row>
    <row r="2" spans="1:118" s="1" customFormat="1" ht="89.25" customHeight="1">
      <c r="A2" s="49"/>
      <c r="B2" s="45" t="s">
        <v>72</v>
      </c>
      <c r="C2" s="20" t="s">
        <v>37</v>
      </c>
      <c r="D2" s="56" t="s">
        <v>68</v>
      </c>
      <c r="E2" s="20" t="s">
        <v>52</v>
      </c>
      <c r="F2" s="133" t="s">
        <v>248</v>
      </c>
      <c r="G2" s="128" t="s">
        <v>75</v>
      </c>
      <c r="H2" s="54" t="s">
        <v>76</v>
      </c>
      <c r="I2" s="54" t="s">
        <v>77</v>
      </c>
      <c r="J2" s="54" t="s">
        <v>78</v>
      </c>
      <c r="K2" s="54" t="s">
        <v>79</v>
      </c>
      <c r="L2" s="54" t="s">
        <v>80</v>
      </c>
      <c r="M2" s="54" t="s">
        <v>81</v>
      </c>
      <c r="N2" s="54" t="s">
        <v>82</v>
      </c>
      <c r="O2" s="54" t="s">
        <v>83</v>
      </c>
      <c r="P2" s="54" t="s">
        <v>84</v>
      </c>
      <c r="Q2" s="54" t="s">
        <v>85</v>
      </c>
      <c r="R2" s="54" t="s">
        <v>86</v>
      </c>
      <c r="S2" s="54" t="s">
        <v>87</v>
      </c>
      <c r="T2" s="54" t="s">
        <v>88</v>
      </c>
      <c r="U2" s="54" t="s">
        <v>89</v>
      </c>
      <c r="V2" s="54" t="s">
        <v>90</v>
      </c>
      <c r="W2" s="54" t="s">
        <v>91</v>
      </c>
      <c r="X2" s="54" t="s">
        <v>92</v>
      </c>
      <c r="Y2" s="54" t="s">
        <v>93</v>
      </c>
      <c r="Z2" s="54" t="s">
        <v>94</v>
      </c>
      <c r="AA2" s="54" t="s">
        <v>95</v>
      </c>
      <c r="AB2" s="54" t="s">
        <v>96</v>
      </c>
      <c r="AC2" s="54" t="s">
        <v>213</v>
      </c>
      <c r="AD2" s="54" t="s">
        <v>97</v>
      </c>
      <c r="AE2" s="54" t="s">
        <v>98</v>
      </c>
      <c r="AF2" s="54" t="s">
        <v>99</v>
      </c>
      <c r="AG2" s="54" t="s">
        <v>100</v>
      </c>
      <c r="AH2" s="54" t="s">
        <v>101</v>
      </c>
      <c r="AI2" s="54" t="s">
        <v>102</v>
      </c>
      <c r="AJ2" s="54" t="s">
        <v>103</v>
      </c>
      <c r="AK2" s="54" t="s">
        <v>104</v>
      </c>
      <c r="AL2" s="54" t="s">
        <v>105</v>
      </c>
      <c r="AM2" s="54" t="s">
        <v>106</v>
      </c>
      <c r="AN2" s="36" t="s">
        <v>107</v>
      </c>
      <c r="AO2" s="36" t="s">
        <v>108</v>
      </c>
      <c r="AP2" s="36" t="s">
        <v>109</v>
      </c>
      <c r="AQ2" s="36" t="s">
        <v>110</v>
      </c>
      <c r="AR2" s="36" t="s">
        <v>111</v>
      </c>
      <c r="AS2" s="36" t="s">
        <v>112</v>
      </c>
      <c r="AT2" s="36" t="s">
        <v>113</v>
      </c>
      <c r="AU2" s="36" t="s">
        <v>114</v>
      </c>
      <c r="AV2" s="36" t="s">
        <v>115</v>
      </c>
      <c r="AW2" s="36" t="s">
        <v>116</v>
      </c>
      <c r="AX2" s="36" t="s">
        <v>117</v>
      </c>
      <c r="AY2" s="54" t="s">
        <v>138</v>
      </c>
      <c r="AZ2" s="54" t="s">
        <v>118</v>
      </c>
      <c r="BA2" s="54" t="s">
        <v>119</v>
      </c>
      <c r="BB2" s="54" t="s">
        <v>120</v>
      </c>
      <c r="BC2" s="54" t="s">
        <v>121</v>
      </c>
      <c r="BD2" s="54" t="s">
        <v>122</v>
      </c>
      <c r="BE2" s="54" t="s">
        <v>123</v>
      </c>
      <c r="BF2" s="54" t="s">
        <v>124</v>
      </c>
      <c r="BG2" s="54" t="s">
        <v>125</v>
      </c>
      <c r="BH2" s="54" t="s">
        <v>126</v>
      </c>
      <c r="BI2" s="54" t="s">
        <v>127</v>
      </c>
      <c r="BJ2" s="54" t="s">
        <v>128</v>
      </c>
      <c r="BK2" s="54" t="s">
        <v>129</v>
      </c>
      <c r="BL2" s="54" t="s">
        <v>131</v>
      </c>
      <c r="BM2" s="54" t="s">
        <v>130</v>
      </c>
      <c r="BN2" s="54" t="s">
        <v>132</v>
      </c>
      <c r="BO2" s="54" t="s">
        <v>133</v>
      </c>
      <c r="BP2" s="54" t="s">
        <v>134</v>
      </c>
      <c r="BQ2" s="54" t="s">
        <v>135</v>
      </c>
      <c r="BR2" s="54" t="s">
        <v>136</v>
      </c>
      <c r="BS2" s="54" t="s">
        <v>117</v>
      </c>
      <c r="BT2" s="36" t="s">
        <v>139</v>
      </c>
      <c r="BU2" s="36" t="s">
        <v>140</v>
      </c>
      <c r="BV2" s="36" t="s">
        <v>145</v>
      </c>
      <c r="BW2" s="36" t="s">
        <v>141</v>
      </c>
      <c r="BX2" s="36" t="s">
        <v>142</v>
      </c>
      <c r="BY2" s="36" t="s">
        <v>143</v>
      </c>
      <c r="BZ2" s="36" t="s">
        <v>144</v>
      </c>
      <c r="CA2" s="36" t="s">
        <v>146</v>
      </c>
      <c r="CB2" s="36" t="s">
        <v>147</v>
      </c>
      <c r="CC2" s="36" t="s">
        <v>117</v>
      </c>
      <c r="CD2" s="129" t="s">
        <v>148</v>
      </c>
      <c r="CE2" s="129" t="s">
        <v>149</v>
      </c>
      <c r="CF2" s="129" t="s">
        <v>60</v>
      </c>
      <c r="CG2" s="129" t="s">
        <v>150</v>
      </c>
      <c r="CH2" s="129" t="s">
        <v>151</v>
      </c>
      <c r="CI2" s="129" t="s">
        <v>152</v>
      </c>
      <c r="CJ2" s="129" t="s">
        <v>46</v>
      </c>
      <c r="CK2" s="129" t="s">
        <v>237</v>
      </c>
      <c r="CL2" s="129" t="s">
        <v>45</v>
      </c>
      <c r="CM2" s="129" t="s">
        <v>69</v>
      </c>
      <c r="CN2" s="129" t="s">
        <v>43</v>
      </c>
      <c r="CO2" s="129" t="s">
        <v>44</v>
      </c>
      <c r="CP2" s="129" t="s">
        <v>153</v>
      </c>
      <c r="CQ2" s="129" t="s">
        <v>155</v>
      </c>
      <c r="CR2" s="129" t="s">
        <v>154</v>
      </c>
      <c r="CS2" s="129" t="s">
        <v>160</v>
      </c>
      <c r="CT2" s="129" t="s">
        <v>163</v>
      </c>
      <c r="CU2" s="129" t="s">
        <v>164</v>
      </c>
      <c r="CV2" s="129" t="s">
        <v>162</v>
      </c>
      <c r="CW2" s="129" t="s">
        <v>166</v>
      </c>
      <c r="CX2" s="129" t="s">
        <v>148</v>
      </c>
      <c r="CY2" s="129" t="s">
        <v>167</v>
      </c>
      <c r="CZ2" s="129" t="s">
        <v>172</v>
      </c>
      <c r="DA2" s="129" t="s">
        <v>177</v>
      </c>
      <c r="DB2" s="129" t="s">
        <v>178</v>
      </c>
      <c r="DC2" s="129" t="s">
        <v>251</v>
      </c>
      <c r="DD2" s="129" t="s">
        <v>180</v>
      </c>
      <c r="DE2" s="129" t="s">
        <v>183</v>
      </c>
      <c r="DF2" s="129" t="s">
        <v>189</v>
      </c>
      <c r="DG2" s="129" t="s">
        <v>197</v>
      </c>
      <c r="DH2" s="129" t="s">
        <v>193</v>
      </c>
      <c r="DI2" s="129" t="s">
        <v>194</v>
      </c>
      <c r="DJ2" s="129" t="s">
        <v>195</v>
      </c>
      <c r="DK2" s="129" t="s">
        <v>198</v>
      </c>
      <c r="DL2" s="129" t="s">
        <v>239</v>
      </c>
      <c r="DM2" s="129"/>
      <c r="DN2" s="135"/>
    </row>
    <row r="3" spans="1:118" s="5" customFormat="1" ht="12.75" customHeight="1">
      <c r="A3" s="50" t="s">
        <v>38</v>
      </c>
      <c r="B3" s="41">
        <v>167</v>
      </c>
      <c r="C3" s="6">
        <v>349229</v>
      </c>
      <c r="D3" s="63">
        <v>2091.19</v>
      </c>
      <c r="E3" s="63">
        <v>60.65</v>
      </c>
      <c r="F3" s="125">
        <v>2</v>
      </c>
      <c r="G3" s="131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f aca="true" t="shared" si="0" ref="M3:M31">SUM(K3:L3)</f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0</v>
      </c>
      <c r="X3" s="43">
        <v>0</v>
      </c>
      <c r="Y3" s="43">
        <f aca="true" t="shared" si="2" ref="Y3:Y14">SUM(G3:X3)-M3-W3</f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f aca="true" t="shared" si="3" ref="AE3:AE14">SUM(Z3:AD3)</f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3">
        <v>0</v>
      </c>
      <c r="AZ3" s="43">
        <v>0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0</v>
      </c>
      <c r="BG3" s="43">
        <v>0</v>
      </c>
      <c r="BH3" s="43">
        <v>0</v>
      </c>
      <c r="BI3" s="43">
        <v>0</v>
      </c>
      <c r="BJ3" s="43">
        <v>0</v>
      </c>
      <c r="BK3" s="43">
        <v>0</v>
      </c>
      <c r="BL3" s="43">
        <v>0</v>
      </c>
      <c r="BM3" s="43">
        <v>0</v>
      </c>
      <c r="BN3" s="43">
        <v>0</v>
      </c>
      <c r="BO3" s="43">
        <f aca="true" t="shared" si="8" ref="BO3:BO14">SUM(BG3:BN3)</f>
        <v>0</v>
      </c>
      <c r="BP3" s="43">
        <v>0</v>
      </c>
      <c r="BQ3" s="43">
        <v>0</v>
      </c>
      <c r="BR3" s="43">
        <v>0</v>
      </c>
      <c r="BS3" s="43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74">
        <f aca="true" t="shared" si="13" ref="CD3:CD14">K3+L3+AV3-AW3</f>
        <v>0</v>
      </c>
      <c r="CE3" s="76">
        <f aca="true" t="shared" si="14" ref="CE3:CE14">CD3+W3-AS3</f>
        <v>0</v>
      </c>
      <c r="CF3" s="76">
        <f aca="true" t="shared" si="15" ref="CF3:CF14">BR3-BP3</f>
        <v>0</v>
      </c>
      <c r="CG3" s="76">
        <f aca="true" t="shared" si="16" ref="CG3:CG10">AU3-AM3-AT3-AS3</f>
        <v>0</v>
      </c>
      <c r="CH3" s="76">
        <f aca="true" t="shared" si="17" ref="CH3:CH14">I3-AG3+AY3+AH3+BQ3</f>
        <v>0</v>
      </c>
      <c r="CI3" s="37">
        <f aca="true" t="shared" si="18" ref="CI3:CI14">CH3+K3</f>
        <v>0</v>
      </c>
      <c r="CJ3" s="59" t="str">
        <f>IF(CF3=0,"-",(CD3/CF3))</f>
        <v>-</v>
      </c>
      <c r="CK3" s="59" t="str">
        <f>IF(CF3=0,"-",(CE3/CF3))</f>
        <v>-</v>
      </c>
      <c r="CL3" s="141" t="str">
        <f>IF(CG3=0,"-",(CD3/CG3*1))</f>
        <v>-</v>
      </c>
      <c r="CM3" s="141" t="str">
        <f>IF(CE3=0,"-",(CE3/CG3))</f>
        <v>-</v>
      </c>
      <c r="CN3" s="141" t="str">
        <f>IF(CG3=0,"-",(CH3/CG3))</f>
        <v>-</v>
      </c>
      <c r="CO3" s="141" t="str">
        <f>IF(CG3=0,"-",(CI3/CG3))</f>
        <v>-</v>
      </c>
      <c r="CP3" s="141" t="str">
        <f>IF(BU3+K3+L3=0,"-",((K3+L3)/(BU3+K3+L3)))</f>
        <v>-</v>
      </c>
      <c r="CQ3" s="141" t="str">
        <f>IF(BU3+K3+L3=0,"-",((K3)/(BU3+K3+L3)))</f>
        <v>-</v>
      </c>
      <c r="CR3" s="142" t="str">
        <f>IF(CE3=0,"-",(CS3/CE3))</f>
        <v>-</v>
      </c>
      <c r="CS3" s="76">
        <f>BT3-BY3</f>
        <v>0</v>
      </c>
      <c r="CT3" s="80">
        <f aca="true" t="shared" si="19" ref="CT3:CT14">Y3-K3-L3-V3</f>
        <v>0</v>
      </c>
      <c r="CU3" s="80">
        <f aca="true" t="shared" si="20" ref="CU3:CU14">AU3-AR3</f>
        <v>0</v>
      </c>
      <c r="CV3" s="80">
        <f aca="true" t="shared" si="21" ref="CV3:CV14">CU3-CT3</f>
        <v>0</v>
      </c>
      <c r="CW3" s="80">
        <f aca="true" t="shared" si="22" ref="CW3:CW14">-V3+AR3</f>
        <v>0</v>
      </c>
      <c r="CX3" s="80">
        <f aca="true" t="shared" si="23" ref="CX3:CX14">CV3+CW3</f>
        <v>0</v>
      </c>
      <c r="CY3" s="80">
        <f aca="true" t="shared" si="24" ref="CY3:CY14">CX3-K3-L3</f>
        <v>0</v>
      </c>
      <c r="CZ3" s="80">
        <f aca="true" t="shared" si="25" ref="CZ3:CZ14">BR3-BP3</f>
        <v>0</v>
      </c>
      <c r="DA3" s="80">
        <f aca="true" t="shared" si="26" ref="DA3:DA14">K3+L3</f>
        <v>0</v>
      </c>
      <c r="DB3" s="80">
        <f aca="true" t="shared" si="27" ref="DB3:DB14">-CZ3+DA3+CY3</f>
        <v>0</v>
      </c>
      <c r="DC3" s="80">
        <f>-CZ3+DA3+CY3+W3-AS3</f>
        <v>0</v>
      </c>
      <c r="DD3" s="80">
        <f aca="true" t="shared" si="28" ref="DD3:DD14">-BP3-DA3</f>
        <v>0</v>
      </c>
      <c r="DE3" s="80">
        <f aca="true" t="shared" si="29" ref="DE3:DE14">DB3+DD3+BR3</f>
        <v>0</v>
      </c>
      <c r="DF3" s="80">
        <f aca="true" t="shared" si="30" ref="DF3:DF14">Z3+AA3+AB3</f>
        <v>0</v>
      </c>
      <c r="DG3" s="80">
        <f aca="true" t="shared" si="31" ref="DG3:DG14">CS3/B3</f>
        <v>0</v>
      </c>
      <c r="DH3" s="80">
        <f aca="true" t="shared" si="32" ref="DH3:DH14">CH3/B3</f>
        <v>0</v>
      </c>
      <c r="DI3" s="80">
        <f aca="true" t="shared" si="33" ref="DI3:DI14">DF3/B3</f>
        <v>0</v>
      </c>
      <c r="DJ3" s="81">
        <f aca="true" t="shared" si="34" ref="DJ3:DJ14">CZ3/B3</f>
        <v>0</v>
      </c>
      <c r="DK3" s="76">
        <f aca="true" t="shared" si="35" ref="DK3:DK14">DB3/B3</f>
        <v>0</v>
      </c>
      <c r="DL3" s="145">
        <f>CA3-BW3-BU3</f>
        <v>0</v>
      </c>
      <c r="DM3" s="64"/>
      <c r="DN3" s="65"/>
    </row>
    <row r="4" spans="1:118" ht="12.75">
      <c r="A4" s="51" t="s">
        <v>0</v>
      </c>
      <c r="B4" s="46">
        <v>1897</v>
      </c>
      <c r="C4" s="38">
        <v>5037765</v>
      </c>
      <c r="D4" s="66">
        <v>2655.65</v>
      </c>
      <c r="E4" s="66">
        <v>77.02</v>
      </c>
      <c r="F4" s="126">
        <v>0</v>
      </c>
      <c r="G4" s="13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3">
        <f t="shared" si="0"/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0</v>
      </c>
      <c r="X4" s="42">
        <v>0</v>
      </c>
      <c r="Y4" s="43">
        <f t="shared" si="2"/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3">
        <f t="shared" si="3"/>
        <v>0</v>
      </c>
      <c r="AF4" s="42">
        <v>0</v>
      </c>
      <c r="AG4" s="42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0</v>
      </c>
      <c r="AT4" s="38">
        <v>0</v>
      </c>
      <c r="AU4" s="4">
        <f t="shared" si="5"/>
        <v>0</v>
      </c>
      <c r="AV4" s="38">
        <v>0</v>
      </c>
      <c r="AW4" s="38">
        <v>0</v>
      </c>
      <c r="AX4" s="4">
        <f t="shared" si="6"/>
        <v>0</v>
      </c>
      <c r="AY4" s="42">
        <v>0</v>
      </c>
      <c r="AZ4" s="42">
        <v>0</v>
      </c>
      <c r="BA4" s="42">
        <v>0</v>
      </c>
      <c r="BB4" s="42">
        <v>0</v>
      </c>
      <c r="BC4" s="42">
        <v>0</v>
      </c>
      <c r="BD4" s="42">
        <v>0</v>
      </c>
      <c r="BE4" s="42">
        <v>0</v>
      </c>
      <c r="BF4" s="43">
        <f t="shared" si="7"/>
        <v>0</v>
      </c>
      <c r="BG4" s="42">
        <v>0</v>
      </c>
      <c r="BH4" s="42">
        <v>0</v>
      </c>
      <c r="BI4" s="42">
        <v>0</v>
      </c>
      <c r="BJ4" s="42">
        <v>0</v>
      </c>
      <c r="BK4" s="42">
        <v>0</v>
      </c>
      <c r="BL4" s="42">
        <v>0</v>
      </c>
      <c r="BM4" s="42">
        <v>0</v>
      </c>
      <c r="BN4" s="42">
        <v>0</v>
      </c>
      <c r="BO4" s="43">
        <f t="shared" si="8"/>
        <v>0</v>
      </c>
      <c r="BP4" s="42">
        <v>0</v>
      </c>
      <c r="BQ4" s="42">
        <v>0</v>
      </c>
      <c r="BR4" s="42">
        <v>0</v>
      </c>
      <c r="BS4" s="43">
        <f t="shared" si="9"/>
        <v>0</v>
      </c>
      <c r="BT4" s="38">
        <v>0</v>
      </c>
      <c r="BU4" s="38">
        <v>0</v>
      </c>
      <c r="BV4" s="38">
        <v>0</v>
      </c>
      <c r="BW4" s="38">
        <v>0</v>
      </c>
      <c r="BX4" s="4">
        <f t="shared" si="10"/>
        <v>0</v>
      </c>
      <c r="BY4" s="38">
        <v>0</v>
      </c>
      <c r="BZ4" s="38">
        <v>0</v>
      </c>
      <c r="CA4" s="38">
        <v>0</v>
      </c>
      <c r="CB4" s="4">
        <f t="shared" si="11"/>
        <v>0</v>
      </c>
      <c r="CC4" s="4">
        <f t="shared" si="12"/>
        <v>0</v>
      </c>
      <c r="CD4" s="74">
        <f t="shared" si="13"/>
        <v>0</v>
      </c>
      <c r="CE4" s="76">
        <f t="shared" si="14"/>
        <v>0</v>
      </c>
      <c r="CF4" s="76">
        <f t="shared" si="15"/>
        <v>0</v>
      </c>
      <c r="CG4" s="76">
        <f t="shared" si="16"/>
        <v>0</v>
      </c>
      <c r="CH4" s="76">
        <f t="shared" si="17"/>
        <v>0</v>
      </c>
      <c r="CI4" s="37">
        <f t="shared" si="18"/>
        <v>0</v>
      </c>
      <c r="CJ4" s="59" t="str">
        <f aca="true" t="shared" si="36" ref="CJ4:CJ31">IF(CF4=0,"-",(CD4/CF4))</f>
        <v>-</v>
      </c>
      <c r="CK4" s="59" t="str">
        <f aca="true" t="shared" si="37" ref="CK4:CK31">IF(CF4=0,"-",(CE4/CF4))</f>
        <v>-</v>
      </c>
      <c r="CL4" s="141" t="str">
        <f aca="true" t="shared" si="38" ref="CL4:CL31">IF(CG4=0,"-",(CD4/CG4*1))</f>
        <v>-</v>
      </c>
      <c r="CM4" s="141" t="str">
        <f aca="true" t="shared" si="39" ref="CM4:CM31">IF(CE4=0,"-",(CE4/CG4))</f>
        <v>-</v>
      </c>
      <c r="CN4" s="141" t="str">
        <f aca="true" t="shared" si="40" ref="CN4:CN31">IF(CG4=0,"-",(CH4/CG4))</f>
        <v>-</v>
      </c>
      <c r="CO4" s="141" t="str">
        <f aca="true" t="shared" si="41" ref="CO4:CO31">IF(CG4=0,"-",(CI4/CG4))</f>
        <v>-</v>
      </c>
      <c r="CP4" s="141" t="str">
        <f aca="true" t="shared" si="42" ref="CP4:CP31">IF(BU4+K4+L4=0,"-",((K4+L4)/(BU4+K4+L4)))</f>
        <v>-</v>
      </c>
      <c r="CQ4" s="141" t="str">
        <f aca="true" t="shared" si="43" ref="CQ4:CQ31">IF(BU4+K4+L4=0,"-",((K4)/(BU4+K4+L4)))</f>
        <v>-</v>
      </c>
      <c r="CR4" s="142" t="str">
        <f aca="true" t="shared" si="44" ref="CR4:CR31">IF(CE4=0,"-",(CS4/CE4))</f>
        <v>-</v>
      </c>
      <c r="CS4" s="76">
        <f aca="true" t="shared" si="45" ref="CS4:CS31">BT4-BY4</f>
        <v>0</v>
      </c>
      <c r="CT4" s="80">
        <f t="shared" si="19"/>
        <v>0</v>
      </c>
      <c r="CU4" s="80">
        <f t="shared" si="20"/>
        <v>0</v>
      </c>
      <c r="CV4" s="80">
        <f t="shared" si="21"/>
        <v>0</v>
      </c>
      <c r="CW4" s="80">
        <f t="shared" si="22"/>
        <v>0</v>
      </c>
      <c r="CX4" s="80">
        <f t="shared" si="23"/>
        <v>0</v>
      </c>
      <c r="CY4" s="80">
        <f t="shared" si="24"/>
        <v>0</v>
      </c>
      <c r="CZ4" s="80">
        <f t="shared" si="25"/>
        <v>0</v>
      </c>
      <c r="DA4" s="80">
        <f t="shared" si="26"/>
        <v>0</v>
      </c>
      <c r="DB4" s="80">
        <f t="shared" si="27"/>
        <v>0</v>
      </c>
      <c r="DC4" s="80">
        <f aca="true" t="shared" si="46" ref="DC4:DC31">-CZ4+DA4+CY4+W4-AS4</f>
        <v>0</v>
      </c>
      <c r="DD4" s="80">
        <f t="shared" si="28"/>
        <v>0</v>
      </c>
      <c r="DE4" s="80">
        <f t="shared" si="29"/>
        <v>0</v>
      </c>
      <c r="DF4" s="80">
        <f t="shared" si="30"/>
        <v>0</v>
      </c>
      <c r="DG4" s="80">
        <f t="shared" si="31"/>
        <v>0</v>
      </c>
      <c r="DH4" s="80">
        <f t="shared" si="32"/>
        <v>0</v>
      </c>
      <c r="DI4" s="80">
        <f t="shared" si="33"/>
        <v>0</v>
      </c>
      <c r="DJ4" s="81">
        <f t="shared" si="34"/>
        <v>0</v>
      </c>
      <c r="DK4" s="76">
        <f t="shared" si="35"/>
        <v>0</v>
      </c>
      <c r="DL4" s="145">
        <f>CA4-BW4-BU4</f>
        <v>0</v>
      </c>
      <c r="DM4" s="67"/>
      <c r="DN4" s="68"/>
    </row>
    <row r="5" spans="1:118" ht="12.75">
      <c r="A5" s="52" t="s">
        <v>32</v>
      </c>
      <c r="B5" s="41">
        <v>463</v>
      </c>
      <c r="C5" s="4">
        <v>1532136</v>
      </c>
      <c r="D5" s="69">
        <v>3309.15</v>
      </c>
      <c r="E5" s="69">
        <v>95.97</v>
      </c>
      <c r="F5" s="8">
        <v>2</v>
      </c>
      <c r="G5" s="131">
        <f>(G42/($B$5+$B$28)*$B$5)</f>
        <v>9720.457942430703</v>
      </c>
      <c r="H5" s="131">
        <f aca="true" t="shared" si="47" ref="H5:BU5">(H42/($B$5+$B$28)*$B$5)</f>
        <v>6002.760447761194</v>
      </c>
      <c r="I5" s="131">
        <f t="shared" si="47"/>
        <v>0</v>
      </c>
      <c r="J5" s="131">
        <f t="shared" si="47"/>
        <v>0</v>
      </c>
      <c r="K5" s="131">
        <f t="shared" si="47"/>
        <v>0</v>
      </c>
      <c r="L5" s="131">
        <f t="shared" si="47"/>
        <v>0</v>
      </c>
      <c r="M5" s="43">
        <f t="shared" si="0"/>
        <v>0</v>
      </c>
      <c r="N5" s="131">
        <f t="shared" si="47"/>
        <v>0</v>
      </c>
      <c r="O5" s="131">
        <f t="shared" si="47"/>
        <v>0</v>
      </c>
      <c r="P5" s="131">
        <f t="shared" si="47"/>
        <v>149407.18773987208</v>
      </c>
      <c r="Q5" s="131">
        <f t="shared" si="47"/>
        <v>0</v>
      </c>
      <c r="R5" s="131">
        <f t="shared" si="47"/>
        <v>0</v>
      </c>
      <c r="S5" s="131">
        <f t="shared" si="47"/>
        <v>0</v>
      </c>
      <c r="T5" s="131">
        <f t="shared" si="47"/>
        <v>0</v>
      </c>
      <c r="U5" s="131">
        <f t="shared" si="47"/>
        <v>0</v>
      </c>
      <c r="V5" s="131">
        <f t="shared" si="47"/>
        <v>0</v>
      </c>
      <c r="W5" s="43">
        <f t="shared" si="1"/>
        <v>0</v>
      </c>
      <c r="X5" s="131">
        <f t="shared" si="47"/>
        <v>0</v>
      </c>
      <c r="Y5" s="43">
        <f t="shared" si="2"/>
        <v>165130.406130064</v>
      </c>
      <c r="Z5" s="131">
        <f t="shared" si="47"/>
        <v>74382.72697228145</v>
      </c>
      <c r="AA5" s="131">
        <f t="shared" si="47"/>
        <v>0</v>
      </c>
      <c r="AB5" s="131">
        <f t="shared" si="47"/>
        <v>0</v>
      </c>
      <c r="AC5" s="131">
        <f t="shared" si="47"/>
        <v>15601.446428571428</v>
      </c>
      <c r="AD5" s="131">
        <f t="shared" si="47"/>
        <v>0</v>
      </c>
      <c r="AE5" s="43">
        <f t="shared" si="3"/>
        <v>89984.17340085289</v>
      </c>
      <c r="AF5" s="131">
        <f t="shared" si="47"/>
        <v>0</v>
      </c>
      <c r="AG5" s="131">
        <f t="shared" si="47"/>
        <v>33238.80948827293</v>
      </c>
      <c r="AH5" s="131">
        <f t="shared" si="47"/>
        <v>0</v>
      </c>
      <c r="AI5" s="131">
        <f t="shared" si="47"/>
        <v>35155.39749466951</v>
      </c>
      <c r="AJ5" s="131">
        <f t="shared" si="47"/>
        <v>0</v>
      </c>
      <c r="AK5" s="131">
        <f t="shared" si="47"/>
        <v>3194.6012793176974</v>
      </c>
      <c r="AL5" s="131">
        <f t="shared" si="47"/>
        <v>0</v>
      </c>
      <c r="AM5" s="131">
        <f t="shared" si="47"/>
        <v>0</v>
      </c>
      <c r="AN5" s="131">
        <f t="shared" si="47"/>
        <v>0</v>
      </c>
      <c r="AO5" s="131">
        <f t="shared" si="47"/>
        <v>0</v>
      </c>
      <c r="AP5" s="131">
        <f t="shared" si="47"/>
        <v>0</v>
      </c>
      <c r="AQ5" s="131">
        <f t="shared" si="47"/>
        <v>0</v>
      </c>
      <c r="AR5" s="131">
        <f t="shared" si="47"/>
        <v>0</v>
      </c>
      <c r="AS5" s="4">
        <f t="shared" si="4"/>
        <v>0</v>
      </c>
      <c r="AT5" s="131">
        <f t="shared" si="47"/>
        <v>0</v>
      </c>
      <c r="AU5" s="4">
        <f t="shared" si="5"/>
        <v>161572.98166311302</v>
      </c>
      <c r="AV5" s="131">
        <f t="shared" si="47"/>
        <v>0</v>
      </c>
      <c r="AW5" s="131">
        <f t="shared" si="47"/>
        <v>3557.42446695096</v>
      </c>
      <c r="AX5" s="4">
        <f t="shared" si="6"/>
        <v>4.547473508864641E-12</v>
      </c>
      <c r="AY5" s="131">
        <f t="shared" si="47"/>
        <v>0</v>
      </c>
      <c r="AZ5" s="131">
        <f t="shared" si="47"/>
        <v>0</v>
      </c>
      <c r="BA5" s="131">
        <f t="shared" si="47"/>
        <v>0</v>
      </c>
      <c r="BB5" s="131">
        <f t="shared" si="47"/>
        <v>0</v>
      </c>
      <c r="BC5" s="131">
        <f t="shared" si="47"/>
        <v>0</v>
      </c>
      <c r="BD5" s="131">
        <f t="shared" si="47"/>
        <v>0</v>
      </c>
      <c r="BE5" s="131">
        <f t="shared" si="47"/>
        <v>0</v>
      </c>
      <c r="BF5" s="43">
        <f t="shared" si="7"/>
        <v>0</v>
      </c>
      <c r="BG5" s="131">
        <f t="shared" si="47"/>
        <v>0</v>
      </c>
      <c r="BH5" s="131">
        <f t="shared" si="47"/>
        <v>0</v>
      </c>
      <c r="BI5" s="131">
        <f t="shared" si="47"/>
        <v>0</v>
      </c>
      <c r="BJ5" s="131">
        <f t="shared" si="47"/>
        <v>0</v>
      </c>
      <c r="BK5" s="131">
        <f t="shared" si="47"/>
        <v>0</v>
      </c>
      <c r="BL5" s="131">
        <f t="shared" si="47"/>
        <v>0</v>
      </c>
      <c r="BM5" s="131">
        <f t="shared" si="47"/>
        <v>0</v>
      </c>
      <c r="BN5" s="131">
        <f t="shared" si="47"/>
        <v>0</v>
      </c>
      <c r="BO5" s="43">
        <f t="shared" si="8"/>
        <v>0</v>
      </c>
      <c r="BP5" s="131">
        <f t="shared" si="47"/>
        <v>0</v>
      </c>
      <c r="BQ5" s="131">
        <f t="shared" si="47"/>
        <v>0</v>
      </c>
      <c r="BR5" s="131">
        <f t="shared" si="47"/>
        <v>0</v>
      </c>
      <c r="BS5" s="43">
        <f t="shared" si="9"/>
        <v>0</v>
      </c>
      <c r="BT5" s="131">
        <f t="shared" si="47"/>
        <v>243658.1924307036</v>
      </c>
      <c r="BU5" s="131">
        <f t="shared" si="47"/>
        <v>0</v>
      </c>
      <c r="BV5" s="131">
        <f aca="true" t="shared" si="48" ref="BV5:CA5">(BV42/($B$5+$B$28)*$B$5)</f>
        <v>0</v>
      </c>
      <c r="BW5" s="131">
        <f t="shared" si="48"/>
        <v>0</v>
      </c>
      <c r="BX5" s="4">
        <f t="shared" si="10"/>
        <v>243658.1924307036</v>
      </c>
      <c r="BY5" s="131">
        <f t="shared" si="48"/>
        <v>49278.92126865672</v>
      </c>
      <c r="BZ5" s="131">
        <f t="shared" si="48"/>
        <v>0</v>
      </c>
      <c r="CA5" s="131">
        <f t="shared" si="48"/>
        <v>194379.2711620469</v>
      </c>
      <c r="CB5" s="4">
        <f t="shared" si="11"/>
        <v>243658.1924307036</v>
      </c>
      <c r="CC5" s="4">
        <f t="shared" si="12"/>
        <v>0</v>
      </c>
      <c r="CD5" s="74">
        <f t="shared" si="13"/>
        <v>-3557.42446695096</v>
      </c>
      <c r="CE5" s="76">
        <f t="shared" si="14"/>
        <v>-3557.42446695096</v>
      </c>
      <c r="CF5" s="76">
        <f t="shared" si="15"/>
        <v>0</v>
      </c>
      <c r="CG5" s="76">
        <f t="shared" si="16"/>
        <v>161572.98166311302</v>
      </c>
      <c r="CH5" s="76">
        <f t="shared" si="17"/>
        <v>-33238.80948827293</v>
      </c>
      <c r="CI5" s="37">
        <f t="shared" si="18"/>
        <v>-33238.80948827293</v>
      </c>
      <c r="CJ5" s="59" t="str">
        <f t="shared" si="36"/>
        <v>-</v>
      </c>
      <c r="CK5" s="59" t="str">
        <f t="shared" si="37"/>
        <v>-</v>
      </c>
      <c r="CL5" s="141">
        <f t="shared" si="38"/>
        <v>-0.022017446421632243</v>
      </c>
      <c r="CM5" s="141">
        <f t="shared" si="39"/>
        <v>-0.022017446421632243</v>
      </c>
      <c r="CN5" s="141">
        <f t="shared" si="40"/>
        <v>-0.20572009717303694</v>
      </c>
      <c r="CO5" s="141">
        <f t="shared" si="41"/>
        <v>-0.20572009717303694</v>
      </c>
      <c r="CP5" s="141" t="str">
        <f t="shared" si="42"/>
        <v>-</v>
      </c>
      <c r="CQ5" s="141" t="str">
        <f t="shared" si="43"/>
        <v>-</v>
      </c>
      <c r="CR5" s="142">
        <f t="shared" si="44"/>
        <v>-54.640449282299954</v>
      </c>
      <c r="CS5" s="76">
        <f t="shared" si="45"/>
        <v>194379.27116204688</v>
      </c>
      <c r="CT5" s="80">
        <f t="shared" si="19"/>
        <v>165130.406130064</v>
      </c>
      <c r="CU5" s="80">
        <f t="shared" si="20"/>
        <v>161572.98166311302</v>
      </c>
      <c r="CV5" s="80">
        <f t="shared" si="21"/>
        <v>-3557.4244669509644</v>
      </c>
      <c r="CW5" s="80">
        <f t="shared" si="22"/>
        <v>0</v>
      </c>
      <c r="CX5" s="80">
        <f t="shared" si="23"/>
        <v>-3557.4244669509644</v>
      </c>
      <c r="CY5" s="80">
        <f t="shared" si="24"/>
        <v>-3557.4244669509644</v>
      </c>
      <c r="CZ5" s="80">
        <f t="shared" si="25"/>
        <v>0</v>
      </c>
      <c r="DA5" s="80">
        <f t="shared" si="26"/>
        <v>0</v>
      </c>
      <c r="DB5" s="80">
        <f t="shared" si="27"/>
        <v>-3557.4244669509644</v>
      </c>
      <c r="DC5" s="80">
        <f t="shared" si="46"/>
        <v>-3557.4244669509644</v>
      </c>
      <c r="DD5" s="80">
        <f t="shared" si="28"/>
        <v>0</v>
      </c>
      <c r="DE5" s="80">
        <f t="shared" si="29"/>
        <v>-3557.4244669509644</v>
      </c>
      <c r="DF5" s="80">
        <f t="shared" si="30"/>
        <v>74382.72697228145</v>
      </c>
      <c r="DG5" s="80">
        <f t="shared" si="31"/>
        <v>419.82563965884856</v>
      </c>
      <c r="DH5" s="80">
        <f t="shared" si="32"/>
        <v>-71.7900852878465</v>
      </c>
      <c r="DI5" s="80">
        <f t="shared" si="33"/>
        <v>160.65383795309168</v>
      </c>
      <c r="DJ5" s="81">
        <f t="shared" si="34"/>
        <v>0</v>
      </c>
      <c r="DK5" s="76">
        <f t="shared" si="35"/>
        <v>-7.6834221748400955</v>
      </c>
      <c r="DL5" s="145">
        <f aca="true" t="shared" si="49" ref="DL5:DL31">CA5-BW5-BU5</f>
        <v>194379.2711620469</v>
      </c>
      <c r="DM5" s="64"/>
      <c r="DN5" s="65"/>
    </row>
    <row r="6" spans="1:118" ht="12.75">
      <c r="A6" s="51" t="s">
        <v>1</v>
      </c>
      <c r="B6" s="46">
        <v>267</v>
      </c>
      <c r="C6" s="38">
        <v>693729</v>
      </c>
      <c r="D6" s="66">
        <v>2598.23</v>
      </c>
      <c r="E6" s="66">
        <v>75.35</v>
      </c>
      <c r="F6" s="126">
        <v>4</v>
      </c>
      <c r="G6" s="13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3">
        <f t="shared" si="0"/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0</v>
      </c>
      <c r="X6" s="42">
        <v>0</v>
      </c>
      <c r="Y6" s="43">
        <f t="shared" si="2"/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3">
        <f t="shared" si="3"/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0</v>
      </c>
      <c r="AT6" s="38">
        <v>0</v>
      </c>
      <c r="AU6" s="4">
        <f t="shared" si="5"/>
        <v>0</v>
      </c>
      <c r="AV6" s="38">
        <v>0</v>
      </c>
      <c r="AW6" s="38">
        <v>0</v>
      </c>
      <c r="AX6" s="4">
        <f t="shared" si="6"/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3">
        <f t="shared" si="7"/>
        <v>0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3">
        <f t="shared" si="8"/>
        <v>0</v>
      </c>
      <c r="BP6" s="42">
        <v>0</v>
      </c>
      <c r="BQ6" s="42">
        <v>0</v>
      </c>
      <c r="BR6" s="42">
        <v>0</v>
      </c>
      <c r="BS6" s="43">
        <f t="shared" si="9"/>
        <v>0</v>
      </c>
      <c r="BT6" s="38">
        <v>0</v>
      </c>
      <c r="BU6" s="38">
        <v>0</v>
      </c>
      <c r="BV6" s="38">
        <v>0</v>
      </c>
      <c r="BW6" s="38">
        <v>0</v>
      </c>
      <c r="BX6" s="4">
        <f t="shared" si="10"/>
        <v>0</v>
      </c>
      <c r="BY6" s="38">
        <v>0</v>
      </c>
      <c r="BZ6" s="38">
        <v>0</v>
      </c>
      <c r="CA6" s="38">
        <v>0</v>
      </c>
      <c r="CB6" s="4">
        <f t="shared" si="11"/>
        <v>0</v>
      </c>
      <c r="CC6" s="4">
        <f t="shared" si="12"/>
        <v>0</v>
      </c>
      <c r="CD6" s="74">
        <f t="shared" si="13"/>
        <v>0</v>
      </c>
      <c r="CE6" s="76">
        <f t="shared" si="14"/>
        <v>0</v>
      </c>
      <c r="CF6" s="76">
        <f t="shared" si="15"/>
        <v>0</v>
      </c>
      <c r="CG6" s="76">
        <f t="shared" si="16"/>
        <v>0</v>
      </c>
      <c r="CH6" s="76">
        <f t="shared" si="17"/>
        <v>0</v>
      </c>
      <c r="CI6" s="37">
        <f t="shared" si="18"/>
        <v>0</v>
      </c>
      <c r="CJ6" s="59" t="str">
        <f t="shared" si="36"/>
        <v>-</v>
      </c>
      <c r="CK6" s="59" t="str">
        <f t="shared" si="37"/>
        <v>-</v>
      </c>
      <c r="CL6" s="141" t="str">
        <f t="shared" si="38"/>
        <v>-</v>
      </c>
      <c r="CM6" s="141" t="str">
        <f t="shared" si="39"/>
        <v>-</v>
      </c>
      <c r="CN6" s="141" t="str">
        <f t="shared" si="40"/>
        <v>-</v>
      </c>
      <c r="CO6" s="141" t="str">
        <f t="shared" si="41"/>
        <v>-</v>
      </c>
      <c r="CP6" s="141" t="str">
        <f t="shared" si="42"/>
        <v>-</v>
      </c>
      <c r="CQ6" s="141" t="str">
        <f t="shared" si="43"/>
        <v>-</v>
      </c>
      <c r="CR6" s="142" t="str">
        <f t="shared" si="44"/>
        <v>-</v>
      </c>
      <c r="CS6" s="76">
        <f t="shared" si="45"/>
        <v>0</v>
      </c>
      <c r="CT6" s="80">
        <f t="shared" si="19"/>
        <v>0</v>
      </c>
      <c r="CU6" s="80">
        <f t="shared" si="20"/>
        <v>0</v>
      </c>
      <c r="CV6" s="80">
        <f t="shared" si="21"/>
        <v>0</v>
      </c>
      <c r="CW6" s="80">
        <f t="shared" si="22"/>
        <v>0</v>
      </c>
      <c r="CX6" s="80">
        <f t="shared" si="23"/>
        <v>0</v>
      </c>
      <c r="CY6" s="80">
        <f t="shared" si="24"/>
        <v>0</v>
      </c>
      <c r="CZ6" s="80">
        <f t="shared" si="25"/>
        <v>0</v>
      </c>
      <c r="DA6" s="80">
        <f t="shared" si="26"/>
        <v>0</v>
      </c>
      <c r="DB6" s="80">
        <f t="shared" si="27"/>
        <v>0</v>
      </c>
      <c r="DC6" s="80">
        <f t="shared" si="46"/>
        <v>0</v>
      </c>
      <c r="DD6" s="80">
        <f t="shared" si="28"/>
        <v>0</v>
      </c>
      <c r="DE6" s="80">
        <f t="shared" si="29"/>
        <v>0</v>
      </c>
      <c r="DF6" s="80">
        <f t="shared" si="30"/>
        <v>0</v>
      </c>
      <c r="DG6" s="80">
        <f t="shared" si="31"/>
        <v>0</v>
      </c>
      <c r="DH6" s="80">
        <f t="shared" si="32"/>
        <v>0</v>
      </c>
      <c r="DI6" s="80">
        <f t="shared" si="33"/>
        <v>0</v>
      </c>
      <c r="DJ6" s="81">
        <f t="shared" si="34"/>
        <v>0</v>
      </c>
      <c r="DK6" s="76">
        <f t="shared" si="35"/>
        <v>0</v>
      </c>
      <c r="DL6" s="145">
        <f t="shared" si="49"/>
        <v>0</v>
      </c>
      <c r="DM6" s="67"/>
      <c r="DN6" s="68"/>
    </row>
    <row r="7" spans="1:118" ht="12.75">
      <c r="A7" s="52" t="s">
        <v>2</v>
      </c>
      <c r="B7" s="41">
        <v>778</v>
      </c>
      <c r="C7" s="4">
        <v>2520132</v>
      </c>
      <c r="D7" s="69">
        <v>3239.24</v>
      </c>
      <c r="E7" s="69">
        <v>93.94</v>
      </c>
      <c r="F7" s="8">
        <v>4</v>
      </c>
      <c r="G7" s="131">
        <v>16308.3</v>
      </c>
      <c r="H7" s="43">
        <v>2971</v>
      </c>
      <c r="I7" s="43">
        <v>0</v>
      </c>
      <c r="J7" s="43">
        <v>0</v>
      </c>
      <c r="K7" s="43">
        <v>0</v>
      </c>
      <c r="L7" s="43">
        <v>0</v>
      </c>
      <c r="M7" s="43">
        <f t="shared" si="0"/>
        <v>0</v>
      </c>
      <c r="N7" s="43">
        <v>0</v>
      </c>
      <c r="O7" s="43">
        <v>2784.35</v>
      </c>
      <c r="P7" s="43">
        <v>168793.3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f t="shared" si="1"/>
        <v>0</v>
      </c>
      <c r="X7" s="43">
        <v>0</v>
      </c>
      <c r="Y7" s="43">
        <f t="shared" si="2"/>
        <v>190856.94999999998</v>
      </c>
      <c r="Z7" s="43">
        <v>122717.85</v>
      </c>
      <c r="AA7" s="43">
        <v>19365.2</v>
      </c>
      <c r="AB7" s="43">
        <v>0</v>
      </c>
      <c r="AC7" s="43">
        <v>26215.85</v>
      </c>
      <c r="AD7" s="43">
        <v>0</v>
      </c>
      <c r="AE7" s="43">
        <f t="shared" si="3"/>
        <v>168298.90000000002</v>
      </c>
      <c r="AF7" s="43">
        <v>0</v>
      </c>
      <c r="AG7" s="43">
        <v>4287.2</v>
      </c>
      <c r="AH7" s="43">
        <v>0</v>
      </c>
      <c r="AI7" s="43">
        <v>15404.5</v>
      </c>
      <c r="AJ7" s="43">
        <v>0</v>
      </c>
      <c r="AK7" s="43">
        <v>0</v>
      </c>
      <c r="AL7" s="43">
        <v>0</v>
      </c>
      <c r="AM7" s="43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187990.60000000003</v>
      </c>
      <c r="AV7" s="4">
        <v>0</v>
      </c>
      <c r="AW7" s="4">
        <v>2866.35</v>
      </c>
      <c r="AX7" s="4">
        <f t="shared" si="6"/>
        <v>-5.2295945351943374E-11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0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f t="shared" si="8"/>
        <v>0</v>
      </c>
      <c r="BP7" s="43">
        <v>0</v>
      </c>
      <c r="BQ7" s="43">
        <v>0</v>
      </c>
      <c r="BR7" s="43">
        <v>0</v>
      </c>
      <c r="BS7" s="43">
        <f t="shared" si="9"/>
        <v>0</v>
      </c>
      <c r="BT7" s="4">
        <v>343930.25</v>
      </c>
      <c r="BU7" s="4">
        <v>0</v>
      </c>
      <c r="BV7" s="4">
        <v>0</v>
      </c>
      <c r="BW7" s="4">
        <v>0</v>
      </c>
      <c r="BX7" s="4">
        <f t="shared" si="10"/>
        <v>343930.25</v>
      </c>
      <c r="BY7" s="4">
        <v>77961.35</v>
      </c>
      <c r="BZ7" s="4">
        <v>0</v>
      </c>
      <c r="CA7" s="4">
        <v>265968.9</v>
      </c>
      <c r="CB7" s="4">
        <f t="shared" si="11"/>
        <v>343930.25</v>
      </c>
      <c r="CC7" s="4">
        <f t="shared" si="12"/>
        <v>0</v>
      </c>
      <c r="CD7" s="74">
        <f t="shared" si="13"/>
        <v>-2866.35</v>
      </c>
      <c r="CE7" s="76">
        <f t="shared" si="14"/>
        <v>-2866.35</v>
      </c>
      <c r="CF7" s="76">
        <f t="shared" si="15"/>
        <v>0</v>
      </c>
      <c r="CG7" s="76">
        <f t="shared" si="16"/>
        <v>187990.60000000003</v>
      </c>
      <c r="CH7" s="76">
        <f t="shared" si="17"/>
        <v>-4287.2</v>
      </c>
      <c r="CI7" s="37">
        <f t="shared" si="18"/>
        <v>-4287.2</v>
      </c>
      <c r="CJ7" s="59" t="str">
        <f t="shared" si="36"/>
        <v>-</v>
      </c>
      <c r="CK7" s="59" t="str">
        <f t="shared" si="37"/>
        <v>-</v>
      </c>
      <c r="CL7" s="141">
        <f t="shared" si="38"/>
        <v>-0.015247304918437407</v>
      </c>
      <c r="CM7" s="141">
        <f t="shared" si="39"/>
        <v>-0.015247304918437407</v>
      </c>
      <c r="CN7" s="141">
        <f t="shared" si="40"/>
        <v>-0.022805395588928377</v>
      </c>
      <c r="CO7" s="141">
        <f t="shared" si="41"/>
        <v>-0.022805395588928377</v>
      </c>
      <c r="CP7" s="141" t="str">
        <f t="shared" si="42"/>
        <v>-</v>
      </c>
      <c r="CQ7" s="141" t="str">
        <f t="shared" si="43"/>
        <v>-</v>
      </c>
      <c r="CR7" s="142">
        <f t="shared" si="44"/>
        <v>-92.79009890627454</v>
      </c>
      <c r="CS7" s="76">
        <f t="shared" si="45"/>
        <v>265968.9</v>
      </c>
      <c r="CT7" s="80">
        <f t="shared" si="19"/>
        <v>190856.94999999998</v>
      </c>
      <c r="CU7" s="80">
        <f t="shared" si="20"/>
        <v>187990.60000000003</v>
      </c>
      <c r="CV7" s="80">
        <f t="shared" si="21"/>
        <v>-2866.3499999999476</v>
      </c>
      <c r="CW7" s="80">
        <f t="shared" si="22"/>
        <v>0</v>
      </c>
      <c r="CX7" s="80">
        <f t="shared" si="23"/>
        <v>-2866.3499999999476</v>
      </c>
      <c r="CY7" s="80">
        <f t="shared" si="24"/>
        <v>-2866.3499999999476</v>
      </c>
      <c r="CZ7" s="80">
        <f t="shared" si="25"/>
        <v>0</v>
      </c>
      <c r="DA7" s="80">
        <f t="shared" si="26"/>
        <v>0</v>
      </c>
      <c r="DB7" s="80">
        <f t="shared" si="27"/>
        <v>-2866.3499999999476</v>
      </c>
      <c r="DC7" s="80">
        <f t="shared" si="46"/>
        <v>-2866.3499999999476</v>
      </c>
      <c r="DD7" s="80">
        <f t="shared" si="28"/>
        <v>0</v>
      </c>
      <c r="DE7" s="80">
        <f t="shared" si="29"/>
        <v>-2866.3499999999476</v>
      </c>
      <c r="DF7" s="80">
        <f t="shared" si="30"/>
        <v>142083.05000000002</v>
      </c>
      <c r="DG7" s="80">
        <f t="shared" si="31"/>
        <v>341.8623393316196</v>
      </c>
      <c r="DH7" s="80">
        <f t="shared" si="32"/>
        <v>-5.5105398457583545</v>
      </c>
      <c r="DI7" s="80">
        <f t="shared" si="33"/>
        <v>182.626028277635</v>
      </c>
      <c r="DJ7" s="81">
        <f t="shared" si="34"/>
        <v>0</v>
      </c>
      <c r="DK7" s="76">
        <f t="shared" si="35"/>
        <v>-3.6842544987145858</v>
      </c>
      <c r="DL7" s="145">
        <f t="shared" si="49"/>
        <v>265968.9</v>
      </c>
      <c r="DM7" s="64"/>
      <c r="DN7" s="65"/>
    </row>
    <row r="8" spans="1:118" ht="12.75">
      <c r="A8" s="51" t="s">
        <v>3</v>
      </c>
      <c r="B8" s="46">
        <v>683</v>
      </c>
      <c r="C8" s="38">
        <v>1784997</v>
      </c>
      <c r="D8" s="66">
        <v>2613.47</v>
      </c>
      <c r="E8" s="66">
        <v>75.8</v>
      </c>
      <c r="F8" s="126">
        <v>4</v>
      </c>
      <c r="G8" s="132">
        <f>440+6405+2340+223.15+137.2+6650+580.2+670+2427</f>
        <v>19872.55</v>
      </c>
      <c r="H8" s="42">
        <f>1347.1+410+292.8+290.45+300+250+701</f>
        <v>3591.35</v>
      </c>
      <c r="I8" s="42">
        <v>0</v>
      </c>
      <c r="J8" s="42">
        <v>0</v>
      </c>
      <c r="K8" s="42">
        <v>0</v>
      </c>
      <c r="L8" s="42">
        <v>0</v>
      </c>
      <c r="M8" s="43">
        <f t="shared" si="0"/>
        <v>0</v>
      </c>
      <c r="N8" s="42">
        <v>0</v>
      </c>
      <c r="O8" s="42">
        <v>0</v>
      </c>
      <c r="P8" s="42">
        <f>4909.35+13110+920.85+710+51478.55+150+350+556+1042.5+574.95+12055.8+1416.2+11318.65+24945</f>
        <v>123537.84999999999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0</v>
      </c>
      <c r="X8" s="42">
        <v>0</v>
      </c>
      <c r="Y8" s="43">
        <f t="shared" si="2"/>
        <v>147001.75</v>
      </c>
      <c r="Z8" s="42">
        <f>39254.9+65331.9+3429.4</f>
        <v>108016.2</v>
      </c>
      <c r="AA8" s="42">
        <f>7915.2+8287.5</f>
        <v>16202.7</v>
      </c>
      <c r="AB8" s="42">
        <v>0</v>
      </c>
      <c r="AC8" s="42">
        <f>23014.7</f>
        <v>23014.7</v>
      </c>
      <c r="AD8" s="42">
        <v>0</v>
      </c>
      <c r="AE8" s="43">
        <f t="shared" si="3"/>
        <v>147233.6</v>
      </c>
      <c r="AF8" s="42">
        <v>0</v>
      </c>
      <c r="AG8" s="42">
        <f>2167.55+3866.95+1575</f>
        <v>7609.5</v>
      </c>
      <c r="AH8" s="42">
        <v>0</v>
      </c>
      <c r="AI8" s="42">
        <f>10586+8638.9+7471.97+17160+10474.9</f>
        <v>54331.770000000004</v>
      </c>
      <c r="AJ8" s="42">
        <v>0</v>
      </c>
      <c r="AK8" s="42">
        <f>2427</f>
        <v>2427</v>
      </c>
      <c r="AL8" s="42">
        <v>0</v>
      </c>
      <c r="AM8" s="42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0</v>
      </c>
      <c r="AT8" s="38">
        <v>0</v>
      </c>
      <c r="AU8" s="4">
        <f t="shared" si="5"/>
        <v>211601.87000000002</v>
      </c>
      <c r="AV8" s="38">
        <f>64600.12</f>
        <v>64600.12</v>
      </c>
      <c r="AW8" s="38">
        <v>0</v>
      </c>
      <c r="AX8" s="4">
        <f t="shared" si="6"/>
        <v>-2.1827872842550278E-11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3">
        <f t="shared" si="7"/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f t="shared" si="8"/>
        <v>0</v>
      </c>
      <c r="BP8" s="42">
        <v>0</v>
      </c>
      <c r="BQ8" s="42">
        <v>0</v>
      </c>
      <c r="BR8" s="42">
        <v>0</v>
      </c>
      <c r="BS8" s="43">
        <f t="shared" si="9"/>
        <v>0</v>
      </c>
      <c r="BT8" s="38">
        <f>402240.27</f>
        <v>402240.27</v>
      </c>
      <c r="BU8" s="38">
        <v>0</v>
      </c>
      <c r="BV8" s="38">
        <v>0</v>
      </c>
      <c r="BW8" s="38">
        <v>0</v>
      </c>
      <c r="BX8" s="4">
        <f t="shared" si="10"/>
        <v>402240.27</v>
      </c>
      <c r="BY8" s="38">
        <v>65163.5</v>
      </c>
      <c r="BZ8" s="38">
        <v>0</v>
      </c>
      <c r="CA8" s="38">
        <f>272476.65+64600.12</f>
        <v>337076.77</v>
      </c>
      <c r="CB8" s="4">
        <f t="shared" si="11"/>
        <v>402240.27</v>
      </c>
      <c r="CC8" s="4">
        <f t="shared" si="12"/>
        <v>0</v>
      </c>
      <c r="CD8" s="74">
        <f t="shared" si="13"/>
        <v>64600.12</v>
      </c>
      <c r="CE8" s="76">
        <f t="shared" si="14"/>
        <v>64600.12</v>
      </c>
      <c r="CF8" s="76">
        <f t="shared" si="15"/>
        <v>0</v>
      </c>
      <c r="CG8" s="76">
        <f t="shared" si="16"/>
        <v>211601.87000000002</v>
      </c>
      <c r="CH8" s="76">
        <f t="shared" si="17"/>
        <v>-7609.5</v>
      </c>
      <c r="CI8" s="37">
        <f t="shared" si="18"/>
        <v>-7609.5</v>
      </c>
      <c r="CJ8" s="59" t="str">
        <f t="shared" si="36"/>
        <v>-</v>
      </c>
      <c r="CK8" s="59" t="str">
        <f t="shared" si="37"/>
        <v>-</v>
      </c>
      <c r="CL8" s="141">
        <f t="shared" si="38"/>
        <v>0.30529087479236355</v>
      </c>
      <c r="CM8" s="141">
        <f t="shared" si="39"/>
        <v>0.30529087479236355</v>
      </c>
      <c r="CN8" s="141">
        <f t="shared" si="40"/>
        <v>-0.03596140242049845</v>
      </c>
      <c r="CO8" s="141">
        <f t="shared" si="41"/>
        <v>-0.03596140242049845</v>
      </c>
      <c r="CP8" s="141" t="str">
        <f t="shared" si="42"/>
        <v>-</v>
      </c>
      <c r="CQ8" s="141" t="str">
        <f t="shared" si="43"/>
        <v>-</v>
      </c>
      <c r="CR8" s="142">
        <f t="shared" si="44"/>
        <v>5.217896963658891</v>
      </c>
      <c r="CS8" s="76">
        <f t="shared" si="45"/>
        <v>337076.77</v>
      </c>
      <c r="CT8" s="80">
        <f t="shared" si="19"/>
        <v>147001.75</v>
      </c>
      <c r="CU8" s="80">
        <f t="shared" si="20"/>
        <v>211601.87000000002</v>
      </c>
      <c r="CV8" s="80">
        <f t="shared" si="21"/>
        <v>64600.120000000024</v>
      </c>
      <c r="CW8" s="80">
        <f t="shared" si="22"/>
        <v>0</v>
      </c>
      <c r="CX8" s="80">
        <f t="shared" si="23"/>
        <v>64600.120000000024</v>
      </c>
      <c r="CY8" s="80">
        <f t="shared" si="24"/>
        <v>64600.120000000024</v>
      </c>
      <c r="CZ8" s="80">
        <f t="shared" si="25"/>
        <v>0</v>
      </c>
      <c r="DA8" s="80">
        <f t="shared" si="26"/>
        <v>0</v>
      </c>
      <c r="DB8" s="80">
        <f t="shared" si="27"/>
        <v>64600.120000000024</v>
      </c>
      <c r="DC8" s="80">
        <f t="shared" si="46"/>
        <v>64600.120000000024</v>
      </c>
      <c r="DD8" s="80">
        <f t="shared" si="28"/>
        <v>0</v>
      </c>
      <c r="DE8" s="80">
        <f t="shared" si="29"/>
        <v>64600.120000000024</v>
      </c>
      <c r="DF8" s="80">
        <f t="shared" si="30"/>
        <v>124218.9</v>
      </c>
      <c r="DG8" s="80">
        <f t="shared" si="31"/>
        <v>493.52382137628115</v>
      </c>
      <c r="DH8" s="80">
        <f t="shared" si="32"/>
        <v>-11.141288433382138</v>
      </c>
      <c r="DI8" s="80">
        <f t="shared" si="33"/>
        <v>181.87247437774522</v>
      </c>
      <c r="DJ8" s="81">
        <f t="shared" si="34"/>
        <v>0</v>
      </c>
      <c r="DK8" s="76">
        <f t="shared" si="35"/>
        <v>94.58289897510984</v>
      </c>
      <c r="DL8" s="145">
        <f t="shared" si="49"/>
        <v>337076.77</v>
      </c>
      <c r="DM8" s="67"/>
      <c r="DN8" s="68"/>
    </row>
    <row r="9" spans="1:118" ht="12.75">
      <c r="A9" s="52" t="s">
        <v>4</v>
      </c>
      <c r="B9" s="41">
        <v>2817</v>
      </c>
      <c r="C9" s="4">
        <v>10355660</v>
      </c>
      <c r="D9" s="69">
        <v>3676.13</v>
      </c>
      <c r="E9" s="69">
        <v>106.61</v>
      </c>
      <c r="F9" s="8">
        <v>0</v>
      </c>
      <c r="G9" s="131">
        <v>34882.65</v>
      </c>
      <c r="H9" s="43">
        <v>16085.45</v>
      </c>
      <c r="I9" s="43">
        <v>22.1</v>
      </c>
      <c r="J9" s="43">
        <v>0</v>
      </c>
      <c r="K9" s="43">
        <v>0</v>
      </c>
      <c r="L9" s="43">
        <v>0</v>
      </c>
      <c r="M9" s="43">
        <f t="shared" si="0"/>
        <v>0</v>
      </c>
      <c r="N9" s="43">
        <v>0</v>
      </c>
      <c r="O9" s="43">
        <v>18085.8</v>
      </c>
      <c r="P9" s="43">
        <v>828979.7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f t="shared" si="1"/>
        <v>0</v>
      </c>
      <c r="X9" s="43">
        <v>0</v>
      </c>
      <c r="Y9" s="43">
        <f t="shared" si="2"/>
        <v>898055.7</v>
      </c>
      <c r="Z9" s="43">
        <v>430517.15</v>
      </c>
      <c r="AA9" s="43">
        <v>36915.85</v>
      </c>
      <c r="AB9" s="43">
        <v>0</v>
      </c>
      <c r="AC9" s="43">
        <v>94922.9</v>
      </c>
      <c r="AD9" s="43">
        <v>0</v>
      </c>
      <c r="AE9" s="43">
        <f t="shared" si="3"/>
        <v>562355.9</v>
      </c>
      <c r="AF9" s="43">
        <v>0</v>
      </c>
      <c r="AG9" s="43">
        <v>15920.7</v>
      </c>
      <c r="AH9" s="43">
        <v>0</v>
      </c>
      <c r="AI9" s="43">
        <v>326627.1</v>
      </c>
      <c r="AJ9" s="43">
        <v>0</v>
      </c>
      <c r="AK9" s="43">
        <v>20998</v>
      </c>
      <c r="AL9" s="43">
        <v>0</v>
      </c>
      <c r="AM9" s="43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925901.7000000001</v>
      </c>
      <c r="AV9" s="4">
        <v>27846</v>
      </c>
      <c r="AW9" s="4">
        <v>0</v>
      </c>
      <c r="AX9" s="4">
        <f t="shared" si="6"/>
        <v>-1.1641532182693481E-10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f t="shared" si="7"/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f t="shared" si="8"/>
        <v>0</v>
      </c>
      <c r="BP9" s="43">
        <v>0</v>
      </c>
      <c r="BQ9" s="43">
        <v>0</v>
      </c>
      <c r="BR9" s="43">
        <v>0</v>
      </c>
      <c r="BS9" s="43">
        <f t="shared" si="9"/>
        <v>0</v>
      </c>
      <c r="BT9" s="4">
        <v>847053.9</v>
      </c>
      <c r="BU9" s="4">
        <v>1</v>
      </c>
      <c r="BV9" s="4">
        <v>0</v>
      </c>
      <c r="BW9" s="4">
        <v>0</v>
      </c>
      <c r="BX9" s="4">
        <f t="shared" si="10"/>
        <v>847054.9</v>
      </c>
      <c r="BY9" s="4">
        <v>38086.8</v>
      </c>
      <c r="BZ9" s="4">
        <v>0</v>
      </c>
      <c r="CA9" s="4">
        <v>808968.1</v>
      </c>
      <c r="CB9" s="4">
        <f t="shared" si="11"/>
        <v>847054.9</v>
      </c>
      <c r="CC9" s="4">
        <f t="shared" si="12"/>
        <v>0</v>
      </c>
      <c r="CD9" s="74">
        <f t="shared" si="13"/>
        <v>27846</v>
      </c>
      <c r="CE9" s="76">
        <f t="shared" si="14"/>
        <v>27846</v>
      </c>
      <c r="CF9" s="76">
        <f t="shared" si="15"/>
        <v>0</v>
      </c>
      <c r="CG9" s="76">
        <f t="shared" si="16"/>
        <v>925901.7000000001</v>
      </c>
      <c r="CH9" s="76">
        <f t="shared" si="17"/>
        <v>-15898.6</v>
      </c>
      <c r="CI9" s="37">
        <f t="shared" si="18"/>
        <v>-15898.6</v>
      </c>
      <c r="CJ9" s="59" t="str">
        <f t="shared" si="36"/>
        <v>-</v>
      </c>
      <c r="CK9" s="59" t="str">
        <f t="shared" si="37"/>
        <v>-</v>
      </c>
      <c r="CL9" s="141">
        <f t="shared" si="38"/>
        <v>0.030074466868351142</v>
      </c>
      <c r="CM9" s="141">
        <f t="shared" si="39"/>
        <v>0.030074466868351142</v>
      </c>
      <c r="CN9" s="141">
        <f t="shared" si="40"/>
        <v>-0.01717093726040248</v>
      </c>
      <c r="CO9" s="141">
        <f t="shared" si="41"/>
        <v>-0.01717093726040248</v>
      </c>
      <c r="CP9" s="141">
        <f t="shared" si="42"/>
        <v>0</v>
      </c>
      <c r="CQ9" s="141">
        <f t="shared" si="43"/>
        <v>0</v>
      </c>
      <c r="CR9" s="142">
        <f t="shared" si="44"/>
        <v>29.051465201465202</v>
      </c>
      <c r="CS9" s="76">
        <f t="shared" si="45"/>
        <v>808967.1</v>
      </c>
      <c r="CT9" s="80">
        <f t="shared" si="19"/>
        <v>898055.7</v>
      </c>
      <c r="CU9" s="80">
        <f t="shared" si="20"/>
        <v>925901.7000000001</v>
      </c>
      <c r="CV9" s="80">
        <f t="shared" si="21"/>
        <v>27846.000000000116</v>
      </c>
      <c r="CW9" s="80">
        <f t="shared" si="22"/>
        <v>0</v>
      </c>
      <c r="CX9" s="80">
        <f t="shared" si="23"/>
        <v>27846.000000000116</v>
      </c>
      <c r="CY9" s="80">
        <f t="shared" si="24"/>
        <v>27846.000000000116</v>
      </c>
      <c r="CZ9" s="80">
        <f t="shared" si="25"/>
        <v>0</v>
      </c>
      <c r="DA9" s="80">
        <f t="shared" si="26"/>
        <v>0</v>
      </c>
      <c r="DB9" s="80">
        <f t="shared" si="27"/>
        <v>27846.000000000116</v>
      </c>
      <c r="DC9" s="80">
        <f t="shared" si="46"/>
        <v>27846.000000000116</v>
      </c>
      <c r="DD9" s="80">
        <f t="shared" si="28"/>
        <v>0</v>
      </c>
      <c r="DE9" s="80">
        <f t="shared" si="29"/>
        <v>27846.000000000116</v>
      </c>
      <c r="DF9" s="80">
        <f t="shared" si="30"/>
        <v>467433</v>
      </c>
      <c r="DG9" s="80">
        <f t="shared" si="31"/>
        <v>287.17326943556975</v>
      </c>
      <c r="DH9" s="80">
        <f t="shared" si="32"/>
        <v>-5.6438054668086615</v>
      </c>
      <c r="DI9" s="80">
        <f t="shared" si="33"/>
        <v>165.93290734824282</v>
      </c>
      <c r="DJ9" s="81">
        <f t="shared" si="34"/>
        <v>0</v>
      </c>
      <c r="DK9" s="76">
        <f t="shared" si="35"/>
        <v>9.884984025559147</v>
      </c>
      <c r="DL9" s="145">
        <f t="shared" si="49"/>
        <v>808967.1</v>
      </c>
      <c r="DM9" s="64"/>
      <c r="DN9" s="65"/>
    </row>
    <row r="10" spans="1:118" ht="12.75">
      <c r="A10" s="51" t="s">
        <v>5</v>
      </c>
      <c r="B10" s="46">
        <v>532</v>
      </c>
      <c r="C10" s="38">
        <v>1085712</v>
      </c>
      <c r="D10" s="66">
        <v>2040.81</v>
      </c>
      <c r="E10" s="66">
        <v>59.19</v>
      </c>
      <c r="F10" s="126">
        <v>2</v>
      </c>
      <c r="G10" s="132">
        <v>6651</v>
      </c>
      <c r="H10" s="42">
        <v>8547.28</v>
      </c>
      <c r="I10" s="42">
        <v>892.95</v>
      </c>
      <c r="J10" s="42">
        <v>0</v>
      </c>
      <c r="K10" s="42">
        <v>0</v>
      </c>
      <c r="L10" s="42">
        <v>0</v>
      </c>
      <c r="M10" s="43">
        <f t="shared" si="0"/>
        <v>0</v>
      </c>
      <c r="N10" s="42">
        <v>0</v>
      </c>
      <c r="O10" s="42">
        <v>882.3</v>
      </c>
      <c r="P10" s="42">
        <v>210805.65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3">
        <f t="shared" si="1"/>
        <v>0</v>
      </c>
      <c r="X10" s="42">
        <v>0</v>
      </c>
      <c r="Y10" s="43">
        <f t="shared" si="2"/>
        <v>227779.18</v>
      </c>
      <c r="Z10" s="42">
        <v>38189.6</v>
      </c>
      <c r="AA10" s="42">
        <v>5876.4</v>
      </c>
      <c r="AB10" s="42">
        <v>0</v>
      </c>
      <c r="AC10" s="42">
        <v>17926.5</v>
      </c>
      <c r="AD10" s="42">
        <v>0</v>
      </c>
      <c r="AE10" s="43">
        <f t="shared" si="3"/>
        <v>61992.5</v>
      </c>
      <c r="AF10" s="42">
        <v>0</v>
      </c>
      <c r="AG10" s="42">
        <v>21312.95</v>
      </c>
      <c r="AH10" s="42">
        <v>0</v>
      </c>
      <c r="AI10" s="42">
        <v>117471.15</v>
      </c>
      <c r="AJ10" s="42">
        <v>1095</v>
      </c>
      <c r="AK10" s="42">
        <v>0</v>
      </c>
      <c r="AL10" s="42">
        <v>0</v>
      </c>
      <c r="AM10" s="42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4">
        <f t="shared" si="4"/>
        <v>0</v>
      </c>
      <c r="AT10" s="38">
        <v>0</v>
      </c>
      <c r="AU10" s="4">
        <f t="shared" si="5"/>
        <v>201871.59999999998</v>
      </c>
      <c r="AV10" s="38">
        <v>0</v>
      </c>
      <c r="AW10" s="38">
        <v>25907.58</v>
      </c>
      <c r="AX10" s="4">
        <f t="shared" si="6"/>
        <v>0</v>
      </c>
      <c r="AY10" s="42">
        <v>1148.85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3">
        <f t="shared" si="7"/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8"/>
        <v>0</v>
      </c>
      <c r="BP10" s="42">
        <v>0</v>
      </c>
      <c r="BQ10" s="42">
        <v>0</v>
      </c>
      <c r="BR10" s="42">
        <v>0</v>
      </c>
      <c r="BS10" s="43">
        <f t="shared" si="9"/>
        <v>0</v>
      </c>
      <c r="BT10" s="38">
        <v>352507.32</v>
      </c>
      <c r="BU10" s="38">
        <v>0</v>
      </c>
      <c r="BV10" s="38">
        <v>0</v>
      </c>
      <c r="BW10" s="38">
        <v>0</v>
      </c>
      <c r="BX10" s="4">
        <f t="shared" si="10"/>
        <v>352507.32</v>
      </c>
      <c r="BY10" s="38">
        <v>89571.5</v>
      </c>
      <c r="BZ10" s="38">
        <v>0</v>
      </c>
      <c r="CA10" s="38">
        <v>262935.82</v>
      </c>
      <c r="CB10" s="4">
        <f t="shared" si="11"/>
        <v>352507.32</v>
      </c>
      <c r="CC10" s="4">
        <f t="shared" si="12"/>
        <v>0</v>
      </c>
      <c r="CD10" s="74">
        <f t="shared" si="13"/>
        <v>-25907.58</v>
      </c>
      <c r="CE10" s="76">
        <f t="shared" si="14"/>
        <v>-25907.58</v>
      </c>
      <c r="CF10" s="76">
        <f t="shared" si="15"/>
        <v>0</v>
      </c>
      <c r="CG10" s="76">
        <f t="shared" si="16"/>
        <v>201871.59999999998</v>
      </c>
      <c r="CH10" s="76">
        <f t="shared" si="17"/>
        <v>-19271.15</v>
      </c>
      <c r="CI10" s="37">
        <f t="shared" si="18"/>
        <v>-19271.15</v>
      </c>
      <c r="CJ10" s="59" t="str">
        <f t="shared" si="36"/>
        <v>-</v>
      </c>
      <c r="CK10" s="59" t="str">
        <f t="shared" si="37"/>
        <v>-</v>
      </c>
      <c r="CL10" s="141">
        <f t="shared" si="38"/>
        <v>-0.1283369230738747</v>
      </c>
      <c r="CM10" s="141">
        <f t="shared" si="39"/>
        <v>-0.1283369230738747</v>
      </c>
      <c r="CN10" s="141">
        <f t="shared" si="40"/>
        <v>-0.09546241274156446</v>
      </c>
      <c r="CO10" s="141">
        <f t="shared" si="41"/>
        <v>-0.09546241274156446</v>
      </c>
      <c r="CP10" s="141" t="str">
        <f t="shared" si="42"/>
        <v>-</v>
      </c>
      <c r="CQ10" s="141" t="str">
        <f t="shared" si="43"/>
        <v>-</v>
      </c>
      <c r="CR10" s="142">
        <f t="shared" si="44"/>
        <v>-10.14899191665142</v>
      </c>
      <c r="CS10" s="76">
        <f t="shared" si="45"/>
        <v>262935.82</v>
      </c>
      <c r="CT10" s="80">
        <f t="shared" si="19"/>
        <v>227779.18</v>
      </c>
      <c r="CU10" s="80">
        <f t="shared" si="20"/>
        <v>201871.59999999998</v>
      </c>
      <c r="CV10" s="80">
        <f t="shared" si="21"/>
        <v>-25907.580000000016</v>
      </c>
      <c r="CW10" s="80">
        <f t="shared" si="22"/>
        <v>0</v>
      </c>
      <c r="CX10" s="80">
        <f t="shared" si="23"/>
        <v>-25907.580000000016</v>
      </c>
      <c r="CY10" s="80">
        <f t="shared" si="24"/>
        <v>-25907.580000000016</v>
      </c>
      <c r="CZ10" s="80">
        <f t="shared" si="25"/>
        <v>0</v>
      </c>
      <c r="DA10" s="80">
        <f t="shared" si="26"/>
        <v>0</v>
      </c>
      <c r="DB10" s="80">
        <f t="shared" si="27"/>
        <v>-25907.580000000016</v>
      </c>
      <c r="DC10" s="80">
        <f t="shared" si="46"/>
        <v>-25907.580000000016</v>
      </c>
      <c r="DD10" s="80">
        <f t="shared" si="28"/>
        <v>0</v>
      </c>
      <c r="DE10" s="80">
        <f t="shared" si="29"/>
        <v>-25907.580000000016</v>
      </c>
      <c r="DF10" s="80">
        <f t="shared" si="30"/>
        <v>44066</v>
      </c>
      <c r="DG10" s="80">
        <f t="shared" si="31"/>
        <v>494.24026315789473</v>
      </c>
      <c r="DH10" s="80">
        <f t="shared" si="32"/>
        <v>-36.223966165413536</v>
      </c>
      <c r="DI10" s="80">
        <f t="shared" si="33"/>
        <v>82.83082706766918</v>
      </c>
      <c r="DJ10" s="81">
        <f t="shared" si="34"/>
        <v>0</v>
      </c>
      <c r="DK10" s="76">
        <f t="shared" si="35"/>
        <v>-48.69845864661657</v>
      </c>
      <c r="DL10" s="145">
        <f t="shared" si="49"/>
        <v>262935.82</v>
      </c>
      <c r="DM10" s="67"/>
      <c r="DN10" s="68"/>
    </row>
    <row r="11" spans="1:118" ht="12.75">
      <c r="A11" s="52" t="s">
        <v>6</v>
      </c>
      <c r="B11" s="41">
        <v>5636</v>
      </c>
      <c r="C11" s="4">
        <v>22193324</v>
      </c>
      <c r="D11" s="69">
        <v>3937.78</v>
      </c>
      <c r="E11" s="69">
        <v>114.2</v>
      </c>
      <c r="F11" s="8">
        <v>2</v>
      </c>
      <c r="G11" s="131">
        <f>(G40/($B$11+$B$27)*$B$11)</f>
        <v>229172.27040358743</v>
      </c>
      <c r="H11" s="131">
        <f aca="true" t="shared" si="50" ref="H11:AD11">(H40/($B$11+$B$27)*$B$11)</f>
        <v>40403.50374759769</v>
      </c>
      <c r="I11" s="131">
        <f t="shared" si="50"/>
        <v>0</v>
      </c>
      <c r="J11" s="131">
        <f t="shared" si="50"/>
        <v>51713.00787956437</v>
      </c>
      <c r="K11" s="131">
        <f t="shared" si="50"/>
        <v>1624.727738629084</v>
      </c>
      <c r="L11" s="131">
        <f t="shared" si="50"/>
        <v>0</v>
      </c>
      <c r="M11" s="43">
        <f t="shared" si="0"/>
        <v>1624.727738629084</v>
      </c>
      <c r="N11" s="131">
        <f t="shared" si="50"/>
        <v>0</v>
      </c>
      <c r="O11" s="131">
        <f t="shared" si="50"/>
        <v>20414.25272261371</v>
      </c>
      <c r="P11" s="131">
        <f t="shared" si="50"/>
        <v>2375139.159673286</v>
      </c>
      <c r="Q11" s="131">
        <f t="shared" si="50"/>
        <v>0</v>
      </c>
      <c r="R11" s="131">
        <f t="shared" si="50"/>
        <v>0</v>
      </c>
      <c r="S11" s="131">
        <f t="shared" si="50"/>
        <v>0</v>
      </c>
      <c r="T11" s="131">
        <f t="shared" si="50"/>
        <v>0</v>
      </c>
      <c r="U11" s="131">
        <f t="shared" si="50"/>
        <v>0</v>
      </c>
      <c r="V11" s="131">
        <f t="shared" si="50"/>
        <v>0</v>
      </c>
      <c r="W11" s="43">
        <f t="shared" si="1"/>
        <v>0</v>
      </c>
      <c r="X11" s="131">
        <f t="shared" si="50"/>
        <v>0</v>
      </c>
      <c r="Y11" s="43">
        <f t="shared" si="2"/>
        <v>2718466.9221652783</v>
      </c>
      <c r="Z11" s="131">
        <f t="shared" si="50"/>
        <v>1137670.0163356822</v>
      </c>
      <c r="AA11" s="131">
        <f t="shared" si="50"/>
        <v>100631.43891736068</v>
      </c>
      <c r="AB11" s="131">
        <f t="shared" si="50"/>
        <v>189913.25195387573</v>
      </c>
      <c r="AC11" s="131">
        <f t="shared" si="50"/>
        <v>0</v>
      </c>
      <c r="AD11" s="131">
        <f t="shared" si="50"/>
        <v>0</v>
      </c>
      <c r="AE11" s="43">
        <f t="shared" si="3"/>
        <v>1428214.7072069186</v>
      </c>
      <c r="AF11" s="131">
        <f>(AF40/($B$11+$B$27)*$B$11)</f>
        <v>0</v>
      </c>
      <c r="AG11" s="131">
        <f aca="true" t="shared" si="51" ref="AG11:CA11">(AG40/($B$11+$B$27)*$B$11)</f>
        <v>62196.07619474696</v>
      </c>
      <c r="AH11" s="131">
        <f t="shared" si="51"/>
        <v>0</v>
      </c>
      <c r="AI11" s="131">
        <f t="shared" si="51"/>
        <v>1032207.2689622038</v>
      </c>
      <c r="AJ11" s="131">
        <f t="shared" si="51"/>
        <v>0</v>
      </c>
      <c r="AK11" s="131">
        <f t="shared" si="51"/>
        <v>30463.645099295325</v>
      </c>
      <c r="AL11" s="131">
        <f t="shared" si="51"/>
        <v>0</v>
      </c>
      <c r="AM11" s="131">
        <f t="shared" si="51"/>
        <v>0</v>
      </c>
      <c r="AN11" s="131">
        <f t="shared" si="51"/>
        <v>0</v>
      </c>
      <c r="AO11" s="131">
        <f t="shared" si="51"/>
        <v>0</v>
      </c>
      <c r="AP11" s="131">
        <f t="shared" si="51"/>
        <v>0</v>
      </c>
      <c r="AQ11" s="131">
        <f t="shared" si="51"/>
        <v>0</v>
      </c>
      <c r="AR11" s="131">
        <f t="shared" si="51"/>
        <v>0</v>
      </c>
      <c r="AS11" s="4">
        <f t="shared" si="4"/>
        <v>0</v>
      </c>
      <c r="AT11" s="131">
        <f t="shared" si="51"/>
        <v>0</v>
      </c>
      <c r="AU11" s="4">
        <f t="shared" si="5"/>
        <v>2553081.697463164</v>
      </c>
      <c r="AV11" s="131">
        <f t="shared" si="51"/>
        <v>0</v>
      </c>
      <c r="AW11" s="131">
        <f t="shared" si="51"/>
        <v>165385.22470211404</v>
      </c>
      <c r="AX11" s="4">
        <f t="shared" si="6"/>
        <v>0</v>
      </c>
      <c r="AY11" s="131">
        <f t="shared" si="51"/>
        <v>0</v>
      </c>
      <c r="AZ11" s="131">
        <f t="shared" si="51"/>
        <v>0</v>
      </c>
      <c r="BA11" s="131">
        <f t="shared" si="51"/>
        <v>0</v>
      </c>
      <c r="BB11" s="131">
        <f t="shared" si="51"/>
        <v>0</v>
      </c>
      <c r="BC11" s="131">
        <f t="shared" si="51"/>
        <v>0</v>
      </c>
      <c r="BD11" s="131">
        <f t="shared" si="51"/>
        <v>0</v>
      </c>
      <c r="BE11" s="131">
        <f t="shared" si="51"/>
        <v>0</v>
      </c>
      <c r="BF11" s="43">
        <f t="shared" si="7"/>
        <v>0</v>
      </c>
      <c r="BG11" s="131">
        <f t="shared" si="51"/>
        <v>0</v>
      </c>
      <c r="BH11" s="131">
        <f t="shared" si="51"/>
        <v>0</v>
      </c>
      <c r="BI11" s="131">
        <f t="shared" si="51"/>
        <v>0</v>
      </c>
      <c r="BJ11" s="131">
        <f t="shared" si="51"/>
        <v>0</v>
      </c>
      <c r="BK11" s="131">
        <f t="shared" si="51"/>
        <v>0</v>
      </c>
      <c r="BL11" s="131">
        <f t="shared" si="51"/>
        <v>0</v>
      </c>
      <c r="BM11" s="131">
        <f t="shared" si="51"/>
        <v>0</v>
      </c>
      <c r="BN11" s="131">
        <f t="shared" si="51"/>
        <v>0</v>
      </c>
      <c r="BO11" s="43">
        <f t="shared" si="8"/>
        <v>0</v>
      </c>
      <c r="BP11" s="131">
        <f t="shared" si="51"/>
        <v>0</v>
      </c>
      <c r="BQ11" s="131">
        <f t="shared" si="51"/>
        <v>0</v>
      </c>
      <c r="BR11" s="131">
        <f t="shared" si="51"/>
        <v>0</v>
      </c>
      <c r="BS11" s="43">
        <f t="shared" si="9"/>
        <v>0</v>
      </c>
      <c r="BT11" s="131">
        <f t="shared" si="51"/>
        <v>2705750.069839846</v>
      </c>
      <c r="BU11" s="131">
        <f t="shared" si="51"/>
        <v>7739.119795003203</v>
      </c>
      <c r="BV11" s="131">
        <f t="shared" si="51"/>
        <v>0</v>
      </c>
      <c r="BW11" s="131">
        <f t="shared" si="51"/>
        <v>0</v>
      </c>
      <c r="BX11" s="4">
        <f t="shared" si="10"/>
        <v>2713489.189634849</v>
      </c>
      <c r="BY11" s="131">
        <f t="shared" si="51"/>
        <v>488488.4304612428</v>
      </c>
      <c r="BZ11" s="131">
        <f t="shared" si="51"/>
        <v>0</v>
      </c>
      <c r="CA11" s="131">
        <f t="shared" si="51"/>
        <v>2225000.759173607</v>
      </c>
      <c r="CB11" s="4">
        <f t="shared" si="11"/>
        <v>2713489.18963485</v>
      </c>
      <c r="CC11" s="4">
        <f t="shared" si="12"/>
        <v>0</v>
      </c>
      <c r="CD11" s="74">
        <f t="shared" si="13"/>
        <v>-163760.49696348494</v>
      </c>
      <c r="CE11" s="76">
        <f t="shared" si="14"/>
        <v>-163760.49696348494</v>
      </c>
      <c r="CF11" s="76">
        <f t="shared" si="15"/>
        <v>0</v>
      </c>
      <c r="CG11" s="76">
        <f>AU11-AM11-AT11-AS11</f>
        <v>2553081.697463164</v>
      </c>
      <c r="CH11" s="76">
        <f t="shared" si="17"/>
        <v>-62196.07619474696</v>
      </c>
      <c r="CI11" s="37">
        <f t="shared" si="18"/>
        <v>-60571.34845611788</v>
      </c>
      <c r="CJ11" s="59" t="str">
        <f t="shared" si="36"/>
        <v>-</v>
      </c>
      <c r="CK11" s="59" t="str">
        <f t="shared" si="37"/>
        <v>-</v>
      </c>
      <c r="CL11" s="141">
        <f t="shared" si="38"/>
        <v>-0.06414228621285539</v>
      </c>
      <c r="CM11" s="141">
        <f t="shared" si="39"/>
        <v>-0.06414228621285539</v>
      </c>
      <c r="CN11" s="141">
        <f t="shared" si="40"/>
        <v>-0.02436117741807764</v>
      </c>
      <c r="CO11" s="141">
        <f t="shared" si="41"/>
        <v>-0.023724798354985584</v>
      </c>
      <c r="CP11" s="141">
        <f t="shared" si="42"/>
        <v>0.1735106998264893</v>
      </c>
      <c r="CQ11" s="141">
        <f t="shared" si="43"/>
        <v>0.1735106998264893</v>
      </c>
      <c r="CR11" s="142">
        <f t="shared" si="44"/>
        <v>-13.539661154502998</v>
      </c>
      <c r="CS11" s="76">
        <f t="shared" si="45"/>
        <v>2217261.639378603</v>
      </c>
      <c r="CT11" s="80">
        <f t="shared" si="19"/>
        <v>2716842.1944266493</v>
      </c>
      <c r="CU11" s="80">
        <f t="shared" si="20"/>
        <v>2553081.697463164</v>
      </c>
      <c r="CV11" s="80">
        <f t="shared" si="21"/>
        <v>-163760.49696348514</v>
      </c>
      <c r="CW11" s="80">
        <f t="shared" si="22"/>
        <v>0</v>
      </c>
      <c r="CX11" s="80">
        <f t="shared" si="23"/>
        <v>-163760.49696348514</v>
      </c>
      <c r="CY11" s="80">
        <f t="shared" si="24"/>
        <v>-165385.22470211424</v>
      </c>
      <c r="CZ11" s="80">
        <f t="shared" si="25"/>
        <v>0</v>
      </c>
      <c r="DA11" s="80">
        <f t="shared" si="26"/>
        <v>1624.727738629084</v>
      </c>
      <c r="DB11" s="80">
        <f t="shared" si="27"/>
        <v>-163760.49696348514</v>
      </c>
      <c r="DC11" s="80">
        <f t="shared" si="46"/>
        <v>-163760.49696348514</v>
      </c>
      <c r="DD11" s="80">
        <f t="shared" si="28"/>
        <v>-1624.727738629084</v>
      </c>
      <c r="DE11" s="80">
        <f t="shared" si="29"/>
        <v>-165385.22470211424</v>
      </c>
      <c r="DF11" s="80">
        <f t="shared" si="30"/>
        <v>1428214.7072069186</v>
      </c>
      <c r="DG11" s="80">
        <f t="shared" si="31"/>
        <v>393.41051089045476</v>
      </c>
      <c r="DH11" s="80">
        <f t="shared" si="32"/>
        <v>-11.035499679692505</v>
      </c>
      <c r="DI11" s="80">
        <f t="shared" si="33"/>
        <v>253.40928090967327</v>
      </c>
      <c r="DJ11" s="81">
        <f t="shared" si="34"/>
        <v>0</v>
      </c>
      <c r="DK11" s="76">
        <f t="shared" si="35"/>
        <v>-29.05615631005769</v>
      </c>
      <c r="DL11" s="145">
        <f t="shared" si="49"/>
        <v>2217261.639378604</v>
      </c>
      <c r="DM11" s="64"/>
      <c r="DN11" s="65"/>
    </row>
    <row r="12" spans="1:118" ht="12.75">
      <c r="A12" s="51" t="s">
        <v>7</v>
      </c>
      <c r="B12" s="46">
        <v>652</v>
      </c>
      <c r="C12" s="38">
        <v>1582384</v>
      </c>
      <c r="D12" s="66">
        <v>2426.97</v>
      </c>
      <c r="E12" s="66">
        <v>70.39</v>
      </c>
      <c r="F12" s="126">
        <v>2</v>
      </c>
      <c r="G12" s="132">
        <f>(G41/($B$12+$B$14+$B$23)*$B$12)</f>
        <v>0</v>
      </c>
      <c r="H12" s="132">
        <f aca="true" t="shared" si="52" ref="H12:BU12">(H41/($B$12+$B$14+$B$23)*$B$12)</f>
        <v>0</v>
      </c>
      <c r="I12" s="132">
        <f t="shared" si="52"/>
        <v>0</v>
      </c>
      <c r="J12" s="132">
        <f t="shared" si="52"/>
        <v>0</v>
      </c>
      <c r="K12" s="132">
        <f t="shared" si="52"/>
        <v>0</v>
      </c>
      <c r="L12" s="132">
        <f t="shared" si="52"/>
        <v>0</v>
      </c>
      <c r="M12" s="43">
        <f t="shared" si="0"/>
        <v>0</v>
      </c>
      <c r="N12" s="132">
        <f t="shared" si="52"/>
        <v>0</v>
      </c>
      <c r="O12" s="132">
        <f t="shared" si="52"/>
        <v>0</v>
      </c>
      <c r="P12" s="132">
        <f t="shared" si="52"/>
        <v>0</v>
      </c>
      <c r="Q12" s="132">
        <f t="shared" si="52"/>
        <v>0</v>
      </c>
      <c r="R12" s="132">
        <f t="shared" si="52"/>
        <v>0</v>
      </c>
      <c r="S12" s="132">
        <f t="shared" si="52"/>
        <v>0</v>
      </c>
      <c r="T12" s="132">
        <f t="shared" si="52"/>
        <v>0</v>
      </c>
      <c r="U12" s="132">
        <f t="shared" si="52"/>
        <v>0</v>
      </c>
      <c r="V12" s="132">
        <f t="shared" si="52"/>
        <v>0</v>
      </c>
      <c r="W12" s="43">
        <f t="shared" si="1"/>
        <v>0</v>
      </c>
      <c r="X12" s="132">
        <f t="shared" si="52"/>
        <v>0</v>
      </c>
      <c r="Y12" s="43">
        <f t="shared" si="2"/>
        <v>0</v>
      </c>
      <c r="Z12" s="132">
        <f t="shared" si="52"/>
        <v>0</v>
      </c>
      <c r="AA12" s="132">
        <f t="shared" si="52"/>
        <v>0</v>
      </c>
      <c r="AB12" s="132">
        <f t="shared" si="52"/>
        <v>0</v>
      </c>
      <c r="AC12" s="132">
        <f t="shared" si="52"/>
        <v>0</v>
      </c>
      <c r="AD12" s="132">
        <f t="shared" si="52"/>
        <v>0</v>
      </c>
      <c r="AE12" s="43">
        <f t="shared" si="3"/>
        <v>0</v>
      </c>
      <c r="AF12" s="132">
        <f t="shared" si="52"/>
        <v>0</v>
      </c>
      <c r="AG12" s="132">
        <f t="shared" si="52"/>
        <v>0</v>
      </c>
      <c r="AH12" s="132">
        <f t="shared" si="52"/>
        <v>0</v>
      </c>
      <c r="AI12" s="132">
        <f t="shared" si="52"/>
        <v>0</v>
      </c>
      <c r="AJ12" s="132">
        <f t="shared" si="52"/>
        <v>0</v>
      </c>
      <c r="AK12" s="132">
        <f t="shared" si="52"/>
        <v>0</v>
      </c>
      <c r="AL12" s="132">
        <f t="shared" si="52"/>
        <v>0</v>
      </c>
      <c r="AM12" s="132">
        <f t="shared" si="52"/>
        <v>0</v>
      </c>
      <c r="AN12" s="132">
        <f t="shared" si="52"/>
        <v>0</v>
      </c>
      <c r="AO12" s="132">
        <f t="shared" si="52"/>
        <v>0</v>
      </c>
      <c r="AP12" s="132">
        <f t="shared" si="52"/>
        <v>0</v>
      </c>
      <c r="AQ12" s="132">
        <f t="shared" si="52"/>
        <v>0</v>
      </c>
      <c r="AR12" s="132">
        <f t="shared" si="52"/>
        <v>0</v>
      </c>
      <c r="AS12" s="4">
        <f t="shared" si="4"/>
        <v>0</v>
      </c>
      <c r="AT12" s="132">
        <f t="shared" si="52"/>
        <v>0</v>
      </c>
      <c r="AU12" s="4">
        <f>SUM(Z12:AT12)-AE12-AH12-AS12</f>
        <v>0</v>
      </c>
      <c r="AV12" s="132">
        <f t="shared" si="52"/>
        <v>0</v>
      </c>
      <c r="AW12" s="132">
        <f t="shared" si="52"/>
        <v>0</v>
      </c>
      <c r="AX12" s="4">
        <f t="shared" si="6"/>
        <v>0</v>
      </c>
      <c r="AY12" s="132">
        <f t="shared" si="52"/>
        <v>0</v>
      </c>
      <c r="AZ12" s="132">
        <f t="shared" si="52"/>
        <v>0</v>
      </c>
      <c r="BA12" s="132">
        <f t="shared" si="52"/>
        <v>0</v>
      </c>
      <c r="BB12" s="132">
        <f t="shared" si="52"/>
        <v>0</v>
      </c>
      <c r="BC12" s="132">
        <f t="shared" si="52"/>
        <v>0</v>
      </c>
      <c r="BD12" s="132">
        <f t="shared" si="52"/>
        <v>0</v>
      </c>
      <c r="BE12" s="132">
        <f t="shared" si="52"/>
        <v>0</v>
      </c>
      <c r="BF12" s="43">
        <f t="shared" si="7"/>
        <v>0</v>
      </c>
      <c r="BG12" s="132">
        <f t="shared" si="52"/>
        <v>0</v>
      </c>
      <c r="BH12" s="132">
        <f t="shared" si="52"/>
        <v>0</v>
      </c>
      <c r="BI12" s="132">
        <f t="shared" si="52"/>
        <v>0</v>
      </c>
      <c r="BJ12" s="132">
        <f t="shared" si="52"/>
        <v>0</v>
      </c>
      <c r="BK12" s="132">
        <f t="shared" si="52"/>
        <v>0</v>
      </c>
      <c r="BL12" s="132">
        <f t="shared" si="52"/>
        <v>0</v>
      </c>
      <c r="BM12" s="132">
        <f t="shared" si="52"/>
        <v>0</v>
      </c>
      <c r="BN12" s="132">
        <f t="shared" si="52"/>
        <v>0</v>
      </c>
      <c r="BO12" s="43">
        <f t="shared" si="8"/>
        <v>0</v>
      </c>
      <c r="BP12" s="132">
        <f t="shared" si="52"/>
        <v>0</v>
      </c>
      <c r="BQ12" s="132">
        <f t="shared" si="52"/>
        <v>0</v>
      </c>
      <c r="BR12" s="132">
        <f t="shared" si="52"/>
        <v>0</v>
      </c>
      <c r="BS12" s="43">
        <f t="shared" si="9"/>
        <v>0</v>
      </c>
      <c r="BT12" s="132">
        <f t="shared" si="52"/>
        <v>0</v>
      </c>
      <c r="BU12" s="132">
        <f t="shared" si="52"/>
        <v>0</v>
      </c>
      <c r="BV12" s="132">
        <f aca="true" t="shared" si="53" ref="BV12:CA12">(BV41/($B$12+$B$14+$B$23)*$B$12)</f>
        <v>0</v>
      </c>
      <c r="BW12" s="132">
        <f t="shared" si="53"/>
        <v>0</v>
      </c>
      <c r="BX12" s="4">
        <f t="shared" si="10"/>
        <v>0</v>
      </c>
      <c r="BY12" s="132">
        <f t="shared" si="53"/>
        <v>0</v>
      </c>
      <c r="BZ12" s="132">
        <f t="shared" si="53"/>
        <v>0</v>
      </c>
      <c r="CA12" s="132">
        <f t="shared" si="53"/>
        <v>0</v>
      </c>
      <c r="CB12" s="4">
        <f t="shared" si="11"/>
        <v>0</v>
      </c>
      <c r="CC12" s="4">
        <f t="shared" si="12"/>
        <v>0</v>
      </c>
      <c r="CD12" s="74">
        <f t="shared" si="13"/>
        <v>0</v>
      </c>
      <c r="CE12" s="76">
        <f t="shared" si="14"/>
        <v>0</v>
      </c>
      <c r="CF12" s="76">
        <f t="shared" si="15"/>
        <v>0</v>
      </c>
      <c r="CG12" s="76">
        <f aca="true" t="shared" si="54" ref="CG12:CG31">AU12-AM12-AT12-AS12</f>
        <v>0</v>
      </c>
      <c r="CH12" s="76">
        <f>I12-AG12+AY12+AH12+BQ12</f>
        <v>0</v>
      </c>
      <c r="CI12" s="37">
        <f t="shared" si="18"/>
        <v>0</v>
      </c>
      <c r="CJ12" s="59" t="str">
        <f t="shared" si="36"/>
        <v>-</v>
      </c>
      <c r="CK12" s="59" t="str">
        <f t="shared" si="37"/>
        <v>-</v>
      </c>
      <c r="CL12" s="141" t="str">
        <f t="shared" si="38"/>
        <v>-</v>
      </c>
      <c r="CM12" s="141" t="str">
        <f t="shared" si="39"/>
        <v>-</v>
      </c>
      <c r="CN12" s="141" t="str">
        <f t="shared" si="40"/>
        <v>-</v>
      </c>
      <c r="CO12" s="141" t="str">
        <f t="shared" si="41"/>
        <v>-</v>
      </c>
      <c r="CP12" s="141" t="str">
        <f t="shared" si="42"/>
        <v>-</v>
      </c>
      <c r="CQ12" s="141" t="str">
        <f t="shared" si="43"/>
        <v>-</v>
      </c>
      <c r="CR12" s="142" t="str">
        <f t="shared" si="44"/>
        <v>-</v>
      </c>
      <c r="CS12" s="76">
        <f t="shared" si="45"/>
        <v>0</v>
      </c>
      <c r="CT12" s="80">
        <f t="shared" si="19"/>
        <v>0</v>
      </c>
      <c r="CU12" s="80">
        <f t="shared" si="20"/>
        <v>0</v>
      </c>
      <c r="CV12" s="80">
        <f t="shared" si="21"/>
        <v>0</v>
      </c>
      <c r="CW12" s="80">
        <f t="shared" si="22"/>
        <v>0</v>
      </c>
      <c r="CX12" s="80">
        <f t="shared" si="23"/>
        <v>0</v>
      </c>
      <c r="CY12" s="80">
        <f t="shared" si="24"/>
        <v>0</v>
      </c>
      <c r="CZ12" s="80">
        <f t="shared" si="25"/>
        <v>0</v>
      </c>
      <c r="DA12" s="80">
        <f t="shared" si="26"/>
        <v>0</v>
      </c>
      <c r="DB12" s="80">
        <f t="shared" si="27"/>
        <v>0</v>
      </c>
      <c r="DC12" s="80">
        <f t="shared" si="46"/>
        <v>0</v>
      </c>
      <c r="DD12" s="80">
        <f t="shared" si="28"/>
        <v>0</v>
      </c>
      <c r="DE12" s="80">
        <f t="shared" si="29"/>
        <v>0</v>
      </c>
      <c r="DF12" s="80">
        <f t="shared" si="30"/>
        <v>0</v>
      </c>
      <c r="DG12" s="80">
        <f t="shared" si="31"/>
        <v>0</v>
      </c>
      <c r="DH12" s="80">
        <f t="shared" si="32"/>
        <v>0</v>
      </c>
      <c r="DI12" s="80">
        <f t="shared" si="33"/>
        <v>0</v>
      </c>
      <c r="DJ12" s="81">
        <f t="shared" si="34"/>
        <v>0</v>
      </c>
      <c r="DK12" s="76">
        <f t="shared" si="35"/>
        <v>0</v>
      </c>
      <c r="DL12" s="145">
        <f t="shared" si="49"/>
        <v>0</v>
      </c>
      <c r="DM12" s="67"/>
      <c r="DN12" s="68"/>
    </row>
    <row r="13" spans="1:118" ht="12.75">
      <c r="A13" s="52" t="s">
        <v>8</v>
      </c>
      <c r="B13" s="41">
        <v>345</v>
      </c>
      <c r="C13" s="4">
        <v>717733</v>
      </c>
      <c r="D13" s="69">
        <v>2080.38</v>
      </c>
      <c r="E13" s="69">
        <v>60.33</v>
      </c>
      <c r="F13" s="8">
        <v>4</v>
      </c>
      <c r="G13" s="131">
        <f>451.5+7280.8+469.2</f>
        <v>8201.5</v>
      </c>
      <c r="H13" s="43">
        <f>559+384.4+80+1664.3+210</f>
        <v>2897.7</v>
      </c>
      <c r="I13" s="43">
        <v>0</v>
      </c>
      <c r="J13" s="43">
        <v>0</v>
      </c>
      <c r="K13" s="43">
        <v>0</v>
      </c>
      <c r="L13" s="43">
        <v>0</v>
      </c>
      <c r="M13" s="43">
        <f t="shared" si="0"/>
        <v>0</v>
      </c>
      <c r="N13" s="43">
        <v>0</v>
      </c>
      <c r="O13" s="43">
        <f>628.8</f>
        <v>628.8</v>
      </c>
      <c r="P13" s="43">
        <f>2532.4+1041.45+600+357+780+1303.9+29109.45+200+65301.95+3803.75</f>
        <v>105029.9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0</v>
      </c>
      <c r="X13" s="43">
        <v>0</v>
      </c>
      <c r="Y13" s="43">
        <f t="shared" si="2"/>
        <v>116757.9</v>
      </c>
      <c r="Z13" s="43">
        <f>23684.65+29666.75+1640</f>
        <v>54991.4</v>
      </c>
      <c r="AA13" s="43">
        <v>0</v>
      </c>
      <c r="AB13" s="43">
        <v>0</v>
      </c>
      <c r="AC13" s="43">
        <f>11625.3</f>
        <v>11625.3</v>
      </c>
      <c r="AD13" s="43">
        <v>0</v>
      </c>
      <c r="AE13" s="43">
        <f t="shared" si="3"/>
        <v>66616.7</v>
      </c>
      <c r="AF13" s="43">
        <v>0</v>
      </c>
      <c r="AG13" s="43">
        <f>606.3+1600</f>
        <v>2206.3</v>
      </c>
      <c r="AH13" s="43">
        <v>0</v>
      </c>
      <c r="AI13" s="43">
        <f>16666.45</f>
        <v>16666.45</v>
      </c>
      <c r="AJ13" s="43">
        <f>1252</f>
        <v>1252</v>
      </c>
      <c r="AK13" s="43">
        <v>0</v>
      </c>
      <c r="AL13" s="43">
        <v>0</v>
      </c>
      <c r="AM13" s="43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86741.45</v>
      </c>
      <c r="AV13" s="4">
        <v>0</v>
      </c>
      <c r="AW13" s="4">
        <f>30016.45</f>
        <v>30016.45</v>
      </c>
      <c r="AX13" s="4">
        <f t="shared" si="6"/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f t="shared" si="7"/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f t="shared" si="8"/>
        <v>0</v>
      </c>
      <c r="BP13" s="43">
        <v>0</v>
      </c>
      <c r="BQ13" s="43">
        <v>0</v>
      </c>
      <c r="BR13" s="43">
        <v>0</v>
      </c>
      <c r="BS13" s="43">
        <f t="shared" si="9"/>
        <v>0</v>
      </c>
      <c r="BT13" s="4">
        <f>138107.18</f>
        <v>138107.18</v>
      </c>
      <c r="BU13" s="4">
        <v>0</v>
      </c>
      <c r="BV13" s="4">
        <v>0</v>
      </c>
      <c r="BW13" s="4">
        <v>0</v>
      </c>
      <c r="BX13" s="4">
        <f t="shared" si="10"/>
        <v>138107.18</v>
      </c>
      <c r="BY13" s="4">
        <v>38400.25</v>
      </c>
      <c r="BZ13" s="4">
        <v>0</v>
      </c>
      <c r="CA13" s="4">
        <v>99706.93</v>
      </c>
      <c r="CB13" s="4">
        <f t="shared" si="11"/>
        <v>138107.18</v>
      </c>
      <c r="CC13" s="4">
        <f t="shared" si="12"/>
        <v>0</v>
      </c>
      <c r="CD13" s="74">
        <f t="shared" si="13"/>
        <v>-30016.45</v>
      </c>
      <c r="CE13" s="76">
        <f t="shared" si="14"/>
        <v>-30016.45</v>
      </c>
      <c r="CF13" s="76">
        <f t="shared" si="15"/>
        <v>0</v>
      </c>
      <c r="CG13" s="76">
        <f t="shared" si="54"/>
        <v>86741.45</v>
      </c>
      <c r="CH13" s="76">
        <f t="shared" si="17"/>
        <v>-2206.3</v>
      </c>
      <c r="CI13" s="37">
        <f t="shared" si="18"/>
        <v>-2206.3</v>
      </c>
      <c r="CJ13" s="59" t="str">
        <f t="shared" si="36"/>
        <v>-</v>
      </c>
      <c r="CK13" s="59" t="str">
        <f t="shared" si="37"/>
        <v>-</v>
      </c>
      <c r="CL13" s="141">
        <f t="shared" si="38"/>
        <v>-0.3460450568903333</v>
      </c>
      <c r="CM13" s="141">
        <f t="shared" si="39"/>
        <v>-0.3460450568903333</v>
      </c>
      <c r="CN13" s="141">
        <f t="shared" si="40"/>
        <v>-0.025435359911553244</v>
      </c>
      <c r="CO13" s="141">
        <f t="shared" si="41"/>
        <v>-0.025435359911553244</v>
      </c>
      <c r="CP13" s="141" t="str">
        <f t="shared" si="42"/>
        <v>-</v>
      </c>
      <c r="CQ13" s="141" t="str">
        <f t="shared" si="43"/>
        <v>-</v>
      </c>
      <c r="CR13" s="142">
        <f t="shared" si="44"/>
        <v>-3.3217429109704844</v>
      </c>
      <c r="CS13" s="76">
        <f t="shared" si="45"/>
        <v>99706.93</v>
      </c>
      <c r="CT13" s="80">
        <f t="shared" si="19"/>
        <v>116757.9</v>
      </c>
      <c r="CU13" s="80">
        <f t="shared" si="20"/>
        <v>86741.45</v>
      </c>
      <c r="CV13" s="80">
        <f t="shared" si="21"/>
        <v>-30016.449999999997</v>
      </c>
      <c r="CW13" s="80">
        <f t="shared" si="22"/>
        <v>0</v>
      </c>
      <c r="CX13" s="80">
        <f t="shared" si="23"/>
        <v>-30016.449999999997</v>
      </c>
      <c r="CY13" s="80">
        <f t="shared" si="24"/>
        <v>-30016.449999999997</v>
      </c>
      <c r="CZ13" s="80">
        <f t="shared" si="25"/>
        <v>0</v>
      </c>
      <c r="DA13" s="80">
        <f t="shared" si="26"/>
        <v>0</v>
      </c>
      <c r="DB13" s="80">
        <f t="shared" si="27"/>
        <v>-30016.449999999997</v>
      </c>
      <c r="DC13" s="80">
        <f t="shared" si="46"/>
        <v>-30016.449999999997</v>
      </c>
      <c r="DD13" s="80">
        <f t="shared" si="28"/>
        <v>0</v>
      </c>
      <c r="DE13" s="80">
        <f t="shared" si="29"/>
        <v>-30016.449999999997</v>
      </c>
      <c r="DF13" s="80">
        <f t="shared" si="30"/>
        <v>54991.4</v>
      </c>
      <c r="DG13" s="80">
        <f t="shared" si="31"/>
        <v>289.0055942028985</v>
      </c>
      <c r="DH13" s="80">
        <f t="shared" si="32"/>
        <v>-6.395072463768116</v>
      </c>
      <c r="DI13" s="80">
        <f t="shared" si="33"/>
        <v>159.3953623188406</v>
      </c>
      <c r="DJ13" s="81">
        <f t="shared" si="34"/>
        <v>0</v>
      </c>
      <c r="DK13" s="76">
        <f t="shared" si="35"/>
        <v>-87.00420289855072</v>
      </c>
      <c r="DL13" s="145">
        <f t="shared" si="49"/>
        <v>99706.93</v>
      </c>
      <c r="DM13" s="64"/>
      <c r="DN13" s="65"/>
    </row>
    <row r="14" spans="1:118" ht="12.75">
      <c r="A14" s="51" t="s">
        <v>33</v>
      </c>
      <c r="B14" s="46">
        <v>182</v>
      </c>
      <c r="C14" s="38">
        <v>493098</v>
      </c>
      <c r="D14" s="66">
        <v>2709.33</v>
      </c>
      <c r="E14" s="66">
        <v>78.58</v>
      </c>
      <c r="F14" s="126">
        <v>3</v>
      </c>
      <c r="G14" s="132">
        <f>(G41/($B$12+$B$14+$B$23)*$B$14)</f>
        <v>0</v>
      </c>
      <c r="H14" s="132">
        <f aca="true" t="shared" si="55" ref="H14:BU14">(H41/($B$12+$B$14+$B$23)*$B$14)</f>
        <v>0</v>
      </c>
      <c r="I14" s="132">
        <f t="shared" si="55"/>
        <v>0</v>
      </c>
      <c r="J14" s="132">
        <f t="shared" si="55"/>
        <v>0</v>
      </c>
      <c r="K14" s="132">
        <f t="shared" si="55"/>
        <v>0</v>
      </c>
      <c r="L14" s="132">
        <f t="shared" si="55"/>
        <v>0</v>
      </c>
      <c r="M14" s="43">
        <f t="shared" si="0"/>
        <v>0</v>
      </c>
      <c r="N14" s="132">
        <f t="shared" si="55"/>
        <v>0</v>
      </c>
      <c r="O14" s="132">
        <f t="shared" si="55"/>
        <v>0</v>
      </c>
      <c r="P14" s="132">
        <f t="shared" si="55"/>
        <v>0</v>
      </c>
      <c r="Q14" s="132">
        <f t="shared" si="55"/>
        <v>0</v>
      </c>
      <c r="R14" s="132">
        <f t="shared" si="55"/>
        <v>0</v>
      </c>
      <c r="S14" s="132">
        <f t="shared" si="55"/>
        <v>0</v>
      </c>
      <c r="T14" s="132">
        <f t="shared" si="55"/>
        <v>0</v>
      </c>
      <c r="U14" s="132">
        <f t="shared" si="55"/>
        <v>0</v>
      </c>
      <c r="V14" s="132">
        <f t="shared" si="55"/>
        <v>0</v>
      </c>
      <c r="W14" s="43">
        <f t="shared" si="1"/>
        <v>0</v>
      </c>
      <c r="X14" s="132">
        <f t="shared" si="55"/>
        <v>0</v>
      </c>
      <c r="Y14" s="43">
        <f t="shared" si="2"/>
        <v>0</v>
      </c>
      <c r="Z14" s="132">
        <f t="shared" si="55"/>
        <v>0</v>
      </c>
      <c r="AA14" s="132">
        <f t="shared" si="55"/>
        <v>0</v>
      </c>
      <c r="AB14" s="132">
        <f t="shared" si="55"/>
        <v>0</v>
      </c>
      <c r="AC14" s="132">
        <f t="shared" si="55"/>
        <v>0</v>
      </c>
      <c r="AD14" s="132">
        <f t="shared" si="55"/>
        <v>0</v>
      </c>
      <c r="AE14" s="43">
        <f t="shared" si="3"/>
        <v>0</v>
      </c>
      <c r="AF14" s="132">
        <f t="shared" si="55"/>
        <v>0</v>
      </c>
      <c r="AG14" s="132">
        <f t="shared" si="55"/>
        <v>0</v>
      </c>
      <c r="AH14" s="132">
        <f t="shared" si="55"/>
        <v>0</v>
      </c>
      <c r="AI14" s="132">
        <f t="shared" si="55"/>
        <v>0</v>
      </c>
      <c r="AJ14" s="132">
        <f t="shared" si="55"/>
        <v>0</v>
      </c>
      <c r="AK14" s="132">
        <f t="shared" si="55"/>
        <v>0</v>
      </c>
      <c r="AL14" s="132">
        <f t="shared" si="55"/>
        <v>0</v>
      </c>
      <c r="AM14" s="132">
        <f t="shared" si="55"/>
        <v>0</v>
      </c>
      <c r="AN14" s="132">
        <f t="shared" si="55"/>
        <v>0</v>
      </c>
      <c r="AO14" s="132">
        <f t="shared" si="55"/>
        <v>0</v>
      </c>
      <c r="AP14" s="132">
        <f t="shared" si="55"/>
        <v>0</v>
      </c>
      <c r="AQ14" s="132">
        <f t="shared" si="55"/>
        <v>0</v>
      </c>
      <c r="AR14" s="132">
        <f t="shared" si="55"/>
        <v>0</v>
      </c>
      <c r="AS14" s="4">
        <f t="shared" si="4"/>
        <v>0</v>
      </c>
      <c r="AT14" s="132">
        <f t="shared" si="55"/>
        <v>0</v>
      </c>
      <c r="AU14" s="4">
        <f t="shared" si="5"/>
        <v>0</v>
      </c>
      <c r="AV14" s="132">
        <f t="shared" si="55"/>
        <v>0</v>
      </c>
      <c r="AW14" s="132">
        <f t="shared" si="55"/>
        <v>0</v>
      </c>
      <c r="AX14" s="4">
        <f t="shared" si="6"/>
        <v>0</v>
      </c>
      <c r="AY14" s="132">
        <f t="shared" si="55"/>
        <v>0</v>
      </c>
      <c r="AZ14" s="132">
        <f t="shared" si="55"/>
        <v>0</v>
      </c>
      <c r="BA14" s="132">
        <f t="shared" si="55"/>
        <v>0</v>
      </c>
      <c r="BB14" s="132">
        <f t="shared" si="55"/>
        <v>0</v>
      </c>
      <c r="BC14" s="132">
        <f t="shared" si="55"/>
        <v>0</v>
      </c>
      <c r="BD14" s="132">
        <f t="shared" si="55"/>
        <v>0</v>
      </c>
      <c r="BE14" s="132">
        <f t="shared" si="55"/>
        <v>0</v>
      </c>
      <c r="BF14" s="43">
        <f t="shared" si="7"/>
        <v>0</v>
      </c>
      <c r="BG14" s="132">
        <f t="shared" si="55"/>
        <v>0</v>
      </c>
      <c r="BH14" s="132">
        <f t="shared" si="55"/>
        <v>0</v>
      </c>
      <c r="BI14" s="132">
        <f t="shared" si="55"/>
        <v>0</v>
      </c>
      <c r="BJ14" s="132">
        <f t="shared" si="55"/>
        <v>0</v>
      </c>
      <c r="BK14" s="132">
        <f t="shared" si="55"/>
        <v>0</v>
      </c>
      <c r="BL14" s="132">
        <f t="shared" si="55"/>
        <v>0</v>
      </c>
      <c r="BM14" s="132">
        <f t="shared" si="55"/>
        <v>0</v>
      </c>
      <c r="BN14" s="132">
        <f t="shared" si="55"/>
        <v>0</v>
      </c>
      <c r="BO14" s="43">
        <f t="shared" si="8"/>
        <v>0</v>
      </c>
      <c r="BP14" s="132">
        <f t="shared" si="55"/>
        <v>0</v>
      </c>
      <c r="BQ14" s="132">
        <f t="shared" si="55"/>
        <v>0</v>
      </c>
      <c r="BR14" s="132">
        <f t="shared" si="55"/>
        <v>0</v>
      </c>
      <c r="BS14" s="43">
        <f t="shared" si="9"/>
        <v>0</v>
      </c>
      <c r="BT14" s="132">
        <f t="shared" si="55"/>
        <v>0</v>
      </c>
      <c r="BU14" s="132">
        <f t="shared" si="55"/>
        <v>0</v>
      </c>
      <c r="BV14" s="132">
        <f aca="true" t="shared" si="56" ref="BV14:CA14">(BV41/($B$12+$B$14+$B$23)*$B$14)</f>
        <v>0</v>
      </c>
      <c r="BW14" s="132">
        <f t="shared" si="56"/>
        <v>0</v>
      </c>
      <c r="BX14" s="4">
        <f t="shared" si="10"/>
        <v>0</v>
      </c>
      <c r="BY14" s="132">
        <f t="shared" si="56"/>
        <v>0</v>
      </c>
      <c r="BZ14" s="132">
        <f t="shared" si="56"/>
        <v>0</v>
      </c>
      <c r="CA14" s="132">
        <f t="shared" si="56"/>
        <v>0</v>
      </c>
      <c r="CB14" s="4">
        <f t="shared" si="11"/>
        <v>0</v>
      </c>
      <c r="CC14" s="4">
        <f t="shared" si="12"/>
        <v>0</v>
      </c>
      <c r="CD14" s="74">
        <f t="shared" si="13"/>
        <v>0</v>
      </c>
      <c r="CE14" s="76">
        <f t="shared" si="14"/>
        <v>0</v>
      </c>
      <c r="CF14" s="76">
        <f t="shared" si="15"/>
        <v>0</v>
      </c>
      <c r="CG14" s="76">
        <f t="shared" si="54"/>
        <v>0</v>
      </c>
      <c r="CH14" s="76">
        <f t="shared" si="17"/>
        <v>0</v>
      </c>
      <c r="CI14" s="37">
        <f t="shared" si="18"/>
        <v>0</v>
      </c>
      <c r="CJ14" s="59" t="str">
        <f t="shared" si="36"/>
        <v>-</v>
      </c>
      <c r="CK14" s="59" t="str">
        <f t="shared" si="37"/>
        <v>-</v>
      </c>
      <c r="CL14" s="141" t="str">
        <f t="shared" si="38"/>
        <v>-</v>
      </c>
      <c r="CM14" s="141" t="str">
        <f t="shared" si="39"/>
        <v>-</v>
      </c>
      <c r="CN14" s="141" t="str">
        <f t="shared" si="40"/>
        <v>-</v>
      </c>
      <c r="CO14" s="141" t="str">
        <f t="shared" si="41"/>
        <v>-</v>
      </c>
      <c r="CP14" s="141" t="str">
        <f t="shared" si="42"/>
        <v>-</v>
      </c>
      <c r="CQ14" s="141" t="str">
        <f t="shared" si="43"/>
        <v>-</v>
      </c>
      <c r="CR14" s="142" t="str">
        <f t="shared" si="44"/>
        <v>-</v>
      </c>
      <c r="CS14" s="76">
        <f t="shared" si="45"/>
        <v>0</v>
      </c>
      <c r="CT14" s="80">
        <f t="shared" si="19"/>
        <v>0</v>
      </c>
      <c r="CU14" s="80">
        <f t="shared" si="20"/>
        <v>0</v>
      </c>
      <c r="CV14" s="80">
        <f t="shared" si="21"/>
        <v>0</v>
      </c>
      <c r="CW14" s="80">
        <f t="shared" si="22"/>
        <v>0</v>
      </c>
      <c r="CX14" s="80">
        <f t="shared" si="23"/>
        <v>0</v>
      </c>
      <c r="CY14" s="80">
        <f t="shared" si="24"/>
        <v>0</v>
      </c>
      <c r="CZ14" s="80">
        <f t="shared" si="25"/>
        <v>0</v>
      </c>
      <c r="DA14" s="80">
        <f t="shared" si="26"/>
        <v>0</v>
      </c>
      <c r="DB14" s="80">
        <f t="shared" si="27"/>
        <v>0</v>
      </c>
      <c r="DC14" s="80">
        <f t="shared" si="46"/>
        <v>0</v>
      </c>
      <c r="DD14" s="80">
        <f t="shared" si="28"/>
        <v>0</v>
      </c>
      <c r="DE14" s="80">
        <f t="shared" si="29"/>
        <v>0</v>
      </c>
      <c r="DF14" s="80">
        <f t="shared" si="30"/>
        <v>0</v>
      </c>
      <c r="DG14" s="80">
        <f t="shared" si="31"/>
        <v>0</v>
      </c>
      <c r="DH14" s="80">
        <f t="shared" si="32"/>
        <v>0</v>
      </c>
      <c r="DI14" s="80">
        <f t="shared" si="33"/>
        <v>0</v>
      </c>
      <c r="DJ14" s="81">
        <f t="shared" si="34"/>
        <v>0</v>
      </c>
      <c r="DK14" s="76">
        <f t="shared" si="35"/>
        <v>0</v>
      </c>
      <c r="DL14" s="145">
        <f t="shared" si="49"/>
        <v>0</v>
      </c>
      <c r="DM14" s="67"/>
      <c r="DN14" s="68"/>
    </row>
    <row r="15" spans="1:119" ht="12.75">
      <c r="A15" s="52" t="s">
        <v>9</v>
      </c>
      <c r="B15" s="41">
        <v>1250</v>
      </c>
      <c r="C15" s="4">
        <v>3326691</v>
      </c>
      <c r="D15" s="69">
        <v>2661.35</v>
      </c>
      <c r="E15" s="69">
        <v>77.18</v>
      </c>
      <c r="F15" s="8">
        <v>6</v>
      </c>
      <c r="G15" s="131">
        <v>26928.55</v>
      </c>
      <c r="H15" s="43">
        <v>15501.2</v>
      </c>
      <c r="I15" s="43">
        <v>9663</v>
      </c>
      <c r="J15" s="43">
        <v>0</v>
      </c>
      <c r="K15" s="43">
        <v>5400</v>
      </c>
      <c r="L15" s="43">
        <v>22600</v>
      </c>
      <c r="M15" s="43">
        <f t="shared" si="0"/>
        <v>28000</v>
      </c>
      <c r="N15" s="43">
        <v>0</v>
      </c>
      <c r="O15" s="43">
        <v>12115.6</v>
      </c>
      <c r="P15" s="43">
        <v>348407.75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f>SUM(R15:V15)</f>
        <v>0</v>
      </c>
      <c r="X15" s="43">
        <v>0</v>
      </c>
      <c r="Y15" s="43">
        <f>SUM(G15:X15)-M15-W15</f>
        <v>440616.1</v>
      </c>
      <c r="Z15" s="43">
        <v>235277.25</v>
      </c>
      <c r="AA15" s="43">
        <v>76285</v>
      </c>
      <c r="AB15" s="43">
        <v>0</v>
      </c>
      <c r="AC15" s="43">
        <v>42120.55</v>
      </c>
      <c r="AD15" s="43">
        <v>0</v>
      </c>
      <c r="AE15" s="43">
        <f>SUM(Z15:AD15)</f>
        <v>353682.8</v>
      </c>
      <c r="AF15" s="43">
        <v>0</v>
      </c>
      <c r="AG15" s="43">
        <v>8645.5</v>
      </c>
      <c r="AH15" s="43">
        <v>0</v>
      </c>
      <c r="AI15" s="43">
        <v>137160.75</v>
      </c>
      <c r="AJ15" s="43">
        <v>0</v>
      </c>
      <c r="AK15" s="43">
        <v>0</v>
      </c>
      <c r="AL15" s="43">
        <v>0</v>
      </c>
      <c r="AM15" s="43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f>SUM(AN15:AR15)</f>
        <v>0</v>
      </c>
      <c r="AT15" s="4">
        <v>0</v>
      </c>
      <c r="AU15" s="4">
        <f>SUM(Z15:AT15)-AE15-AH15-AS15</f>
        <v>499489.05</v>
      </c>
      <c r="AV15" s="4">
        <v>58872.95</v>
      </c>
      <c r="AW15" s="4">
        <v>0</v>
      </c>
      <c r="AX15" s="4">
        <f>Y15-AU15+AV15-AW15</f>
        <v>-1.4551915228366852E-11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f>SUM(AZ15:BE15)</f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f>SUM(BG15:BN15)</f>
        <v>0</v>
      </c>
      <c r="BP15" s="43">
        <v>0</v>
      </c>
      <c r="BQ15" s="43">
        <v>0</v>
      </c>
      <c r="BR15" s="43">
        <v>0</v>
      </c>
      <c r="BS15" s="43">
        <f>+BF15-BO15+BP15+BQ15-BR15</f>
        <v>0</v>
      </c>
      <c r="BT15" s="4">
        <v>580088.05</v>
      </c>
      <c r="BU15" s="4">
        <v>60000</v>
      </c>
      <c r="BV15" s="4">
        <v>0</v>
      </c>
      <c r="BW15" s="4">
        <v>0</v>
      </c>
      <c r="BX15" s="4">
        <f>SUM(BT15:BW15)</f>
        <v>640088.05</v>
      </c>
      <c r="BY15" s="4">
        <v>339852.3</v>
      </c>
      <c r="BZ15" s="4">
        <v>0</v>
      </c>
      <c r="CA15" s="4">
        <v>300235.75</v>
      </c>
      <c r="CB15" s="4">
        <f>SUM(BY15:CA15)</f>
        <v>640088.05</v>
      </c>
      <c r="CC15" s="4">
        <f>BX15-CB15</f>
        <v>0</v>
      </c>
      <c r="CD15" s="74">
        <f>K15+L15+AV15-AW15</f>
        <v>86872.95</v>
      </c>
      <c r="CE15" s="76">
        <f>CD15+W15-AS15</f>
        <v>86872.95</v>
      </c>
      <c r="CF15" s="76">
        <f>BR15-BP15</f>
        <v>0</v>
      </c>
      <c r="CG15" s="76">
        <f t="shared" si="54"/>
        <v>499489.05</v>
      </c>
      <c r="CH15" s="76">
        <f>I15-AG15+AY15+AH15+BQ15</f>
        <v>1017.5</v>
      </c>
      <c r="CI15" s="37">
        <f>CH15+K15</f>
        <v>6417.5</v>
      </c>
      <c r="CJ15" s="59" t="str">
        <f t="shared" si="36"/>
        <v>-</v>
      </c>
      <c r="CK15" s="59" t="str">
        <f t="shared" si="37"/>
        <v>-</v>
      </c>
      <c r="CL15" s="141">
        <f t="shared" si="38"/>
        <v>0.17392363256011317</v>
      </c>
      <c r="CM15" s="141">
        <f t="shared" si="39"/>
        <v>0.17392363256011317</v>
      </c>
      <c r="CN15" s="141">
        <f t="shared" si="40"/>
        <v>0.0020370816937828767</v>
      </c>
      <c r="CO15" s="141">
        <f t="shared" si="41"/>
        <v>0.012848129503539668</v>
      </c>
      <c r="CP15" s="141">
        <f t="shared" si="42"/>
        <v>0.3181818181818182</v>
      </c>
      <c r="CQ15" s="141">
        <f t="shared" si="43"/>
        <v>0.06136363636363636</v>
      </c>
      <c r="CR15" s="142">
        <f t="shared" si="44"/>
        <v>2.765368851869311</v>
      </c>
      <c r="CS15" s="76">
        <f t="shared" si="45"/>
        <v>240235.75000000006</v>
      </c>
      <c r="CT15" s="80">
        <f>Y15-K15-L15-V15</f>
        <v>412616.1</v>
      </c>
      <c r="CU15" s="80">
        <f>AU15-AR15</f>
        <v>499489.05</v>
      </c>
      <c r="CV15" s="80">
        <f>CU15-CT15</f>
        <v>86872.95000000001</v>
      </c>
      <c r="CW15" s="80">
        <f>-V15+AR15</f>
        <v>0</v>
      </c>
      <c r="CX15" s="80">
        <f>CV15+CW15</f>
        <v>86872.95000000001</v>
      </c>
      <c r="CY15" s="80">
        <f>CX15-K15-L15</f>
        <v>58872.95000000001</v>
      </c>
      <c r="CZ15" s="80">
        <f>BR15-BP15</f>
        <v>0</v>
      </c>
      <c r="DA15" s="80">
        <f>K15+L15</f>
        <v>28000</v>
      </c>
      <c r="DB15" s="80">
        <f>-CZ15+DA15+CY15</f>
        <v>86872.95000000001</v>
      </c>
      <c r="DC15" s="80">
        <f t="shared" si="46"/>
        <v>86872.95000000001</v>
      </c>
      <c r="DD15" s="80">
        <f>-BP15-DA15</f>
        <v>-28000</v>
      </c>
      <c r="DE15" s="80">
        <f>DB15+DD15+BR15</f>
        <v>58872.95000000001</v>
      </c>
      <c r="DF15" s="80">
        <f>Z15+AA15+AB15</f>
        <v>311562.25</v>
      </c>
      <c r="DG15" s="80">
        <f>CS15/B15</f>
        <v>192.18860000000004</v>
      </c>
      <c r="DH15" s="80">
        <f>CH15/B15</f>
        <v>0.814</v>
      </c>
      <c r="DI15" s="80">
        <f>DF15/B15</f>
        <v>249.2498</v>
      </c>
      <c r="DJ15" s="81">
        <f>CZ15/B15</f>
        <v>0</v>
      </c>
      <c r="DK15" s="76">
        <f>DB15/B15</f>
        <v>69.49836</v>
      </c>
      <c r="DL15" s="145">
        <f t="shared" si="49"/>
        <v>240235.75</v>
      </c>
      <c r="DM15" s="64"/>
      <c r="DN15" s="64"/>
      <c r="DO15" s="65"/>
    </row>
    <row r="16" spans="1:118" ht="12.75">
      <c r="A16" s="51" t="s">
        <v>34</v>
      </c>
      <c r="B16" s="46">
        <v>577</v>
      </c>
      <c r="C16" s="38">
        <v>1149434</v>
      </c>
      <c r="D16" s="66">
        <v>1992.09</v>
      </c>
      <c r="E16" s="73">
        <v>57.77</v>
      </c>
      <c r="F16" s="126">
        <v>4</v>
      </c>
      <c r="G16" s="132">
        <f>4185.6+248.1+14531+1370+2259.35</f>
        <v>22594.05</v>
      </c>
      <c r="H16" s="42">
        <f>1180.45+1967.35+81.9+6000+806+336+994.95+815+328.3+173.5+366</f>
        <v>13049.45</v>
      </c>
      <c r="I16" s="42">
        <f>4311.25</f>
        <v>4311.25</v>
      </c>
      <c r="J16" s="42">
        <v>0</v>
      </c>
      <c r="K16" s="42">
        <v>0</v>
      </c>
      <c r="L16" s="42">
        <v>0</v>
      </c>
      <c r="M16" s="43">
        <f t="shared" si="0"/>
        <v>0</v>
      </c>
      <c r="N16" s="42">
        <v>0</v>
      </c>
      <c r="O16" s="42">
        <f>600</f>
        <v>600</v>
      </c>
      <c r="P16" s="42">
        <f>4269.85+50+970.5+587+650+47923.2+517.6+1000+49795.95+29089.7+74862.5+73127.8+29291.8+830.2+110995.65</f>
        <v>423961.75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3">
        <f aca="true" t="shared" si="57" ref="W16:W31">SUM(R16:V16)</f>
        <v>0</v>
      </c>
      <c r="X16" s="42">
        <v>0</v>
      </c>
      <c r="Y16" s="43">
        <f aca="true" t="shared" si="58" ref="Y16:Y31">SUM(G16:X16)-M16-W16</f>
        <v>464516.5</v>
      </c>
      <c r="Z16" s="42">
        <f>20817.45+49335.45+2897.25+590.5</f>
        <v>73640.65</v>
      </c>
      <c r="AA16" s="42">
        <f>1217.9</f>
        <v>1217.9</v>
      </c>
      <c r="AB16" s="42">
        <v>0</v>
      </c>
      <c r="AC16" s="42">
        <f>19442.85</f>
        <v>19442.85</v>
      </c>
      <c r="AD16" s="42">
        <v>0</v>
      </c>
      <c r="AE16" s="43">
        <f aca="true" t="shared" si="59" ref="AE16:AE31">SUM(Z16:AD16)</f>
        <v>94301.4</v>
      </c>
      <c r="AF16" s="42">
        <v>0</v>
      </c>
      <c r="AG16" s="42">
        <f>715.85+225</f>
        <v>940.85</v>
      </c>
      <c r="AH16" s="42">
        <v>0</v>
      </c>
      <c r="AI16" s="42">
        <f>6946.2+16875+82038.5+29191.8+30162.55</f>
        <v>165214.05</v>
      </c>
      <c r="AJ16" s="42">
        <v>0</v>
      </c>
      <c r="AK16" s="42">
        <f>16180</f>
        <v>16180</v>
      </c>
      <c r="AL16" s="42">
        <v>0</v>
      </c>
      <c r="AM16" s="42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4">
        <f aca="true" t="shared" si="60" ref="AS16:AS31">SUM(AN16:AR16)</f>
        <v>0</v>
      </c>
      <c r="AT16" s="38">
        <v>0</v>
      </c>
      <c r="AU16" s="4">
        <f aca="true" t="shared" si="61" ref="AU16:AU31">SUM(Z16:AT16)-AE16-AH16-AS16</f>
        <v>276636.29999999993</v>
      </c>
      <c r="AV16" s="38">
        <v>0</v>
      </c>
      <c r="AW16" s="38">
        <v>187880.2</v>
      </c>
      <c r="AX16" s="4">
        <f aca="true" t="shared" si="62" ref="AX16:AX31">Y16-AU16+AV16-AW16</f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3">
        <f aca="true" t="shared" si="63" ref="BF16:BF31">SUM(AZ16:BE16)</f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3">
        <f aca="true" t="shared" si="64" ref="BO16:BO31">SUM(BG16:BN16)</f>
        <v>0</v>
      </c>
      <c r="BP16" s="42">
        <v>0</v>
      </c>
      <c r="BQ16" s="42">
        <v>0</v>
      </c>
      <c r="BR16" s="42">
        <v>0</v>
      </c>
      <c r="BS16" s="43">
        <f aca="true" t="shared" si="65" ref="BS16:BS31">+BF16-BO16+BP16+BQ16-BR16</f>
        <v>0</v>
      </c>
      <c r="BT16" s="38">
        <f>189259.45+125101.3</f>
        <v>314360.75</v>
      </c>
      <c r="BU16" s="38">
        <v>5000</v>
      </c>
      <c r="BV16" s="38">
        <v>0</v>
      </c>
      <c r="BW16" s="38">
        <v>0</v>
      </c>
      <c r="BX16" s="4">
        <f aca="true" t="shared" si="66" ref="BX16:BX31">SUM(BT16:BW16)</f>
        <v>319360.75</v>
      </c>
      <c r="BY16" s="38">
        <v>87102.25</v>
      </c>
      <c r="BZ16" s="38">
        <v>0</v>
      </c>
      <c r="CA16" s="38">
        <v>232258.5</v>
      </c>
      <c r="CB16" s="4">
        <f aca="true" t="shared" si="67" ref="CB16:CB31">SUM(BY16:CA16)</f>
        <v>319360.75</v>
      </c>
      <c r="CC16" s="4">
        <f aca="true" t="shared" si="68" ref="CC16:CC31">BX16-CB16</f>
        <v>0</v>
      </c>
      <c r="CD16" s="74">
        <f aca="true" t="shared" si="69" ref="CD16:CD31">K16+L16+AV16-AW16</f>
        <v>-187880.2</v>
      </c>
      <c r="CE16" s="76">
        <f aca="true" t="shared" si="70" ref="CE16:CE31">CD16+W16-AS16</f>
        <v>-187880.2</v>
      </c>
      <c r="CF16" s="76">
        <f aca="true" t="shared" si="71" ref="CF16:CF31">BR16-BP16</f>
        <v>0</v>
      </c>
      <c r="CG16" s="76">
        <f t="shared" si="54"/>
        <v>276636.29999999993</v>
      </c>
      <c r="CH16" s="76">
        <f aca="true" t="shared" si="72" ref="CH16:CH31">I16-AG16+AY16+AH16+BQ16</f>
        <v>3370.4</v>
      </c>
      <c r="CI16" s="37">
        <f aca="true" t="shared" si="73" ref="CI16:CI31">CH16+K16</f>
        <v>3370.4</v>
      </c>
      <c r="CJ16" s="59" t="str">
        <f t="shared" si="36"/>
        <v>-</v>
      </c>
      <c r="CK16" s="59" t="str">
        <f t="shared" si="37"/>
        <v>-</v>
      </c>
      <c r="CL16" s="141">
        <f t="shared" si="38"/>
        <v>-0.6791596041445033</v>
      </c>
      <c r="CM16" s="141">
        <f t="shared" si="39"/>
        <v>-0.6791596041445033</v>
      </c>
      <c r="CN16" s="141">
        <f t="shared" si="40"/>
        <v>0.01218350592456594</v>
      </c>
      <c r="CO16" s="141">
        <f t="shared" si="41"/>
        <v>0.01218350592456594</v>
      </c>
      <c r="CP16" s="141">
        <f t="shared" si="42"/>
        <v>0</v>
      </c>
      <c r="CQ16" s="141">
        <f t="shared" si="43"/>
        <v>0</v>
      </c>
      <c r="CR16" s="142">
        <f t="shared" si="44"/>
        <v>-1.2095926020943133</v>
      </c>
      <c r="CS16" s="76">
        <f t="shared" si="45"/>
        <v>227258.5</v>
      </c>
      <c r="CT16" s="80">
        <f aca="true" t="shared" si="74" ref="CT16:CT31">Y16-K16-L16-V16</f>
        <v>464516.5</v>
      </c>
      <c r="CU16" s="80">
        <f aca="true" t="shared" si="75" ref="CU16:CU31">AU16-AR16</f>
        <v>276636.29999999993</v>
      </c>
      <c r="CV16" s="80">
        <f aca="true" t="shared" si="76" ref="CV16:CV31">CU16-CT16</f>
        <v>-187880.20000000007</v>
      </c>
      <c r="CW16" s="80">
        <f aca="true" t="shared" si="77" ref="CW16:CW31">-V16+AR16</f>
        <v>0</v>
      </c>
      <c r="CX16" s="80">
        <f aca="true" t="shared" si="78" ref="CX16:CX31">CV16+CW16</f>
        <v>-187880.20000000007</v>
      </c>
      <c r="CY16" s="80">
        <f aca="true" t="shared" si="79" ref="CY16:CY31">CX16-K16-L16</f>
        <v>-187880.20000000007</v>
      </c>
      <c r="CZ16" s="80">
        <f aca="true" t="shared" si="80" ref="CZ16:CZ31">BR16-BP16</f>
        <v>0</v>
      </c>
      <c r="DA16" s="80">
        <f aca="true" t="shared" si="81" ref="DA16:DA31">K16+L16</f>
        <v>0</v>
      </c>
      <c r="DB16" s="80">
        <f aca="true" t="shared" si="82" ref="DB16:DB31">-CZ16+DA16+CY16</f>
        <v>-187880.20000000007</v>
      </c>
      <c r="DC16" s="80">
        <f t="shared" si="46"/>
        <v>-187880.20000000007</v>
      </c>
      <c r="DD16" s="80">
        <f aca="true" t="shared" si="83" ref="DD16:DD31">-BP16-DA16</f>
        <v>0</v>
      </c>
      <c r="DE16" s="80">
        <f aca="true" t="shared" si="84" ref="DE16:DE31">DB16+DD16+BR16</f>
        <v>-187880.20000000007</v>
      </c>
      <c r="DF16" s="80">
        <f aca="true" t="shared" si="85" ref="DF16:DF31">Z16+AA16+AB16</f>
        <v>74858.54999999999</v>
      </c>
      <c r="DG16" s="80">
        <f aca="true" t="shared" si="86" ref="DG16:DG31">CS16/B16</f>
        <v>393.8622183708839</v>
      </c>
      <c r="DH16" s="80">
        <f aca="true" t="shared" si="87" ref="DH16:DH31">CH16/B16</f>
        <v>5.841247833622184</v>
      </c>
      <c r="DI16" s="80">
        <f aca="true" t="shared" si="88" ref="DI16:DI31">DF16/B16</f>
        <v>129.73752166377815</v>
      </c>
      <c r="DJ16" s="81">
        <f aca="true" t="shared" si="89" ref="DJ16:DJ31">CZ16/B16</f>
        <v>0</v>
      </c>
      <c r="DK16" s="76">
        <f aca="true" t="shared" si="90" ref="DK16:DK31">DB16/B16</f>
        <v>-325.6155979202774</v>
      </c>
      <c r="DL16" s="145">
        <f t="shared" si="49"/>
        <v>227258.5</v>
      </c>
      <c r="DM16" s="67"/>
      <c r="DN16" s="68"/>
    </row>
    <row r="17" spans="1:118" ht="12.75">
      <c r="A17" s="52" t="s">
        <v>10</v>
      </c>
      <c r="B17" s="41">
        <v>396</v>
      </c>
      <c r="C17" s="4">
        <v>1002149</v>
      </c>
      <c r="D17" s="69">
        <v>2530.68</v>
      </c>
      <c r="E17" s="69">
        <v>73.39</v>
      </c>
      <c r="F17" s="8">
        <v>4</v>
      </c>
      <c r="G17" s="131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f t="shared" si="0"/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f t="shared" si="57"/>
        <v>0</v>
      </c>
      <c r="X17" s="43">
        <v>0</v>
      </c>
      <c r="Y17" s="43">
        <f t="shared" si="58"/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f t="shared" si="59"/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60"/>
        <v>0</v>
      </c>
      <c r="AT17" s="4">
        <v>0</v>
      </c>
      <c r="AU17" s="4">
        <f t="shared" si="61"/>
        <v>0</v>
      </c>
      <c r="AV17" s="4">
        <v>0</v>
      </c>
      <c r="AW17" s="4">
        <v>0</v>
      </c>
      <c r="AX17" s="4">
        <f t="shared" si="62"/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f t="shared" si="63"/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f t="shared" si="64"/>
        <v>0</v>
      </c>
      <c r="BP17" s="43">
        <v>0</v>
      </c>
      <c r="BQ17" s="43">
        <v>0</v>
      </c>
      <c r="BR17" s="43">
        <v>0</v>
      </c>
      <c r="BS17" s="43">
        <f t="shared" si="65"/>
        <v>0</v>
      </c>
      <c r="BT17" s="4">
        <v>0</v>
      </c>
      <c r="BU17" s="4">
        <v>0</v>
      </c>
      <c r="BV17" s="4">
        <v>0</v>
      </c>
      <c r="BW17" s="4">
        <v>0</v>
      </c>
      <c r="BX17" s="4">
        <f t="shared" si="66"/>
        <v>0</v>
      </c>
      <c r="BY17" s="4">
        <v>0</v>
      </c>
      <c r="BZ17" s="4">
        <v>0</v>
      </c>
      <c r="CA17" s="4">
        <v>0</v>
      </c>
      <c r="CB17" s="4">
        <f t="shared" si="67"/>
        <v>0</v>
      </c>
      <c r="CC17" s="4">
        <f t="shared" si="68"/>
        <v>0</v>
      </c>
      <c r="CD17" s="74">
        <f t="shared" si="69"/>
        <v>0</v>
      </c>
      <c r="CE17" s="76">
        <f t="shared" si="70"/>
        <v>0</v>
      </c>
      <c r="CF17" s="76">
        <f t="shared" si="71"/>
        <v>0</v>
      </c>
      <c r="CG17" s="76">
        <f t="shared" si="54"/>
        <v>0</v>
      </c>
      <c r="CH17" s="76">
        <f t="shared" si="72"/>
        <v>0</v>
      </c>
      <c r="CI17" s="37">
        <f t="shared" si="73"/>
        <v>0</v>
      </c>
      <c r="CJ17" s="59" t="str">
        <f t="shared" si="36"/>
        <v>-</v>
      </c>
      <c r="CK17" s="59" t="str">
        <f t="shared" si="37"/>
        <v>-</v>
      </c>
      <c r="CL17" s="141" t="str">
        <f t="shared" si="38"/>
        <v>-</v>
      </c>
      <c r="CM17" s="141" t="str">
        <f t="shared" si="39"/>
        <v>-</v>
      </c>
      <c r="CN17" s="141" t="str">
        <f t="shared" si="40"/>
        <v>-</v>
      </c>
      <c r="CO17" s="141" t="str">
        <f t="shared" si="41"/>
        <v>-</v>
      </c>
      <c r="CP17" s="141" t="str">
        <f t="shared" si="42"/>
        <v>-</v>
      </c>
      <c r="CQ17" s="141" t="str">
        <f t="shared" si="43"/>
        <v>-</v>
      </c>
      <c r="CR17" s="142" t="str">
        <f t="shared" si="44"/>
        <v>-</v>
      </c>
      <c r="CS17" s="76">
        <f t="shared" si="45"/>
        <v>0</v>
      </c>
      <c r="CT17" s="80">
        <f t="shared" si="74"/>
        <v>0</v>
      </c>
      <c r="CU17" s="80">
        <f t="shared" si="75"/>
        <v>0</v>
      </c>
      <c r="CV17" s="80">
        <f t="shared" si="76"/>
        <v>0</v>
      </c>
      <c r="CW17" s="80">
        <f t="shared" si="77"/>
        <v>0</v>
      </c>
      <c r="CX17" s="80">
        <f t="shared" si="78"/>
        <v>0</v>
      </c>
      <c r="CY17" s="80">
        <f t="shared" si="79"/>
        <v>0</v>
      </c>
      <c r="CZ17" s="80">
        <f t="shared" si="80"/>
        <v>0</v>
      </c>
      <c r="DA17" s="80">
        <f t="shared" si="81"/>
        <v>0</v>
      </c>
      <c r="DB17" s="80">
        <f t="shared" si="82"/>
        <v>0</v>
      </c>
      <c r="DC17" s="80">
        <f t="shared" si="46"/>
        <v>0</v>
      </c>
      <c r="DD17" s="80">
        <f t="shared" si="83"/>
        <v>0</v>
      </c>
      <c r="DE17" s="80">
        <f t="shared" si="84"/>
        <v>0</v>
      </c>
      <c r="DF17" s="80">
        <f t="shared" si="85"/>
        <v>0</v>
      </c>
      <c r="DG17" s="80">
        <f t="shared" si="86"/>
        <v>0</v>
      </c>
      <c r="DH17" s="80">
        <f t="shared" si="87"/>
        <v>0</v>
      </c>
      <c r="DI17" s="80">
        <f t="shared" si="88"/>
        <v>0</v>
      </c>
      <c r="DJ17" s="81">
        <f t="shared" si="89"/>
        <v>0</v>
      </c>
      <c r="DK17" s="76">
        <f t="shared" si="90"/>
        <v>0</v>
      </c>
      <c r="DL17" s="145">
        <f t="shared" si="49"/>
        <v>0</v>
      </c>
      <c r="DM17" s="64"/>
      <c r="DN17" s="65"/>
    </row>
    <row r="18" spans="1:118" ht="12.75">
      <c r="A18" s="51" t="s">
        <v>11</v>
      </c>
      <c r="B18" s="46">
        <v>1057</v>
      </c>
      <c r="C18" s="38">
        <v>7415796</v>
      </c>
      <c r="D18" s="66">
        <v>7015.89</v>
      </c>
      <c r="E18" s="66">
        <v>203.47</v>
      </c>
      <c r="F18" s="126">
        <v>1</v>
      </c>
      <c r="G18" s="132">
        <v>27680.2</v>
      </c>
      <c r="H18" s="42">
        <v>317583.9</v>
      </c>
      <c r="I18" s="42">
        <v>898.85</v>
      </c>
      <c r="J18" s="42">
        <v>0</v>
      </c>
      <c r="K18" s="42">
        <v>0</v>
      </c>
      <c r="L18" s="42">
        <v>0</v>
      </c>
      <c r="M18" s="43">
        <f t="shared" si="0"/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3">
        <f t="shared" si="57"/>
        <v>0</v>
      </c>
      <c r="X18" s="42">
        <v>0</v>
      </c>
      <c r="Y18" s="43">
        <f t="shared" si="58"/>
        <v>346162.95</v>
      </c>
      <c r="Z18" s="42">
        <v>187948.45</v>
      </c>
      <c r="AA18" s="42">
        <v>0</v>
      </c>
      <c r="AB18" s="42">
        <v>0</v>
      </c>
      <c r="AC18" s="42">
        <v>35617.15</v>
      </c>
      <c r="AD18" s="42">
        <v>0</v>
      </c>
      <c r="AE18" s="43">
        <f t="shared" si="59"/>
        <v>223565.6</v>
      </c>
      <c r="AF18" s="42">
        <v>0</v>
      </c>
      <c r="AG18" s="42">
        <v>48814.3</v>
      </c>
      <c r="AH18" s="42">
        <v>0</v>
      </c>
      <c r="AI18" s="42">
        <v>79526.25</v>
      </c>
      <c r="AJ18" s="42">
        <v>0</v>
      </c>
      <c r="AK18" s="42">
        <v>0</v>
      </c>
      <c r="AL18" s="42">
        <v>0</v>
      </c>
      <c r="AM18" s="42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60"/>
        <v>0</v>
      </c>
      <c r="AT18" s="38">
        <v>0</v>
      </c>
      <c r="AU18" s="4">
        <f t="shared" si="61"/>
        <v>351906.15</v>
      </c>
      <c r="AV18" s="38">
        <v>5743.2</v>
      </c>
      <c r="AW18" s="38">
        <v>0</v>
      </c>
      <c r="AX18" s="4">
        <f t="shared" si="62"/>
        <v>-1.1823431123048067E-11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63"/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3">
        <f t="shared" si="64"/>
        <v>0</v>
      </c>
      <c r="BP18" s="42">
        <v>0</v>
      </c>
      <c r="BQ18" s="42">
        <v>0</v>
      </c>
      <c r="BR18" s="42">
        <v>0</v>
      </c>
      <c r="BS18" s="43">
        <f t="shared" si="65"/>
        <v>0</v>
      </c>
      <c r="BT18" s="38">
        <v>1664589.95</v>
      </c>
      <c r="BU18" s="38">
        <v>0</v>
      </c>
      <c r="BV18" s="38">
        <v>0</v>
      </c>
      <c r="BW18" s="38">
        <v>0</v>
      </c>
      <c r="BX18" s="4">
        <f t="shared" si="66"/>
        <v>1664589.95</v>
      </c>
      <c r="BY18" s="38">
        <v>193690.75</v>
      </c>
      <c r="BZ18" s="38">
        <v>0</v>
      </c>
      <c r="CA18" s="38">
        <v>1470899.2</v>
      </c>
      <c r="CB18" s="4">
        <f t="shared" si="67"/>
        <v>1664589.95</v>
      </c>
      <c r="CC18" s="4">
        <f t="shared" si="68"/>
        <v>0</v>
      </c>
      <c r="CD18" s="74">
        <f t="shared" si="69"/>
        <v>5743.2</v>
      </c>
      <c r="CE18" s="76">
        <f t="shared" si="70"/>
        <v>5743.2</v>
      </c>
      <c r="CF18" s="76">
        <f t="shared" si="71"/>
        <v>0</v>
      </c>
      <c r="CG18" s="76">
        <f t="shared" si="54"/>
        <v>351906.15</v>
      </c>
      <c r="CH18" s="76">
        <f t="shared" si="72"/>
        <v>-47915.450000000004</v>
      </c>
      <c r="CI18" s="37">
        <f t="shared" si="73"/>
        <v>-47915.450000000004</v>
      </c>
      <c r="CJ18" s="59" t="str">
        <f t="shared" si="36"/>
        <v>-</v>
      </c>
      <c r="CK18" s="59" t="str">
        <f t="shared" si="37"/>
        <v>-</v>
      </c>
      <c r="CL18" s="141">
        <f t="shared" si="38"/>
        <v>0.016320260387606183</v>
      </c>
      <c r="CM18" s="141">
        <f t="shared" si="39"/>
        <v>0.016320260387606183</v>
      </c>
      <c r="CN18" s="141">
        <f t="shared" si="40"/>
        <v>-0.13615974031712716</v>
      </c>
      <c r="CO18" s="141">
        <f t="shared" si="41"/>
        <v>-0.13615974031712716</v>
      </c>
      <c r="CP18" s="141" t="str">
        <f t="shared" si="42"/>
        <v>-</v>
      </c>
      <c r="CQ18" s="141" t="str">
        <f t="shared" si="43"/>
        <v>-</v>
      </c>
      <c r="CR18" s="142">
        <f t="shared" si="44"/>
        <v>256.1114361331662</v>
      </c>
      <c r="CS18" s="76">
        <f t="shared" si="45"/>
        <v>1470899.2</v>
      </c>
      <c r="CT18" s="80">
        <f t="shared" si="74"/>
        <v>346162.95</v>
      </c>
      <c r="CU18" s="80">
        <f t="shared" si="75"/>
        <v>351906.15</v>
      </c>
      <c r="CV18" s="80">
        <f t="shared" si="76"/>
        <v>5743.200000000012</v>
      </c>
      <c r="CW18" s="80">
        <f t="shared" si="77"/>
        <v>0</v>
      </c>
      <c r="CX18" s="80">
        <f t="shared" si="78"/>
        <v>5743.200000000012</v>
      </c>
      <c r="CY18" s="80">
        <f t="shared" si="79"/>
        <v>5743.200000000012</v>
      </c>
      <c r="CZ18" s="80">
        <f t="shared" si="80"/>
        <v>0</v>
      </c>
      <c r="DA18" s="80">
        <f t="shared" si="81"/>
        <v>0</v>
      </c>
      <c r="DB18" s="80">
        <f t="shared" si="82"/>
        <v>5743.200000000012</v>
      </c>
      <c r="DC18" s="80">
        <f t="shared" si="46"/>
        <v>5743.200000000012</v>
      </c>
      <c r="DD18" s="80">
        <f t="shared" si="83"/>
        <v>0</v>
      </c>
      <c r="DE18" s="80">
        <f t="shared" si="84"/>
        <v>5743.200000000012</v>
      </c>
      <c r="DF18" s="80">
        <f t="shared" si="85"/>
        <v>187948.45</v>
      </c>
      <c r="DG18" s="80">
        <f t="shared" si="86"/>
        <v>1391.5791863765373</v>
      </c>
      <c r="DH18" s="80">
        <f t="shared" si="87"/>
        <v>-45.33155156102176</v>
      </c>
      <c r="DI18" s="80">
        <f t="shared" si="88"/>
        <v>177.81310312204354</v>
      </c>
      <c r="DJ18" s="81">
        <f t="shared" si="89"/>
        <v>0</v>
      </c>
      <c r="DK18" s="76">
        <f t="shared" si="90"/>
        <v>5.43349101229897</v>
      </c>
      <c r="DL18" s="145">
        <f t="shared" si="49"/>
        <v>1470899.2</v>
      </c>
      <c r="DM18" s="67"/>
      <c r="DN18" s="68"/>
    </row>
    <row r="19" spans="1:118" ht="12.75">
      <c r="A19" s="52" t="s">
        <v>35</v>
      </c>
      <c r="B19" s="41">
        <v>2879</v>
      </c>
      <c r="C19" s="4">
        <v>9157502</v>
      </c>
      <c r="D19" s="69">
        <v>3180.79</v>
      </c>
      <c r="E19" s="69">
        <v>92.25</v>
      </c>
      <c r="F19" s="8">
        <v>4</v>
      </c>
      <c r="G19" s="131">
        <v>71959.65</v>
      </c>
      <c r="H19" s="43">
        <v>17414.65</v>
      </c>
      <c r="I19" s="43">
        <v>29395.75</v>
      </c>
      <c r="J19" s="43">
        <v>0</v>
      </c>
      <c r="K19" s="43">
        <v>0</v>
      </c>
      <c r="L19" s="43">
        <v>0</v>
      </c>
      <c r="M19" s="43">
        <f t="shared" si="0"/>
        <v>0</v>
      </c>
      <c r="N19" s="43">
        <v>0</v>
      </c>
      <c r="O19" s="43">
        <v>6069.25</v>
      </c>
      <c r="P19" s="43">
        <v>1145490.8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f t="shared" si="57"/>
        <v>0</v>
      </c>
      <c r="X19" s="43">
        <v>0</v>
      </c>
      <c r="Y19" s="43">
        <f t="shared" si="58"/>
        <v>1270330.1</v>
      </c>
      <c r="Z19" s="43">
        <v>577865.65</v>
      </c>
      <c r="AA19" s="43">
        <v>40375.35</v>
      </c>
      <c r="AB19" s="43">
        <v>0</v>
      </c>
      <c r="AC19" s="43">
        <v>108388.1</v>
      </c>
      <c r="AD19" s="43">
        <v>0</v>
      </c>
      <c r="AE19" s="43">
        <f t="shared" si="59"/>
        <v>726629.1</v>
      </c>
      <c r="AF19" s="43">
        <v>0</v>
      </c>
      <c r="AG19" s="43">
        <v>21687.05</v>
      </c>
      <c r="AH19" s="43">
        <v>0</v>
      </c>
      <c r="AI19" s="43">
        <v>598621.75</v>
      </c>
      <c r="AJ19" s="43">
        <v>-118.15</v>
      </c>
      <c r="AK19" s="43">
        <v>0</v>
      </c>
      <c r="AL19" s="43">
        <v>0</v>
      </c>
      <c r="AM19" s="43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60"/>
        <v>0</v>
      </c>
      <c r="AT19" s="4">
        <v>0</v>
      </c>
      <c r="AU19" s="4">
        <f t="shared" si="61"/>
        <v>1346819.75</v>
      </c>
      <c r="AV19" s="4">
        <v>76489.65</v>
      </c>
      <c r="AW19" s="4">
        <v>0</v>
      </c>
      <c r="AX19" s="4">
        <f t="shared" si="62"/>
        <v>8.731149137020111E-11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f t="shared" si="63"/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f t="shared" si="64"/>
        <v>0</v>
      </c>
      <c r="BP19" s="43">
        <v>0</v>
      </c>
      <c r="BQ19" s="43">
        <v>0</v>
      </c>
      <c r="BR19" s="43">
        <v>0</v>
      </c>
      <c r="BS19" s="43">
        <f t="shared" si="65"/>
        <v>0</v>
      </c>
      <c r="BT19" s="4">
        <v>1606727.5</v>
      </c>
      <c r="BU19" s="4">
        <v>0</v>
      </c>
      <c r="BV19" s="4">
        <v>0</v>
      </c>
      <c r="BW19" s="4">
        <v>0</v>
      </c>
      <c r="BX19" s="4">
        <f t="shared" si="66"/>
        <v>1606727.5</v>
      </c>
      <c r="BY19" s="4">
        <v>896689.4</v>
      </c>
      <c r="BZ19" s="4">
        <v>0</v>
      </c>
      <c r="CA19" s="4">
        <v>710038.1</v>
      </c>
      <c r="CB19" s="4">
        <f t="shared" si="67"/>
        <v>1606727.5</v>
      </c>
      <c r="CC19" s="4">
        <f t="shared" si="68"/>
        <v>0</v>
      </c>
      <c r="CD19" s="74">
        <f t="shared" si="69"/>
        <v>76489.65</v>
      </c>
      <c r="CE19" s="76">
        <f t="shared" si="70"/>
        <v>76489.65</v>
      </c>
      <c r="CF19" s="76">
        <f t="shared" si="71"/>
        <v>0</v>
      </c>
      <c r="CG19" s="76">
        <f t="shared" si="54"/>
        <v>1346819.75</v>
      </c>
      <c r="CH19" s="76">
        <f t="shared" si="72"/>
        <v>7708.700000000001</v>
      </c>
      <c r="CI19" s="37">
        <f t="shared" si="73"/>
        <v>7708.700000000001</v>
      </c>
      <c r="CJ19" s="59" t="str">
        <f t="shared" si="36"/>
        <v>-</v>
      </c>
      <c r="CK19" s="59" t="str">
        <f t="shared" si="37"/>
        <v>-</v>
      </c>
      <c r="CL19" s="141">
        <f t="shared" si="38"/>
        <v>0.056792789087032614</v>
      </c>
      <c r="CM19" s="141">
        <f t="shared" si="39"/>
        <v>0.056792789087032614</v>
      </c>
      <c r="CN19" s="141">
        <f t="shared" si="40"/>
        <v>0.005723631540152274</v>
      </c>
      <c r="CO19" s="141">
        <f t="shared" si="41"/>
        <v>0.005723631540152274</v>
      </c>
      <c r="CP19" s="141" t="str">
        <f t="shared" si="42"/>
        <v>-</v>
      </c>
      <c r="CQ19" s="141" t="str">
        <f t="shared" si="43"/>
        <v>-</v>
      </c>
      <c r="CR19" s="142">
        <f t="shared" si="44"/>
        <v>9.28279969904425</v>
      </c>
      <c r="CS19" s="76">
        <f t="shared" si="45"/>
        <v>710038.1</v>
      </c>
      <c r="CT19" s="80">
        <f t="shared" si="74"/>
        <v>1270330.1</v>
      </c>
      <c r="CU19" s="80">
        <f t="shared" si="75"/>
        <v>1346819.75</v>
      </c>
      <c r="CV19" s="80">
        <f t="shared" si="76"/>
        <v>76489.6499999999</v>
      </c>
      <c r="CW19" s="80">
        <f t="shared" si="77"/>
        <v>0</v>
      </c>
      <c r="CX19" s="80">
        <f t="shared" si="78"/>
        <v>76489.6499999999</v>
      </c>
      <c r="CY19" s="80">
        <f t="shared" si="79"/>
        <v>76489.6499999999</v>
      </c>
      <c r="CZ19" s="80">
        <f t="shared" si="80"/>
        <v>0</v>
      </c>
      <c r="DA19" s="80">
        <f t="shared" si="81"/>
        <v>0</v>
      </c>
      <c r="DB19" s="80">
        <f t="shared" si="82"/>
        <v>76489.6499999999</v>
      </c>
      <c r="DC19" s="80">
        <f t="shared" si="46"/>
        <v>76489.6499999999</v>
      </c>
      <c r="DD19" s="80">
        <f t="shared" si="83"/>
        <v>0</v>
      </c>
      <c r="DE19" s="80">
        <f t="shared" si="84"/>
        <v>76489.6499999999</v>
      </c>
      <c r="DF19" s="80">
        <f t="shared" si="85"/>
        <v>618241</v>
      </c>
      <c r="DG19" s="80">
        <f t="shared" si="86"/>
        <v>246.62664119485933</v>
      </c>
      <c r="DH19" s="80">
        <f t="shared" si="87"/>
        <v>2.6775616533518587</v>
      </c>
      <c r="DI19" s="80">
        <f t="shared" si="88"/>
        <v>214.74157693643627</v>
      </c>
      <c r="DJ19" s="81">
        <f t="shared" si="89"/>
        <v>0</v>
      </c>
      <c r="DK19" s="76">
        <f t="shared" si="90"/>
        <v>26.568131295588714</v>
      </c>
      <c r="DL19" s="145">
        <f t="shared" si="49"/>
        <v>710038.1</v>
      </c>
      <c r="DM19" s="64"/>
      <c r="DN19" s="65"/>
    </row>
    <row r="20" spans="1:118" ht="12.75">
      <c r="A20" s="51" t="s">
        <v>12</v>
      </c>
      <c r="B20" s="46">
        <v>468</v>
      </c>
      <c r="C20" s="38">
        <v>1159358</v>
      </c>
      <c r="D20" s="66">
        <v>2477.26</v>
      </c>
      <c r="E20" s="66">
        <v>71.85</v>
      </c>
      <c r="F20" s="126">
        <v>4</v>
      </c>
      <c r="G20" s="132">
        <v>6719</v>
      </c>
      <c r="H20" s="42">
        <v>832.15</v>
      </c>
      <c r="I20" s="42">
        <v>1.95</v>
      </c>
      <c r="J20" s="42">
        <v>0</v>
      </c>
      <c r="K20" s="42">
        <v>0</v>
      </c>
      <c r="L20" s="42">
        <v>0</v>
      </c>
      <c r="M20" s="43">
        <f t="shared" si="0"/>
        <v>0</v>
      </c>
      <c r="N20" s="42">
        <v>0</v>
      </c>
      <c r="O20" s="42">
        <v>4955.15</v>
      </c>
      <c r="P20" s="42">
        <v>121039.8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3">
        <f t="shared" si="57"/>
        <v>0</v>
      </c>
      <c r="X20" s="42">
        <v>0</v>
      </c>
      <c r="Y20" s="43">
        <f t="shared" si="58"/>
        <v>133548.05</v>
      </c>
      <c r="Z20" s="42">
        <v>71131.85</v>
      </c>
      <c r="AA20" s="42">
        <v>11125.05</v>
      </c>
      <c r="AB20" s="42">
        <v>0</v>
      </c>
      <c r="AC20" s="42">
        <v>15769.95</v>
      </c>
      <c r="AD20" s="42">
        <v>0</v>
      </c>
      <c r="AE20" s="43">
        <f t="shared" si="59"/>
        <v>98026.85</v>
      </c>
      <c r="AF20" s="42">
        <v>0</v>
      </c>
      <c r="AG20" s="42">
        <v>779.9</v>
      </c>
      <c r="AH20" s="42">
        <v>0</v>
      </c>
      <c r="AI20" s="42">
        <v>46486.05</v>
      </c>
      <c r="AJ20" s="42">
        <v>0</v>
      </c>
      <c r="AK20" s="42">
        <v>809</v>
      </c>
      <c r="AL20" s="42">
        <v>0</v>
      </c>
      <c r="AM20" s="42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60"/>
        <v>0</v>
      </c>
      <c r="AT20" s="38">
        <v>0</v>
      </c>
      <c r="AU20" s="4">
        <f t="shared" si="61"/>
        <v>146101.80000000002</v>
      </c>
      <c r="AV20" s="38">
        <v>12553.75</v>
      </c>
      <c r="AW20" s="38">
        <v>0</v>
      </c>
      <c r="AX20" s="4">
        <f t="shared" si="62"/>
        <v>-2.9103830456733704E-11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3">
        <f t="shared" si="63"/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3">
        <f t="shared" si="64"/>
        <v>0</v>
      </c>
      <c r="BP20" s="42">
        <v>0</v>
      </c>
      <c r="BQ20" s="42">
        <v>0</v>
      </c>
      <c r="BR20" s="42">
        <v>0</v>
      </c>
      <c r="BS20" s="43">
        <f t="shared" si="65"/>
        <v>0</v>
      </c>
      <c r="BT20" s="38">
        <v>208431.78</v>
      </c>
      <c r="BU20" s="38">
        <v>0</v>
      </c>
      <c r="BV20" s="38">
        <v>0</v>
      </c>
      <c r="BW20" s="38">
        <v>0</v>
      </c>
      <c r="BX20" s="4">
        <f t="shared" si="66"/>
        <v>208431.78</v>
      </c>
      <c r="BY20" s="38">
        <v>64456.7</v>
      </c>
      <c r="BZ20" s="38">
        <v>0</v>
      </c>
      <c r="CA20" s="38">
        <v>143975.08</v>
      </c>
      <c r="CB20" s="4">
        <f t="shared" si="67"/>
        <v>208431.77999999997</v>
      </c>
      <c r="CC20" s="4">
        <f t="shared" si="68"/>
        <v>0</v>
      </c>
      <c r="CD20" s="74">
        <f t="shared" si="69"/>
        <v>12553.75</v>
      </c>
      <c r="CE20" s="76">
        <f t="shared" si="70"/>
        <v>12553.75</v>
      </c>
      <c r="CF20" s="76">
        <f t="shared" si="71"/>
        <v>0</v>
      </c>
      <c r="CG20" s="76">
        <f t="shared" si="54"/>
        <v>146101.80000000002</v>
      </c>
      <c r="CH20" s="76">
        <f t="shared" si="72"/>
        <v>-777.9499999999999</v>
      </c>
      <c r="CI20" s="37">
        <f t="shared" si="73"/>
        <v>-777.9499999999999</v>
      </c>
      <c r="CJ20" s="59" t="str">
        <f t="shared" si="36"/>
        <v>-</v>
      </c>
      <c r="CK20" s="59" t="str">
        <f t="shared" si="37"/>
        <v>-</v>
      </c>
      <c r="CL20" s="141">
        <f t="shared" si="38"/>
        <v>0.08592467717714633</v>
      </c>
      <c r="CM20" s="141">
        <f t="shared" si="39"/>
        <v>0.08592467717714633</v>
      </c>
      <c r="CN20" s="141">
        <f t="shared" si="40"/>
        <v>-0.00532471194742296</v>
      </c>
      <c r="CO20" s="141">
        <f t="shared" si="41"/>
        <v>-0.00532471194742296</v>
      </c>
      <c r="CP20" s="141" t="str">
        <f t="shared" si="42"/>
        <v>-</v>
      </c>
      <c r="CQ20" s="141" t="str">
        <f t="shared" si="43"/>
        <v>-</v>
      </c>
      <c r="CR20" s="142">
        <f t="shared" si="44"/>
        <v>11.468691028577119</v>
      </c>
      <c r="CS20" s="76">
        <f t="shared" si="45"/>
        <v>143975.08000000002</v>
      </c>
      <c r="CT20" s="80">
        <f t="shared" si="74"/>
        <v>133548.05</v>
      </c>
      <c r="CU20" s="80">
        <f t="shared" si="75"/>
        <v>146101.80000000002</v>
      </c>
      <c r="CV20" s="80">
        <f t="shared" si="76"/>
        <v>12553.75000000003</v>
      </c>
      <c r="CW20" s="80">
        <f t="shared" si="77"/>
        <v>0</v>
      </c>
      <c r="CX20" s="80">
        <f t="shared" si="78"/>
        <v>12553.75000000003</v>
      </c>
      <c r="CY20" s="80">
        <f t="shared" si="79"/>
        <v>12553.75000000003</v>
      </c>
      <c r="CZ20" s="80">
        <f t="shared" si="80"/>
        <v>0</v>
      </c>
      <c r="DA20" s="80">
        <f t="shared" si="81"/>
        <v>0</v>
      </c>
      <c r="DB20" s="80">
        <f t="shared" si="82"/>
        <v>12553.75000000003</v>
      </c>
      <c r="DC20" s="80">
        <f t="shared" si="46"/>
        <v>12553.75000000003</v>
      </c>
      <c r="DD20" s="80">
        <f t="shared" si="83"/>
        <v>0</v>
      </c>
      <c r="DE20" s="80">
        <f t="shared" si="84"/>
        <v>12553.75000000003</v>
      </c>
      <c r="DF20" s="80">
        <f t="shared" si="85"/>
        <v>82256.90000000001</v>
      </c>
      <c r="DG20" s="80">
        <f t="shared" si="86"/>
        <v>307.6390598290599</v>
      </c>
      <c r="DH20" s="80">
        <f t="shared" si="87"/>
        <v>-1.6622863247863247</v>
      </c>
      <c r="DI20" s="80">
        <f t="shared" si="88"/>
        <v>175.76260683760685</v>
      </c>
      <c r="DJ20" s="81">
        <f t="shared" si="89"/>
        <v>0</v>
      </c>
      <c r="DK20" s="76">
        <f t="shared" si="90"/>
        <v>26.8242521367522</v>
      </c>
      <c r="DL20" s="145">
        <f t="shared" si="49"/>
        <v>143975.08</v>
      </c>
      <c r="DM20" s="67"/>
      <c r="DN20" s="68"/>
    </row>
    <row r="21" spans="1:118" ht="12.75">
      <c r="A21" s="52" t="s">
        <v>13</v>
      </c>
      <c r="B21" s="41">
        <v>3948</v>
      </c>
      <c r="C21" s="4">
        <v>18979780</v>
      </c>
      <c r="D21" s="69">
        <v>4807.44</v>
      </c>
      <c r="E21" s="69">
        <v>139.42</v>
      </c>
      <c r="F21" s="8">
        <v>2</v>
      </c>
      <c r="G21" s="131">
        <v>67839.9</v>
      </c>
      <c r="H21" s="131">
        <v>12440.98</v>
      </c>
      <c r="I21" s="131">
        <v>927.6</v>
      </c>
      <c r="J21" s="131">
        <v>0</v>
      </c>
      <c r="K21" s="131">
        <v>0</v>
      </c>
      <c r="L21" s="131">
        <v>0</v>
      </c>
      <c r="M21" s="43">
        <f t="shared" si="0"/>
        <v>0</v>
      </c>
      <c r="N21" s="131">
        <v>0</v>
      </c>
      <c r="O21" s="131">
        <v>13410.55</v>
      </c>
      <c r="P21" s="131">
        <v>1524147.85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43">
        <f t="shared" si="57"/>
        <v>0</v>
      </c>
      <c r="X21" s="131">
        <v>8500</v>
      </c>
      <c r="Y21" s="43">
        <f t="shared" si="58"/>
        <v>1627266.8800000001</v>
      </c>
      <c r="Z21" s="131">
        <v>718414.25</v>
      </c>
      <c r="AA21" s="131">
        <v>196661.95</v>
      </c>
      <c r="AB21" s="131">
        <v>0</v>
      </c>
      <c r="AC21" s="131">
        <v>133033.6</v>
      </c>
      <c r="AD21" s="131">
        <v>0</v>
      </c>
      <c r="AE21" s="43">
        <f t="shared" si="59"/>
        <v>1048109.7999999999</v>
      </c>
      <c r="AF21" s="131">
        <v>0</v>
      </c>
      <c r="AG21" s="131">
        <v>1780.45</v>
      </c>
      <c r="AH21" s="131">
        <v>0</v>
      </c>
      <c r="AI21" s="131">
        <v>668404.51</v>
      </c>
      <c r="AJ21" s="131">
        <v>0</v>
      </c>
      <c r="AK21" s="131">
        <v>44833.75</v>
      </c>
      <c r="AL21" s="131">
        <v>0</v>
      </c>
      <c r="AM21" s="131">
        <v>0</v>
      </c>
      <c r="AN21" s="131">
        <v>0</v>
      </c>
      <c r="AO21" s="131">
        <v>0</v>
      </c>
      <c r="AP21" s="131">
        <v>0</v>
      </c>
      <c r="AQ21" s="131">
        <v>0</v>
      </c>
      <c r="AR21" s="131">
        <v>0</v>
      </c>
      <c r="AS21" s="4">
        <f t="shared" si="60"/>
        <v>0</v>
      </c>
      <c r="AT21" s="131">
        <v>8500</v>
      </c>
      <c r="AU21" s="4">
        <f t="shared" si="61"/>
        <v>1771628.5099999998</v>
      </c>
      <c r="AV21" s="131">
        <v>144361.63</v>
      </c>
      <c r="AW21" s="131">
        <v>0</v>
      </c>
      <c r="AX21" s="4">
        <f t="shared" si="62"/>
        <v>3.4924596548080444E-10</v>
      </c>
      <c r="AY21" s="131">
        <v>0</v>
      </c>
      <c r="AZ21" s="131">
        <v>0</v>
      </c>
      <c r="BA21" s="131">
        <v>0</v>
      </c>
      <c r="BB21" s="131">
        <v>0</v>
      </c>
      <c r="BC21" s="131">
        <v>0</v>
      </c>
      <c r="BD21" s="131">
        <v>0</v>
      </c>
      <c r="BE21" s="131">
        <v>0</v>
      </c>
      <c r="BF21" s="43">
        <f t="shared" si="63"/>
        <v>0</v>
      </c>
      <c r="BG21" s="131">
        <v>0</v>
      </c>
      <c r="BH21" s="131">
        <v>0</v>
      </c>
      <c r="BI21" s="131">
        <v>0</v>
      </c>
      <c r="BJ21" s="131">
        <v>0</v>
      </c>
      <c r="BK21" s="131">
        <v>0</v>
      </c>
      <c r="BL21" s="131">
        <v>0</v>
      </c>
      <c r="BM21" s="131">
        <v>0</v>
      </c>
      <c r="BN21" s="131">
        <v>0</v>
      </c>
      <c r="BO21" s="43">
        <f t="shared" si="64"/>
        <v>0</v>
      </c>
      <c r="BP21" s="131">
        <v>0</v>
      </c>
      <c r="BQ21" s="131">
        <v>0</v>
      </c>
      <c r="BR21" s="131">
        <v>0</v>
      </c>
      <c r="BS21" s="43">
        <f t="shared" si="65"/>
        <v>0</v>
      </c>
      <c r="BT21" s="131">
        <v>1050357.04</v>
      </c>
      <c r="BU21" s="131">
        <v>0</v>
      </c>
      <c r="BV21" s="131">
        <v>0</v>
      </c>
      <c r="BW21" s="131">
        <v>0</v>
      </c>
      <c r="BX21" s="4">
        <f t="shared" si="66"/>
        <v>1050357.04</v>
      </c>
      <c r="BY21" s="131">
        <v>357240.38</v>
      </c>
      <c r="BZ21" s="131">
        <v>0</v>
      </c>
      <c r="CA21" s="131">
        <v>693116.66</v>
      </c>
      <c r="CB21" s="4">
        <f t="shared" si="67"/>
        <v>1050357.04</v>
      </c>
      <c r="CC21" s="4">
        <f t="shared" si="68"/>
        <v>0</v>
      </c>
      <c r="CD21" s="74">
        <f t="shared" si="69"/>
        <v>144361.63</v>
      </c>
      <c r="CE21" s="76">
        <f t="shared" si="70"/>
        <v>144361.63</v>
      </c>
      <c r="CF21" s="76">
        <f t="shared" si="71"/>
        <v>0</v>
      </c>
      <c r="CG21" s="76">
        <f t="shared" si="54"/>
        <v>1763128.5099999998</v>
      </c>
      <c r="CH21" s="76">
        <f t="shared" si="72"/>
        <v>-852.85</v>
      </c>
      <c r="CI21" s="37">
        <f t="shared" si="73"/>
        <v>-852.85</v>
      </c>
      <c r="CJ21" s="59" t="str">
        <f t="shared" si="36"/>
        <v>-</v>
      </c>
      <c r="CK21" s="59" t="str">
        <f t="shared" si="37"/>
        <v>-</v>
      </c>
      <c r="CL21" s="141">
        <f t="shared" si="38"/>
        <v>0.08187810995127066</v>
      </c>
      <c r="CM21" s="141">
        <f t="shared" si="39"/>
        <v>0.08187810995127066</v>
      </c>
      <c r="CN21" s="141">
        <f t="shared" si="40"/>
        <v>-0.0004837140317128671</v>
      </c>
      <c r="CO21" s="141">
        <f t="shared" si="41"/>
        <v>-0.0004837140317128671</v>
      </c>
      <c r="CP21" s="141" t="str">
        <f t="shared" si="42"/>
        <v>-</v>
      </c>
      <c r="CQ21" s="141" t="str">
        <f t="shared" si="43"/>
        <v>-</v>
      </c>
      <c r="CR21" s="142">
        <f t="shared" si="44"/>
        <v>4.801252659726827</v>
      </c>
      <c r="CS21" s="76">
        <f t="shared" si="45"/>
        <v>693116.66</v>
      </c>
      <c r="CT21" s="80">
        <f t="shared" si="74"/>
        <v>1627266.8800000001</v>
      </c>
      <c r="CU21" s="80">
        <f t="shared" si="75"/>
        <v>1771628.5099999998</v>
      </c>
      <c r="CV21" s="80">
        <f t="shared" si="76"/>
        <v>144361.62999999966</v>
      </c>
      <c r="CW21" s="80">
        <f t="shared" si="77"/>
        <v>0</v>
      </c>
      <c r="CX21" s="80">
        <f t="shared" si="78"/>
        <v>144361.62999999966</v>
      </c>
      <c r="CY21" s="80">
        <f t="shared" si="79"/>
        <v>144361.62999999966</v>
      </c>
      <c r="CZ21" s="80">
        <f t="shared" si="80"/>
        <v>0</v>
      </c>
      <c r="DA21" s="80">
        <f t="shared" si="81"/>
        <v>0</v>
      </c>
      <c r="DB21" s="80">
        <f t="shared" si="82"/>
        <v>144361.62999999966</v>
      </c>
      <c r="DC21" s="80">
        <f t="shared" si="46"/>
        <v>144361.62999999966</v>
      </c>
      <c r="DD21" s="80">
        <f t="shared" si="83"/>
        <v>0</v>
      </c>
      <c r="DE21" s="80">
        <f t="shared" si="84"/>
        <v>144361.62999999966</v>
      </c>
      <c r="DF21" s="80">
        <f t="shared" si="85"/>
        <v>915076.2</v>
      </c>
      <c r="DG21" s="80">
        <f t="shared" si="86"/>
        <v>175.5614640324215</v>
      </c>
      <c r="DH21" s="80">
        <f t="shared" si="87"/>
        <v>-0.21602077001013173</v>
      </c>
      <c r="DI21" s="80">
        <f t="shared" si="88"/>
        <v>231.78221884498478</v>
      </c>
      <c r="DJ21" s="81">
        <f t="shared" si="89"/>
        <v>0</v>
      </c>
      <c r="DK21" s="76">
        <f t="shared" si="90"/>
        <v>36.56576241134743</v>
      </c>
      <c r="DL21" s="145">
        <f t="shared" si="49"/>
        <v>693116.66</v>
      </c>
      <c r="DM21" s="64"/>
      <c r="DN21" s="65"/>
    </row>
    <row r="22" spans="1:118" ht="12.75">
      <c r="A22" s="51" t="s">
        <v>14</v>
      </c>
      <c r="B22" s="46">
        <v>2766</v>
      </c>
      <c r="C22" s="38">
        <v>9526953</v>
      </c>
      <c r="D22" s="66">
        <v>3444.31</v>
      </c>
      <c r="E22" s="66">
        <v>99.89</v>
      </c>
      <c r="F22" s="126">
        <v>1</v>
      </c>
      <c r="G22" s="132">
        <v>40349.75</v>
      </c>
      <c r="H22" s="42">
        <v>12792.9</v>
      </c>
      <c r="I22" s="42">
        <v>0</v>
      </c>
      <c r="J22" s="42">
        <v>7081.6</v>
      </c>
      <c r="K22" s="42">
        <v>0</v>
      </c>
      <c r="L22" s="42">
        <v>0</v>
      </c>
      <c r="M22" s="43">
        <f t="shared" si="0"/>
        <v>0</v>
      </c>
      <c r="N22" s="42">
        <v>0</v>
      </c>
      <c r="O22" s="42">
        <v>0</v>
      </c>
      <c r="P22" s="42">
        <v>1072971.4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3">
        <f t="shared" si="57"/>
        <v>0</v>
      </c>
      <c r="X22" s="42">
        <v>0</v>
      </c>
      <c r="Y22" s="43">
        <f t="shared" si="58"/>
        <v>1133195.65</v>
      </c>
      <c r="Z22" s="42">
        <v>380989.75</v>
      </c>
      <c r="AA22" s="42">
        <v>51988.9</v>
      </c>
      <c r="AB22" s="42">
        <v>0</v>
      </c>
      <c r="AC22" s="42">
        <v>93204.4</v>
      </c>
      <c r="AD22" s="42">
        <v>0</v>
      </c>
      <c r="AE22" s="43">
        <f t="shared" si="59"/>
        <v>526183.05</v>
      </c>
      <c r="AF22" s="42">
        <v>0</v>
      </c>
      <c r="AG22" s="42">
        <v>20705.6</v>
      </c>
      <c r="AH22" s="42">
        <v>20412</v>
      </c>
      <c r="AI22" s="42">
        <v>488758.2</v>
      </c>
      <c r="AJ22" s="42">
        <v>0</v>
      </c>
      <c r="AK22" s="42">
        <v>0</v>
      </c>
      <c r="AL22" s="42">
        <v>0</v>
      </c>
      <c r="AM22" s="42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4">
        <f t="shared" si="60"/>
        <v>0</v>
      </c>
      <c r="AT22" s="38">
        <v>0</v>
      </c>
      <c r="AU22" s="4">
        <f t="shared" si="61"/>
        <v>1035646.8500000001</v>
      </c>
      <c r="AV22" s="38">
        <v>0</v>
      </c>
      <c r="AW22" s="38">
        <v>97548.8</v>
      </c>
      <c r="AX22" s="4">
        <f t="shared" si="62"/>
        <v>-1.8917489796876907E-10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3">
        <f t="shared" si="63"/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3">
        <f t="shared" si="64"/>
        <v>0</v>
      </c>
      <c r="BP22" s="42">
        <v>0</v>
      </c>
      <c r="BQ22" s="42">
        <v>0</v>
      </c>
      <c r="BR22" s="42">
        <v>0</v>
      </c>
      <c r="BS22" s="43">
        <f t="shared" si="65"/>
        <v>0</v>
      </c>
      <c r="BT22" s="38">
        <v>912573</v>
      </c>
      <c r="BU22" s="38">
        <v>1</v>
      </c>
      <c r="BV22" s="38">
        <v>0</v>
      </c>
      <c r="BW22" s="38">
        <v>0</v>
      </c>
      <c r="BX22" s="4">
        <f t="shared" si="66"/>
        <v>912574</v>
      </c>
      <c r="BY22" s="38">
        <v>256543</v>
      </c>
      <c r="BZ22" s="38">
        <v>0</v>
      </c>
      <c r="CA22" s="38">
        <v>656031</v>
      </c>
      <c r="CB22" s="4">
        <f t="shared" si="67"/>
        <v>912574</v>
      </c>
      <c r="CC22" s="4">
        <f t="shared" si="68"/>
        <v>0</v>
      </c>
      <c r="CD22" s="74">
        <f t="shared" si="69"/>
        <v>-97548.8</v>
      </c>
      <c r="CE22" s="76">
        <f t="shared" si="70"/>
        <v>-97548.8</v>
      </c>
      <c r="CF22" s="76">
        <f t="shared" si="71"/>
        <v>0</v>
      </c>
      <c r="CG22" s="76">
        <f t="shared" si="54"/>
        <v>1035646.8500000001</v>
      </c>
      <c r="CH22" s="76">
        <f t="shared" si="72"/>
        <v>-293.59999999999854</v>
      </c>
      <c r="CI22" s="37">
        <f t="shared" si="73"/>
        <v>-293.59999999999854</v>
      </c>
      <c r="CJ22" s="59" t="str">
        <f t="shared" si="36"/>
        <v>-</v>
      </c>
      <c r="CK22" s="59" t="str">
        <f t="shared" si="37"/>
        <v>-</v>
      </c>
      <c r="CL22" s="141">
        <f t="shared" si="38"/>
        <v>-0.09419118109614295</v>
      </c>
      <c r="CM22" s="141">
        <f t="shared" si="39"/>
        <v>-0.09419118109614295</v>
      </c>
      <c r="CN22" s="141">
        <f t="shared" si="40"/>
        <v>-0.0002834943204819273</v>
      </c>
      <c r="CO22" s="141">
        <f t="shared" si="41"/>
        <v>-0.0002834943204819273</v>
      </c>
      <c r="CP22" s="141">
        <f t="shared" si="42"/>
        <v>0</v>
      </c>
      <c r="CQ22" s="141">
        <f t="shared" si="43"/>
        <v>0</v>
      </c>
      <c r="CR22" s="142">
        <f t="shared" si="44"/>
        <v>-6.72514679832043</v>
      </c>
      <c r="CS22" s="76">
        <f t="shared" si="45"/>
        <v>656030</v>
      </c>
      <c r="CT22" s="80">
        <f t="shared" si="74"/>
        <v>1133195.65</v>
      </c>
      <c r="CU22" s="80">
        <f t="shared" si="75"/>
        <v>1035646.8500000001</v>
      </c>
      <c r="CV22" s="80">
        <f t="shared" si="76"/>
        <v>-97548.79999999981</v>
      </c>
      <c r="CW22" s="80">
        <f t="shared" si="77"/>
        <v>0</v>
      </c>
      <c r="CX22" s="80">
        <f t="shared" si="78"/>
        <v>-97548.79999999981</v>
      </c>
      <c r="CY22" s="80">
        <f t="shared" si="79"/>
        <v>-97548.79999999981</v>
      </c>
      <c r="CZ22" s="80">
        <f t="shared" si="80"/>
        <v>0</v>
      </c>
      <c r="DA22" s="80">
        <f t="shared" si="81"/>
        <v>0</v>
      </c>
      <c r="DB22" s="80">
        <f t="shared" si="82"/>
        <v>-97548.79999999981</v>
      </c>
      <c r="DC22" s="80">
        <f t="shared" si="46"/>
        <v>-97548.79999999981</v>
      </c>
      <c r="DD22" s="80">
        <f t="shared" si="83"/>
        <v>0</v>
      </c>
      <c r="DE22" s="80">
        <f t="shared" si="84"/>
        <v>-97548.79999999981</v>
      </c>
      <c r="DF22" s="80">
        <f t="shared" si="85"/>
        <v>432978.65</v>
      </c>
      <c r="DG22" s="80">
        <f t="shared" si="86"/>
        <v>237.176428054953</v>
      </c>
      <c r="DH22" s="80">
        <f t="shared" si="87"/>
        <v>-0.10614605929139499</v>
      </c>
      <c r="DI22" s="80">
        <f t="shared" si="88"/>
        <v>156.53602675343458</v>
      </c>
      <c r="DJ22" s="81">
        <f t="shared" si="89"/>
        <v>0</v>
      </c>
      <c r="DK22" s="76">
        <f t="shared" si="90"/>
        <v>-35.267100506145994</v>
      </c>
      <c r="DL22" s="145">
        <f t="shared" si="49"/>
        <v>656030</v>
      </c>
      <c r="DM22" s="67"/>
      <c r="DN22" s="68"/>
    </row>
    <row r="23" spans="1:118" ht="12.75">
      <c r="A23" s="52" t="s">
        <v>15</v>
      </c>
      <c r="B23" s="41">
        <v>253</v>
      </c>
      <c r="C23" s="4">
        <v>669276</v>
      </c>
      <c r="D23" s="69">
        <v>2645.36</v>
      </c>
      <c r="E23" s="69">
        <v>76.72</v>
      </c>
      <c r="F23" s="8">
        <v>0</v>
      </c>
      <c r="G23" s="137">
        <f>(G41/($B$12+$B$14+$B$23)*$B$23)</f>
        <v>0</v>
      </c>
      <c r="H23" s="137">
        <f aca="true" t="shared" si="91" ref="H23:BU23">(H41/($B$12+$B$14+$B$23)*$B$23)</f>
        <v>0</v>
      </c>
      <c r="I23" s="137">
        <f t="shared" si="91"/>
        <v>0</v>
      </c>
      <c r="J23" s="137">
        <f t="shared" si="91"/>
        <v>0</v>
      </c>
      <c r="K23" s="137">
        <f t="shared" si="91"/>
        <v>0</v>
      </c>
      <c r="L23" s="137">
        <f t="shared" si="91"/>
        <v>0</v>
      </c>
      <c r="M23" s="43">
        <f t="shared" si="0"/>
        <v>0</v>
      </c>
      <c r="N23" s="137">
        <f t="shared" si="91"/>
        <v>0</v>
      </c>
      <c r="O23" s="137">
        <f t="shared" si="91"/>
        <v>0</v>
      </c>
      <c r="P23" s="137">
        <f t="shared" si="91"/>
        <v>0</v>
      </c>
      <c r="Q23" s="137">
        <f t="shared" si="91"/>
        <v>0</v>
      </c>
      <c r="R23" s="137">
        <f t="shared" si="91"/>
        <v>0</v>
      </c>
      <c r="S23" s="137">
        <f t="shared" si="91"/>
        <v>0</v>
      </c>
      <c r="T23" s="137">
        <f t="shared" si="91"/>
        <v>0</v>
      </c>
      <c r="U23" s="137">
        <f t="shared" si="91"/>
        <v>0</v>
      </c>
      <c r="V23" s="137">
        <f t="shared" si="91"/>
        <v>0</v>
      </c>
      <c r="W23" s="43">
        <f t="shared" si="57"/>
        <v>0</v>
      </c>
      <c r="X23" s="137">
        <f t="shared" si="91"/>
        <v>0</v>
      </c>
      <c r="Y23" s="43">
        <f>SUM(G23:X23)-M23-W23</f>
        <v>0</v>
      </c>
      <c r="Z23" s="137">
        <f t="shared" si="91"/>
        <v>0</v>
      </c>
      <c r="AA23" s="137">
        <f t="shared" si="91"/>
        <v>0</v>
      </c>
      <c r="AB23" s="137">
        <f t="shared" si="91"/>
        <v>0</v>
      </c>
      <c r="AC23" s="137">
        <f t="shared" si="91"/>
        <v>0</v>
      </c>
      <c r="AD23" s="137">
        <f t="shared" si="91"/>
        <v>0</v>
      </c>
      <c r="AE23" s="43">
        <f t="shared" si="59"/>
        <v>0</v>
      </c>
      <c r="AF23" s="137">
        <f t="shared" si="91"/>
        <v>0</v>
      </c>
      <c r="AG23" s="137">
        <f t="shared" si="91"/>
        <v>0</v>
      </c>
      <c r="AH23" s="137">
        <f t="shared" si="91"/>
        <v>0</v>
      </c>
      <c r="AI23" s="137">
        <f t="shared" si="91"/>
        <v>0</v>
      </c>
      <c r="AJ23" s="137">
        <f t="shared" si="91"/>
        <v>0</v>
      </c>
      <c r="AK23" s="137">
        <f t="shared" si="91"/>
        <v>0</v>
      </c>
      <c r="AL23" s="137">
        <f t="shared" si="91"/>
        <v>0</v>
      </c>
      <c r="AM23" s="137">
        <f t="shared" si="91"/>
        <v>0</v>
      </c>
      <c r="AN23" s="137">
        <f t="shared" si="91"/>
        <v>0</v>
      </c>
      <c r="AO23" s="137">
        <f t="shared" si="91"/>
        <v>0</v>
      </c>
      <c r="AP23" s="137">
        <f t="shared" si="91"/>
        <v>0</v>
      </c>
      <c r="AQ23" s="137">
        <f t="shared" si="91"/>
        <v>0</v>
      </c>
      <c r="AR23" s="137">
        <f t="shared" si="91"/>
        <v>0</v>
      </c>
      <c r="AS23" s="4">
        <f t="shared" si="60"/>
        <v>0</v>
      </c>
      <c r="AT23" s="137">
        <f t="shared" si="91"/>
        <v>0</v>
      </c>
      <c r="AU23" s="4">
        <f t="shared" si="61"/>
        <v>0</v>
      </c>
      <c r="AV23" s="137">
        <f t="shared" si="91"/>
        <v>0</v>
      </c>
      <c r="AW23" s="137">
        <f t="shared" si="91"/>
        <v>0</v>
      </c>
      <c r="AX23" s="4">
        <f t="shared" si="62"/>
        <v>0</v>
      </c>
      <c r="AY23" s="137">
        <f t="shared" si="91"/>
        <v>0</v>
      </c>
      <c r="AZ23" s="137">
        <f t="shared" si="91"/>
        <v>0</v>
      </c>
      <c r="BA23" s="137">
        <f t="shared" si="91"/>
        <v>0</v>
      </c>
      <c r="BB23" s="137">
        <f t="shared" si="91"/>
        <v>0</v>
      </c>
      <c r="BC23" s="137">
        <f t="shared" si="91"/>
        <v>0</v>
      </c>
      <c r="BD23" s="137">
        <f t="shared" si="91"/>
        <v>0</v>
      </c>
      <c r="BE23" s="137">
        <f t="shared" si="91"/>
        <v>0</v>
      </c>
      <c r="BF23" s="43">
        <f t="shared" si="63"/>
        <v>0</v>
      </c>
      <c r="BG23" s="137">
        <f t="shared" si="91"/>
        <v>0</v>
      </c>
      <c r="BH23" s="137">
        <f t="shared" si="91"/>
        <v>0</v>
      </c>
      <c r="BI23" s="137">
        <f t="shared" si="91"/>
        <v>0</v>
      </c>
      <c r="BJ23" s="137">
        <f t="shared" si="91"/>
        <v>0</v>
      </c>
      <c r="BK23" s="137">
        <f t="shared" si="91"/>
        <v>0</v>
      </c>
      <c r="BL23" s="137">
        <f t="shared" si="91"/>
        <v>0</v>
      </c>
      <c r="BM23" s="137">
        <f t="shared" si="91"/>
        <v>0</v>
      </c>
      <c r="BN23" s="137">
        <f t="shared" si="91"/>
        <v>0</v>
      </c>
      <c r="BO23" s="43">
        <f t="shared" si="64"/>
        <v>0</v>
      </c>
      <c r="BP23" s="137">
        <f t="shared" si="91"/>
        <v>0</v>
      </c>
      <c r="BQ23" s="137">
        <f t="shared" si="91"/>
        <v>0</v>
      </c>
      <c r="BR23" s="137">
        <f t="shared" si="91"/>
        <v>0</v>
      </c>
      <c r="BS23" s="43">
        <f t="shared" si="65"/>
        <v>0</v>
      </c>
      <c r="BT23" s="137">
        <f t="shared" si="91"/>
        <v>0</v>
      </c>
      <c r="BU23" s="137">
        <f t="shared" si="91"/>
        <v>0</v>
      </c>
      <c r="BV23" s="137">
        <f aca="true" t="shared" si="92" ref="BV23:CA23">(BV41/($B$12+$B$14+$B$23)*$B$23)</f>
        <v>0</v>
      </c>
      <c r="BW23" s="137">
        <f t="shared" si="92"/>
        <v>0</v>
      </c>
      <c r="BX23" s="4">
        <f t="shared" si="66"/>
        <v>0</v>
      </c>
      <c r="BY23" s="137">
        <f t="shared" si="92"/>
        <v>0</v>
      </c>
      <c r="BZ23" s="137">
        <f t="shared" si="92"/>
        <v>0</v>
      </c>
      <c r="CA23" s="137">
        <f t="shared" si="92"/>
        <v>0</v>
      </c>
      <c r="CB23" s="4">
        <f t="shared" si="67"/>
        <v>0</v>
      </c>
      <c r="CC23" s="4">
        <f t="shared" si="68"/>
        <v>0</v>
      </c>
      <c r="CD23" s="74">
        <f t="shared" si="69"/>
        <v>0</v>
      </c>
      <c r="CE23" s="76">
        <f t="shared" si="70"/>
        <v>0</v>
      </c>
      <c r="CF23" s="76">
        <f t="shared" si="71"/>
        <v>0</v>
      </c>
      <c r="CG23" s="76">
        <f t="shared" si="54"/>
        <v>0</v>
      </c>
      <c r="CH23" s="76">
        <f t="shared" si="72"/>
        <v>0</v>
      </c>
      <c r="CI23" s="37">
        <f t="shared" si="73"/>
        <v>0</v>
      </c>
      <c r="CJ23" s="59" t="str">
        <f t="shared" si="36"/>
        <v>-</v>
      </c>
      <c r="CK23" s="59" t="str">
        <f t="shared" si="37"/>
        <v>-</v>
      </c>
      <c r="CL23" s="141" t="str">
        <f t="shared" si="38"/>
        <v>-</v>
      </c>
      <c r="CM23" s="141" t="str">
        <f t="shared" si="39"/>
        <v>-</v>
      </c>
      <c r="CN23" s="141" t="str">
        <f t="shared" si="40"/>
        <v>-</v>
      </c>
      <c r="CO23" s="141" t="str">
        <f t="shared" si="41"/>
        <v>-</v>
      </c>
      <c r="CP23" s="141" t="str">
        <f t="shared" si="42"/>
        <v>-</v>
      </c>
      <c r="CQ23" s="141" t="str">
        <f t="shared" si="43"/>
        <v>-</v>
      </c>
      <c r="CR23" s="142" t="str">
        <f t="shared" si="44"/>
        <v>-</v>
      </c>
      <c r="CS23" s="76">
        <f t="shared" si="45"/>
        <v>0</v>
      </c>
      <c r="CT23" s="80">
        <f t="shared" si="74"/>
        <v>0</v>
      </c>
      <c r="CU23" s="80">
        <f t="shared" si="75"/>
        <v>0</v>
      </c>
      <c r="CV23" s="80">
        <f t="shared" si="76"/>
        <v>0</v>
      </c>
      <c r="CW23" s="80">
        <f t="shared" si="77"/>
        <v>0</v>
      </c>
      <c r="CX23" s="80">
        <f t="shared" si="78"/>
        <v>0</v>
      </c>
      <c r="CY23" s="80">
        <f t="shared" si="79"/>
        <v>0</v>
      </c>
      <c r="CZ23" s="80">
        <f t="shared" si="80"/>
        <v>0</v>
      </c>
      <c r="DA23" s="80">
        <f t="shared" si="81"/>
        <v>0</v>
      </c>
      <c r="DB23" s="80">
        <f t="shared" si="82"/>
        <v>0</v>
      </c>
      <c r="DC23" s="80">
        <f t="shared" si="46"/>
        <v>0</v>
      </c>
      <c r="DD23" s="80">
        <f t="shared" si="83"/>
        <v>0</v>
      </c>
      <c r="DE23" s="80">
        <f t="shared" si="84"/>
        <v>0</v>
      </c>
      <c r="DF23" s="80">
        <f t="shared" si="85"/>
        <v>0</v>
      </c>
      <c r="DG23" s="80">
        <f t="shared" si="86"/>
        <v>0</v>
      </c>
      <c r="DH23" s="80">
        <f t="shared" si="87"/>
        <v>0</v>
      </c>
      <c r="DI23" s="80">
        <f t="shared" si="88"/>
        <v>0</v>
      </c>
      <c r="DJ23" s="81">
        <f t="shared" si="89"/>
        <v>0</v>
      </c>
      <c r="DK23" s="76">
        <f t="shared" si="90"/>
        <v>0</v>
      </c>
      <c r="DL23" s="145">
        <f t="shared" si="49"/>
        <v>0</v>
      </c>
      <c r="DM23" s="64"/>
      <c r="DN23" s="65"/>
    </row>
    <row r="24" spans="1:118" ht="12.75">
      <c r="A24" s="51" t="s">
        <v>16</v>
      </c>
      <c r="B24" s="46">
        <v>3658</v>
      </c>
      <c r="C24" s="38">
        <v>11109767</v>
      </c>
      <c r="D24" s="66">
        <v>3037.11</v>
      </c>
      <c r="E24" s="66">
        <v>88.08</v>
      </c>
      <c r="F24" s="126">
        <v>0</v>
      </c>
      <c r="G24" s="132">
        <f>11675+720+43800+1100+3788.05</f>
        <v>61083.05</v>
      </c>
      <c r="H24" s="42">
        <f>1989.85+756.8+313.4+8900+3047.8+500+3325.5+714.25+172.2+3609</f>
        <v>23328.8</v>
      </c>
      <c r="I24" s="42">
        <v>0</v>
      </c>
      <c r="J24" s="42">
        <v>0</v>
      </c>
      <c r="K24" s="42">
        <v>0</v>
      </c>
      <c r="L24" s="42">
        <v>0</v>
      </c>
      <c r="M24" s="43">
        <f t="shared" si="0"/>
        <v>0</v>
      </c>
      <c r="N24" s="42">
        <v>0</v>
      </c>
      <c r="O24" s="42">
        <f>13298.3</f>
        <v>13298.3</v>
      </c>
      <c r="P24" s="42">
        <f>27971.35+3000+3620+252652.2+7763+2728.8+4450.65+37726+198796.25+16685.05+146581.2+72554.85+47531.6</f>
        <v>822060.95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3">
        <f t="shared" si="57"/>
        <v>0</v>
      </c>
      <c r="X24" s="42">
        <v>0</v>
      </c>
      <c r="Y24" s="43">
        <f t="shared" si="58"/>
        <v>919771.1</v>
      </c>
      <c r="Z24" s="42">
        <f>258422.35+18020.7+16349</f>
        <v>292792.05</v>
      </c>
      <c r="AA24" s="42">
        <f>52212.2</f>
        <v>52212.2</v>
      </c>
      <c r="AB24" s="42">
        <v>0</v>
      </c>
      <c r="AC24" s="42">
        <f>123261.65</f>
        <v>123261.65</v>
      </c>
      <c r="AD24" s="42">
        <v>0</v>
      </c>
      <c r="AE24" s="43">
        <f t="shared" si="59"/>
        <v>468265.9</v>
      </c>
      <c r="AF24" s="42">
        <v>0</v>
      </c>
      <c r="AG24" s="42">
        <f>27394.1+5275.1</f>
        <v>32669.199999999997</v>
      </c>
      <c r="AH24" s="42">
        <v>0</v>
      </c>
      <c r="AI24" s="42">
        <f>67218.55+23729.25+124139.25+18557.15+143095.7</f>
        <v>376739.9</v>
      </c>
      <c r="AJ24" s="42">
        <v>0</v>
      </c>
      <c r="AK24" s="42">
        <v>0</v>
      </c>
      <c r="AL24" s="42">
        <v>0</v>
      </c>
      <c r="AM24" s="42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60"/>
        <v>0</v>
      </c>
      <c r="AT24" s="38">
        <v>0</v>
      </c>
      <c r="AU24" s="4">
        <f t="shared" si="61"/>
        <v>877674.9999999999</v>
      </c>
      <c r="AV24" s="38">
        <v>0</v>
      </c>
      <c r="AW24" s="38">
        <f>42096.1</f>
        <v>42096.1</v>
      </c>
      <c r="AX24" s="4">
        <f t="shared" si="62"/>
        <v>9.458744898438454E-11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3">
        <f t="shared" si="63"/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3">
        <f t="shared" si="64"/>
        <v>0</v>
      </c>
      <c r="BP24" s="42">
        <v>0</v>
      </c>
      <c r="BQ24" s="42">
        <v>0</v>
      </c>
      <c r="BR24" s="42">
        <v>0</v>
      </c>
      <c r="BS24" s="43">
        <f t="shared" si="65"/>
        <v>0</v>
      </c>
      <c r="BT24" s="38">
        <v>1820632.77</v>
      </c>
      <c r="BU24" s="38">
        <v>0</v>
      </c>
      <c r="BV24" s="38">
        <v>0</v>
      </c>
      <c r="BW24" s="38">
        <v>0</v>
      </c>
      <c r="BX24" s="4">
        <f t="shared" si="66"/>
        <v>1820632.77</v>
      </c>
      <c r="BY24" s="38">
        <v>278201.45</v>
      </c>
      <c r="BZ24" s="38">
        <v>30000</v>
      </c>
      <c r="CA24" s="38">
        <v>1512431.32</v>
      </c>
      <c r="CB24" s="4">
        <f t="shared" si="67"/>
        <v>1820632.77</v>
      </c>
      <c r="CC24" s="4">
        <f t="shared" si="68"/>
        <v>0</v>
      </c>
      <c r="CD24" s="74">
        <f t="shared" si="69"/>
        <v>-42096.1</v>
      </c>
      <c r="CE24" s="76">
        <f t="shared" si="70"/>
        <v>-42096.1</v>
      </c>
      <c r="CF24" s="76">
        <f t="shared" si="71"/>
        <v>0</v>
      </c>
      <c r="CG24" s="76">
        <f t="shared" si="54"/>
        <v>877674.9999999999</v>
      </c>
      <c r="CH24" s="76">
        <f t="shared" si="72"/>
        <v>-32669.199999999997</v>
      </c>
      <c r="CI24" s="37">
        <f t="shared" si="73"/>
        <v>-32669.199999999997</v>
      </c>
      <c r="CJ24" s="59" t="str">
        <f t="shared" si="36"/>
        <v>-</v>
      </c>
      <c r="CK24" s="59" t="str">
        <f t="shared" si="37"/>
        <v>-</v>
      </c>
      <c r="CL24" s="141">
        <f t="shared" si="38"/>
        <v>-0.0479631982225767</v>
      </c>
      <c r="CM24" s="141">
        <f t="shared" si="39"/>
        <v>-0.0479631982225767</v>
      </c>
      <c r="CN24" s="141">
        <f t="shared" si="40"/>
        <v>-0.037222434272367336</v>
      </c>
      <c r="CO24" s="141">
        <f t="shared" si="41"/>
        <v>-0.037222434272367336</v>
      </c>
      <c r="CP24" s="141" t="str">
        <f t="shared" si="42"/>
        <v>-</v>
      </c>
      <c r="CQ24" s="141" t="str">
        <f t="shared" si="43"/>
        <v>-</v>
      </c>
      <c r="CR24" s="142">
        <f t="shared" si="44"/>
        <v>-36.64071778620823</v>
      </c>
      <c r="CS24" s="76">
        <f t="shared" si="45"/>
        <v>1542431.32</v>
      </c>
      <c r="CT24" s="80">
        <f t="shared" si="74"/>
        <v>919771.1</v>
      </c>
      <c r="CU24" s="80">
        <f t="shared" si="75"/>
        <v>877674.9999999999</v>
      </c>
      <c r="CV24" s="80">
        <f t="shared" si="76"/>
        <v>-42096.10000000009</v>
      </c>
      <c r="CW24" s="80">
        <f t="shared" si="77"/>
        <v>0</v>
      </c>
      <c r="CX24" s="80">
        <f t="shared" si="78"/>
        <v>-42096.10000000009</v>
      </c>
      <c r="CY24" s="80">
        <f t="shared" si="79"/>
        <v>-42096.10000000009</v>
      </c>
      <c r="CZ24" s="80">
        <f t="shared" si="80"/>
        <v>0</v>
      </c>
      <c r="DA24" s="80">
        <f t="shared" si="81"/>
        <v>0</v>
      </c>
      <c r="DB24" s="80">
        <f t="shared" si="82"/>
        <v>-42096.10000000009</v>
      </c>
      <c r="DC24" s="80">
        <f t="shared" si="46"/>
        <v>-42096.10000000009</v>
      </c>
      <c r="DD24" s="80">
        <f t="shared" si="83"/>
        <v>0</v>
      </c>
      <c r="DE24" s="80">
        <f t="shared" si="84"/>
        <v>-42096.10000000009</v>
      </c>
      <c r="DF24" s="80">
        <f t="shared" si="85"/>
        <v>345004.25</v>
      </c>
      <c r="DG24" s="80">
        <f t="shared" si="86"/>
        <v>421.659737561509</v>
      </c>
      <c r="DH24" s="80">
        <f t="shared" si="87"/>
        <v>-8.930891197375614</v>
      </c>
      <c r="DI24" s="80">
        <f t="shared" si="88"/>
        <v>94.31499453253144</v>
      </c>
      <c r="DJ24" s="81">
        <f t="shared" si="89"/>
        <v>0</v>
      </c>
      <c r="DK24" s="76">
        <f t="shared" si="90"/>
        <v>-11.507955166757817</v>
      </c>
      <c r="DL24" s="145">
        <f t="shared" si="49"/>
        <v>1512431.32</v>
      </c>
      <c r="DM24" s="67"/>
      <c r="DN24" s="68"/>
    </row>
    <row r="25" spans="1:118" ht="12.75">
      <c r="A25" s="52" t="s">
        <v>36</v>
      </c>
      <c r="B25" s="41">
        <v>1785</v>
      </c>
      <c r="C25" s="4">
        <v>3909508</v>
      </c>
      <c r="D25" s="69">
        <v>2190.2</v>
      </c>
      <c r="E25" s="69">
        <v>63.52</v>
      </c>
      <c r="F25" s="8">
        <v>4</v>
      </c>
      <c r="G25" s="131">
        <v>53135.95</v>
      </c>
      <c r="H25" s="43">
        <v>8313.25</v>
      </c>
      <c r="I25" s="43">
        <v>0</v>
      </c>
      <c r="J25" s="43">
        <v>0</v>
      </c>
      <c r="K25" s="43">
        <v>0</v>
      </c>
      <c r="L25" s="43">
        <v>0</v>
      </c>
      <c r="M25" s="43">
        <f t="shared" si="0"/>
        <v>0</v>
      </c>
      <c r="N25" s="43">
        <v>0</v>
      </c>
      <c r="O25" s="43">
        <v>700</v>
      </c>
      <c r="P25" s="43">
        <v>676861.55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f t="shared" si="57"/>
        <v>0</v>
      </c>
      <c r="X25" s="43">
        <v>0</v>
      </c>
      <c r="Y25" s="43">
        <f t="shared" si="58"/>
        <v>739010.75</v>
      </c>
      <c r="Z25" s="43">
        <v>232206.5</v>
      </c>
      <c r="AA25" s="43">
        <v>11069.2</v>
      </c>
      <c r="AB25" s="43">
        <v>0</v>
      </c>
      <c r="AC25" s="43">
        <v>60148.2</v>
      </c>
      <c r="AD25" s="43">
        <v>0</v>
      </c>
      <c r="AE25" s="43">
        <f t="shared" si="59"/>
        <v>303423.9</v>
      </c>
      <c r="AF25" s="43">
        <v>0</v>
      </c>
      <c r="AG25" s="43">
        <v>330</v>
      </c>
      <c r="AH25" s="43">
        <v>0</v>
      </c>
      <c r="AI25" s="43">
        <v>330506.5</v>
      </c>
      <c r="AJ25" s="43">
        <v>0</v>
      </c>
      <c r="AK25" s="43">
        <v>15957</v>
      </c>
      <c r="AL25" s="43">
        <v>0</v>
      </c>
      <c r="AM25" s="43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60"/>
        <v>0</v>
      </c>
      <c r="AT25" s="4">
        <v>150</v>
      </c>
      <c r="AU25" s="4">
        <f t="shared" si="61"/>
        <v>650367.4</v>
      </c>
      <c r="AV25" s="4">
        <v>0</v>
      </c>
      <c r="AW25" s="4">
        <v>88643.35</v>
      </c>
      <c r="AX25" s="4">
        <f t="shared" si="62"/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f t="shared" si="63"/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f t="shared" si="64"/>
        <v>0</v>
      </c>
      <c r="BP25" s="43">
        <v>0</v>
      </c>
      <c r="BQ25" s="43">
        <v>0</v>
      </c>
      <c r="BR25" s="43">
        <v>0</v>
      </c>
      <c r="BS25" s="43">
        <f t="shared" si="65"/>
        <v>0</v>
      </c>
      <c r="BT25" s="4">
        <v>275110.45</v>
      </c>
      <c r="BU25" s="4">
        <v>0</v>
      </c>
      <c r="BV25" s="4">
        <v>0</v>
      </c>
      <c r="BW25" s="4">
        <v>274174.11</v>
      </c>
      <c r="BX25" s="4">
        <f t="shared" si="66"/>
        <v>549284.56</v>
      </c>
      <c r="BY25" s="4">
        <v>296885.2</v>
      </c>
      <c r="BZ25" s="4">
        <v>0</v>
      </c>
      <c r="CA25" s="4">
        <v>252399.36</v>
      </c>
      <c r="CB25" s="4">
        <f t="shared" si="67"/>
        <v>549284.56</v>
      </c>
      <c r="CC25" s="4">
        <f t="shared" si="68"/>
        <v>0</v>
      </c>
      <c r="CD25" s="74">
        <f t="shared" si="69"/>
        <v>-88643.35</v>
      </c>
      <c r="CE25" s="76">
        <f t="shared" si="70"/>
        <v>-88643.35</v>
      </c>
      <c r="CF25" s="76">
        <f t="shared" si="71"/>
        <v>0</v>
      </c>
      <c r="CG25" s="76">
        <f t="shared" si="54"/>
        <v>650217.4</v>
      </c>
      <c r="CH25" s="76">
        <f t="shared" si="72"/>
        <v>-330</v>
      </c>
      <c r="CI25" s="37">
        <f t="shared" si="73"/>
        <v>-330</v>
      </c>
      <c r="CJ25" s="59" t="str">
        <f t="shared" si="36"/>
        <v>-</v>
      </c>
      <c r="CK25" s="59" t="str">
        <f t="shared" si="37"/>
        <v>-</v>
      </c>
      <c r="CL25" s="141">
        <f t="shared" si="38"/>
        <v>-0.13632878787925393</v>
      </c>
      <c r="CM25" s="141">
        <f t="shared" si="39"/>
        <v>-0.13632878787925393</v>
      </c>
      <c r="CN25" s="141">
        <f t="shared" si="40"/>
        <v>-0.0005075225609157798</v>
      </c>
      <c r="CO25" s="141">
        <f t="shared" si="41"/>
        <v>-0.0005075225609157798</v>
      </c>
      <c r="CP25" s="141" t="str">
        <f t="shared" si="42"/>
        <v>-</v>
      </c>
      <c r="CQ25" s="141" t="str">
        <f t="shared" si="43"/>
        <v>-</v>
      </c>
      <c r="CR25" s="142">
        <f t="shared" si="44"/>
        <v>0.24564448432961974</v>
      </c>
      <c r="CS25" s="76">
        <f t="shared" si="45"/>
        <v>-21774.75</v>
      </c>
      <c r="CT25" s="80">
        <f t="shared" si="74"/>
        <v>739010.75</v>
      </c>
      <c r="CU25" s="80">
        <f t="shared" si="75"/>
        <v>650367.4</v>
      </c>
      <c r="CV25" s="80">
        <f t="shared" si="76"/>
        <v>-88643.34999999998</v>
      </c>
      <c r="CW25" s="80">
        <f t="shared" si="77"/>
        <v>0</v>
      </c>
      <c r="CX25" s="80">
        <f t="shared" si="78"/>
        <v>-88643.34999999998</v>
      </c>
      <c r="CY25" s="80">
        <f t="shared" si="79"/>
        <v>-88643.34999999998</v>
      </c>
      <c r="CZ25" s="80">
        <f t="shared" si="80"/>
        <v>0</v>
      </c>
      <c r="DA25" s="80">
        <f t="shared" si="81"/>
        <v>0</v>
      </c>
      <c r="DB25" s="80">
        <f t="shared" si="82"/>
        <v>-88643.34999999998</v>
      </c>
      <c r="DC25" s="80">
        <f t="shared" si="46"/>
        <v>-88643.34999999998</v>
      </c>
      <c r="DD25" s="80">
        <f t="shared" si="83"/>
        <v>0</v>
      </c>
      <c r="DE25" s="80">
        <f t="shared" si="84"/>
        <v>-88643.34999999998</v>
      </c>
      <c r="DF25" s="80">
        <f t="shared" si="85"/>
        <v>243275.7</v>
      </c>
      <c r="DG25" s="80">
        <f t="shared" si="86"/>
        <v>-12.19873949579832</v>
      </c>
      <c r="DH25" s="80">
        <f t="shared" si="87"/>
        <v>-0.18487394957983194</v>
      </c>
      <c r="DI25" s="80">
        <f t="shared" si="88"/>
        <v>136.28890756302522</v>
      </c>
      <c r="DJ25" s="81">
        <f t="shared" si="89"/>
        <v>0</v>
      </c>
      <c r="DK25" s="76">
        <f t="shared" si="90"/>
        <v>-49.6601400560224</v>
      </c>
      <c r="DL25" s="145">
        <f t="shared" si="49"/>
        <v>-21774.75</v>
      </c>
      <c r="DM25" s="64"/>
      <c r="DN25" s="65"/>
    </row>
    <row r="26" spans="1:118" ht="12.75">
      <c r="A26" s="51" t="s">
        <v>17</v>
      </c>
      <c r="B26" s="46">
        <v>433</v>
      </c>
      <c r="C26" s="38">
        <v>896101</v>
      </c>
      <c r="D26" s="66">
        <v>2069.52</v>
      </c>
      <c r="E26" s="66">
        <v>60.02</v>
      </c>
      <c r="F26" s="126">
        <v>4</v>
      </c>
      <c r="G26" s="132">
        <v>5405.05</v>
      </c>
      <c r="H26" s="42">
        <v>5624</v>
      </c>
      <c r="I26" s="42">
        <v>0</v>
      </c>
      <c r="J26" s="42">
        <v>0</v>
      </c>
      <c r="K26" s="42">
        <v>0</v>
      </c>
      <c r="L26" s="42">
        <v>0</v>
      </c>
      <c r="M26" s="43">
        <f t="shared" si="0"/>
        <v>0</v>
      </c>
      <c r="N26" s="42">
        <v>0</v>
      </c>
      <c r="O26" s="42">
        <v>1329.5</v>
      </c>
      <c r="P26" s="42">
        <v>128707.8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3">
        <f t="shared" si="57"/>
        <v>0</v>
      </c>
      <c r="X26" s="42">
        <v>0</v>
      </c>
      <c r="Y26" s="43">
        <f t="shared" si="58"/>
        <v>141066.35</v>
      </c>
      <c r="Z26" s="42">
        <v>63735.35</v>
      </c>
      <c r="AA26" s="42">
        <v>2739.25</v>
      </c>
      <c r="AB26" s="42">
        <v>0</v>
      </c>
      <c r="AC26" s="42">
        <v>14590.55</v>
      </c>
      <c r="AD26" s="42">
        <v>0</v>
      </c>
      <c r="AE26" s="43">
        <f t="shared" si="59"/>
        <v>81065.15000000001</v>
      </c>
      <c r="AF26" s="42">
        <v>0</v>
      </c>
      <c r="AG26" s="42">
        <v>1052.7</v>
      </c>
      <c r="AH26" s="42">
        <v>0</v>
      </c>
      <c r="AI26" s="42">
        <v>66879.39</v>
      </c>
      <c r="AJ26" s="42">
        <v>1323</v>
      </c>
      <c r="AK26" s="42">
        <v>2427</v>
      </c>
      <c r="AL26" s="42">
        <v>0</v>
      </c>
      <c r="AM26" s="42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60"/>
        <v>0</v>
      </c>
      <c r="AT26" s="38">
        <v>0</v>
      </c>
      <c r="AU26" s="4">
        <f t="shared" si="61"/>
        <v>152747.24</v>
      </c>
      <c r="AV26" s="38">
        <v>11680.89</v>
      </c>
      <c r="AW26" s="38">
        <v>0</v>
      </c>
      <c r="AX26" s="4">
        <f t="shared" si="62"/>
        <v>1.4551915228366852E-11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63"/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3">
        <f t="shared" si="64"/>
        <v>0</v>
      </c>
      <c r="BP26" s="42">
        <v>0</v>
      </c>
      <c r="BQ26" s="42">
        <v>0</v>
      </c>
      <c r="BR26" s="42">
        <v>0</v>
      </c>
      <c r="BS26" s="43">
        <f t="shared" si="65"/>
        <v>0</v>
      </c>
      <c r="BT26" s="38">
        <v>193865.01</v>
      </c>
      <c r="BU26" s="38">
        <v>0</v>
      </c>
      <c r="BV26" s="38">
        <v>0</v>
      </c>
      <c r="BW26" s="38">
        <v>0</v>
      </c>
      <c r="BX26" s="4">
        <f t="shared" si="66"/>
        <v>193865.01</v>
      </c>
      <c r="BY26" s="38">
        <v>73360.1</v>
      </c>
      <c r="BZ26" s="38">
        <v>0</v>
      </c>
      <c r="CA26" s="38">
        <v>120504.91</v>
      </c>
      <c r="CB26" s="4">
        <f t="shared" si="67"/>
        <v>193865.01</v>
      </c>
      <c r="CC26" s="4">
        <f t="shared" si="68"/>
        <v>0</v>
      </c>
      <c r="CD26" s="74">
        <f t="shared" si="69"/>
        <v>11680.89</v>
      </c>
      <c r="CE26" s="76">
        <f t="shared" si="70"/>
        <v>11680.89</v>
      </c>
      <c r="CF26" s="76">
        <f t="shared" si="71"/>
        <v>0</v>
      </c>
      <c r="CG26" s="76">
        <f t="shared" si="54"/>
        <v>152747.24</v>
      </c>
      <c r="CH26" s="76">
        <f t="shared" si="72"/>
        <v>-1052.7</v>
      </c>
      <c r="CI26" s="37">
        <f t="shared" si="73"/>
        <v>-1052.7</v>
      </c>
      <c r="CJ26" s="59" t="str">
        <f t="shared" si="36"/>
        <v>-</v>
      </c>
      <c r="CK26" s="59" t="str">
        <f t="shared" si="37"/>
        <v>-</v>
      </c>
      <c r="CL26" s="141">
        <f t="shared" si="38"/>
        <v>0.0764720200509024</v>
      </c>
      <c r="CM26" s="141">
        <f t="shared" si="39"/>
        <v>0.0764720200509024</v>
      </c>
      <c r="CN26" s="141">
        <f t="shared" si="40"/>
        <v>-0.006891777553558415</v>
      </c>
      <c r="CO26" s="141">
        <f t="shared" si="41"/>
        <v>-0.006891777553558415</v>
      </c>
      <c r="CP26" s="141" t="str">
        <f t="shared" si="42"/>
        <v>-</v>
      </c>
      <c r="CQ26" s="141" t="str">
        <f t="shared" si="43"/>
        <v>-</v>
      </c>
      <c r="CR26" s="142">
        <f t="shared" si="44"/>
        <v>10.316415101931446</v>
      </c>
      <c r="CS26" s="76">
        <f t="shared" si="45"/>
        <v>120504.91</v>
      </c>
      <c r="CT26" s="80">
        <f t="shared" si="74"/>
        <v>141066.35</v>
      </c>
      <c r="CU26" s="80">
        <f t="shared" si="75"/>
        <v>152747.24</v>
      </c>
      <c r="CV26" s="80">
        <f t="shared" si="76"/>
        <v>11680.889999999985</v>
      </c>
      <c r="CW26" s="80">
        <f t="shared" si="77"/>
        <v>0</v>
      </c>
      <c r="CX26" s="80">
        <f t="shared" si="78"/>
        <v>11680.889999999985</v>
      </c>
      <c r="CY26" s="80">
        <f t="shared" si="79"/>
        <v>11680.889999999985</v>
      </c>
      <c r="CZ26" s="80">
        <f t="shared" si="80"/>
        <v>0</v>
      </c>
      <c r="DA26" s="80">
        <f t="shared" si="81"/>
        <v>0</v>
      </c>
      <c r="DB26" s="80">
        <f t="shared" si="82"/>
        <v>11680.889999999985</v>
      </c>
      <c r="DC26" s="80">
        <f t="shared" si="46"/>
        <v>11680.889999999985</v>
      </c>
      <c r="DD26" s="80">
        <f t="shared" si="83"/>
        <v>0</v>
      </c>
      <c r="DE26" s="80">
        <f t="shared" si="84"/>
        <v>11680.889999999985</v>
      </c>
      <c r="DF26" s="80">
        <f t="shared" si="85"/>
        <v>66474.6</v>
      </c>
      <c r="DG26" s="80">
        <f t="shared" si="86"/>
        <v>278.3023325635104</v>
      </c>
      <c r="DH26" s="80">
        <f t="shared" si="87"/>
        <v>-2.4311778290993074</v>
      </c>
      <c r="DI26" s="80">
        <f t="shared" si="88"/>
        <v>153.52101616628178</v>
      </c>
      <c r="DJ26" s="81">
        <f t="shared" si="89"/>
        <v>0</v>
      </c>
      <c r="DK26" s="76">
        <f t="shared" si="90"/>
        <v>26.976651270207817</v>
      </c>
      <c r="DL26" s="145">
        <f t="shared" si="49"/>
        <v>120504.91</v>
      </c>
      <c r="DM26" s="67"/>
      <c r="DN26" s="68"/>
    </row>
    <row r="27" spans="1:118" ht="12.75">
      <c r="A27" s="52" t="s">
        <v>18</v>
      </c>
      <c r="B27" s="41">
        <v>608</v>
      </c>
      <c r="C27" s="4">
        <v>1560210</v>
      </c>
      <c r="D27" s="69">
        <v>2566.13</v>
      </c>
      <c r="E27" s="69">
        <v>74.42</v>
      </c>
      <c r="F27" s="8">
        <v>2</v>
      </c>
      <c r="G27" s="131">
        <f>(G40/($B$11+$B$27)*$B$27)</f>
        <v>24722.629596412553</v>
      </c>
      <c r="H27" s="131">
        <f aca="true" t="shared" si="93" ref="H27:BU27">(H40/($B$11+$B$27)*$B$27)</f>
        <v>4358.646252402306</v>
      </c>
      <c r="I27" s="131">
        <f t="shared" si="93"/>
        <v>0</v>
      </c>
      <c r="J27" s="131">
        <f t="shared" si="93"/>
        <v>5578.692120435618</v>
      </c>
      <c r="K27" s="131">
        <f t="shared" si="93"/>
        <v>175.27226137091608</v>
      </c>
      <c r="L27" s="131">
        <f t="shared" si="93"/>
        <v>0</v>
      </c>
      <c r="M27" s="43">
        <f t="shared" si="0"/>
        <v>175.27226137091608</v>
      </c>
      <c r="N27" s="131">
        <f t="shared" si="93"/>
        <v>0</v>
      </c>
      <c r="O27" s="131">
        <f t="shared" si="93"/>
        <v>2202.2472773862905</v>
      </c>
      <c r="P27" s="131">
        <f t="shared" si="93"/>
        <v>256225.09032671363</v>
      </c>
      <c r="Q27" s="131">
        <f t="shared" si="93"/>
        <v>0</v>
      </c>
      <c r="R27" s="131">
        <f t="shared" si="93"/>
        <v>0</v>
      </c>
      <c r="S27" s="131">
        <f t="shared" si="93"/>
        <v>0</v>
      </c>
      <c r="T27" s="131">
        <f t="shared" si="93"/>
        <v>0</v>
      </c>
      <c r="U27" s="131">
        <f t="shared" si="93"/>
        <v>0</v>
      </c>
      <c r="V27" s="131">
        <f t="shared" si="93"/>
        <v>0</v>
      </c>
      <c r="W27" s="43">
        <f t="shared" si="57"/>
        <v>0</v>
      </c>
      <c r="X27" s="131">
        <f t="shared" si="93"/>
        <v>0</v>
      </c>
      <c r="Y27" s="43">
        <f t="shared" si="58"/>
        <v>293262.5778347213</v>
      </c>
      <c r="Z27" s="131">
        <f t="shared" si="93"/>
        <v>122729.48366431774</v>
      </c>
      <c r="AA27" s="131">
        <f t="shared" si="93"/>
        <v>10855.911082639333</v>
      </c>
      <c r="AB27" s="131">
        <f t="shared" si="93"/>
        <v>20487.44804612428</v>
      </c>
      <c r="AC27" s="131">
        <f t="shared" si="93"/>
        <v>0</v>
      </c>
      <c r="AD27" s="131">
        <f t="shared" si="93"/>
        <v>0</v>
      </c>
      <c r="AE27" s="43">
        <f t="shared" si="59"/>
        <v>154072.84279308136</v>
      </c>
      <c r="AF27" s="131">
        <f t="shared" si="93"/>
        <v>0</v>
      </c>
      <c r="AG27" s="131">
        <f t="shared" si="93"/>
        <v>6709.583805253043</v>
      </c>
      <c r="AH27" s="131">
        <f t="shared" si="93"/>
        <v>0</v>
      </c>
      <c r="AI27" s="131">
        <f t="shared" si="93"/>
        <v>111352.38103779628</v>
      </c>
      <c r="AJ27" s="131">
        <f t="shared" si="93"/>
        <v>0</v>
      </c>
      <c r="AK27" s="131">
        <f t="shared" si="93"/>
        <v>3286.3549007046768</v>
      </c>
      <c r="AL27" s="131">
        <f t="shared" si="93"/>
        <v>0</v>
      </c>
      <c r="AM27" s="131">
        <f t="shared" si="93"/>
        <v>0</v>
      </c>
      <c r="AN27" s="131">
        <f t="shared" si="93"/>
        <v>0</v>
      </c>
      <c r="AO27" s="131">
        <f t="shared" si="93"/>
        <v>0</v>
      </c>
      <c r="AP27" s="131">
        <f t="shared" si="93"/>
        <v>0</v>
      </c>
      <c r="AQ27" s="131">
        <f t="shared" si="93"/>
        <v>0</v>
      </c>
      <c r="AR27" s="131">
        <f t="shared" si="93"/>
        <v>0</v>
      </c>
      <c r="AS27" s="4">
        <f t="shared" si="60"/>
        <v>0</v>
      </c>
      <c r="AT27" s="131">
        <f t="shared" si="93"/>
        <v>0</v>
      </c>
      <c r="AU27" s="4">
        <f t="shared" si="61"/>
        <v>275421.16253683536</v>
      </c>
      <c r="AV27" s="131">
        <f t="shared" si="93"/>
        <v>0</v>
      </c>
      <c r="AW27" s="131">
        <f t="shared" si="93"/>
        <v>17841.41529788597</v>
      </c>
      <c r="AX27" s="4">
        <f t="shared" si="62"/>
        <v>0</v>
      </c>
      <c r="AY27" s="131">
        <f t="shared" si="93"/>
        <v>0</v>
      </c>
      <c r="AZ27" s="131">
        <f t="shared" si="93"/>
        <v>0</v>
      </c>
      <c r="BA27" s="131">
        <f t="shared" si="93"/>
        <v>0</v>
      </c>
      <c r="BB27" s="131">
        <f t="shared" si="93"/>
        <v>0</v>
      </c>
      <c r="BC27" s="131">
        <f t="shared" si="93"/>
        <v>0</v>
      </c>
      <c r="BD27" s="131">
        <f t="shared" si="93"/>
        <v>0</v>
      </c>
      <c r="BE27" s="131">
        <f t="shared" si="93"/>
        <v>0</v>
      </c>
      <c r="BF27" s="43">
        <f t="shared" si="63"/>
        <v>0</v>
      </c>
      <c r="BG27" s="131">
        <f t="shared" si="93"/>
        <v>0</v>
      </c>
      <c r="BH27" s="131">
        <f t="shared" si="93"/>
        <v>0</v>
      </c>
      <c r="BI27" s="131">
        <f t="shared" si="93"/>
        <v>0</v>
      </c>
      <c r="BJ27" s="131">
        <f t="shared" si="93"/>
        <v>0</v>
      </c>
      <c r="BK27" s="131">
        <f t="shared" si="93"/>
        <v>0</v>
      </c>
      <c r="BL27" s="131">
        <f t="shared" si="93"/>
        <v>0</v>
      </c>
      <c r="BM27" s="131">
        <f t="shared" si="93"/>
        <v>0</v>
      </c>
      <c r="BN27" s="131">
        <f t="shared" si="93"/>
        <v>0</v>
      </c>
      <c r="BO27" s="43">
        <f t="shared" si="64"/>
        <v>0</v>
      </c>
      <c r="BP27" s="131">
        <f t="shared" si="93"/>
        <v>0</v>
      </c>
      <c r="BQ27" s="131">
        <f t="shared" si="93"/>
        <v>0</v>
      </c>
      <c r="BR27" s="131">
        <f t="shared" si="93"/>
        <v>0</v>
      </c>
      <c r="BS27" s="43">
        <f t="shared" si="65"/>
        <v>0</v>
      </c>
      <c r="BT27" s="131">
        <f t="shared" si="93"/>
        <v>291890.71016015374</v>
      </c>
      <c r="BU27" s="131">
        <f t="shared" si="93"/>
        <v>834.8802049967969</v>
      </c>
      <c r="BV27" s="131">
        <f aca="true" t="shared" si="94" ref="BV27:CA27">(BV40/($B$11+$B$27)*$B$27)</f>
        <v>0</v>
      </c>
      <c r="BW27" s="131">
        <f t="shared" si="94"/>
        <v>0</v>
      </c>
      <c r="BX27" s="4">
        <f t="shared" si="66"/>
        <v>292725.59036515054</v>
      </c>
      <c r="BY27" s="131">
        <f t="shared" si="94"/>
        <v>52697.11953875721</v>
      </c>
      <c r="BZ27" s="131">
        <f t="shared" si="94"/>
        <v>0</v>
      </c>
      <c r="CA27" s="131">
        <f t="shared" si="94"/>
        <v>240028.47082639334</v>
      </c>
      <c r="CB27" s="4">
        <f t="shared" si="67"/>
        <v>292725.59036515054</v>
      </c>
      <c r="CC27" s="4">
        <f t="shared" si="68"/>
        <v>0</v>
      </c>
      <c r="CD27" s="74">
        <f t="shared" si="69"/>
        <v>-17666.143036515055</v>
      </c>
      <c r="CE27" s="76">
        <f t="shared" si="70"/>
        <v>-17666.143036515055</v>
      </c>
      <c r="CF27" s="76">
        <f t="shared" si="71"/>
        <v>0</v>
      </c>
      <c r="CG27" s="76">
        <f t="shared" si="54"/>
        <v>275421.16253683536</v>
      </c>
      <c r="CH27" s="76">
        <f t="shared" si="72"/>
        <v>-6709.583805253043</v>
      </c>
      <c r="CI27" s="37">
        <f t="shared" si="73"/>
        <v>-6534.311543882127</v>
      </c>
      <c r="CJ27" s="59" t="str">
        <f t="shared" si="36"/>
        <v>-</v>
      </c>
      <c r="CK27" s="59" t="str">
        <f t="shared" si="37"/>
        <v>-</v>
      </c>
      <c r="CL27" s="141">
        <f t="shared" si="38"/>
        <v>-0.06414228621285538</v>
      </c>
      <c r="CM27" s="141">
        <f t="shared" si="39"/>
        <v>-0.06414228621285538</v>
      </c>
      <c r="CN27" s="141">
        <f t="shared" si="40"/>
        <v>-0.024361177418077633</v>
      </c>
      <c r="CO27" s="141">
        <f t="shared" si="41"/>
        <v>-0.023724798354985577</v>
      </c>
      <c r="CP27" s="141">
        <f t="shared" si="42"/>
        <v>0.1735106998264893</v>
      </c>
      <c r="CQ27" s="141">
        <f t="shared" si="43"/>
        <v>0.1735106998264893</v>
      </c>
      <c r="CR27" s="142">
        <f t="shared" si="44"/>
        <v>-13.539661154503</v>
      </c>
      <c r="CS27" s="76">
        <f t="shared" si="45"/>
        <v>239193.59062139655</v>
      </c>
      <c r="CT27" s="80">
        <f t="shared" si="74"/>
        <v>293087.3055733504</v>
      </c>
      <c r="CU27" s="80">
        <f t="shared" si="75"/>
        <v>275421.16253683536</v>
      </c>
      <c r="CV27" s="80">
        <f t="shared" si="76"/>
        <v>-17666.143036515045</v>
      </c>
      <c r="CW27" s="80">
        <f t="shared" si="77"/>
        <v>0</v>
      </c>
      <c r="CX27" s="80">
        <f t="shared" si="78"/>
        <v>-17666.143036515045</v>
      </c>
      <c r="CY27" s="80">
        <f t="shared" si="79"/>
        <v>-17841.41529788596</v>
      </c>
      <c r="CZ27" s="80">
        <f t="shared" si="80"/>
        <v>0</v>
      </c>
      <c r="DA27" s="80">
        <f t="shared" si="81"/>
        <v>175.27226137091608</v>
      </c>
      <c r="DB27" s="80">
        <f t="shared" si="82"/>
        <v>-17666.143036515045</v>
      </c>
      <c r="DC27" s="80">
        <f t="shared" si="46"/>
        <v>-17666.143036515045</v>
      </c>
      <c r="DD27" s="80">
        <f t="shared" si="83"/>
        <v>-175.27226137091608</v>
      </c>
      <c r="DE27" s="80">
        <f t="shared" si="84"/>
        <v>-17841.41529788596</v>
      </c>
      <c r="DF27" s="80">
        <f t="shared" si="85"/>
        <v>154072.84279308136</v>
      </c>
      <c r="DG27" s="80">
        <f t="shared" si="86"/>
        <v>393.4105108904549</v>
      </c>
      <c r="DH27" s="80">
        <f t="shared" si="87"/>
        <v>-11.035499679692505</v>
      </c>
      <c r="DI27" s="80">
        <f t="shared" si="88"/>
        <v>253.4092809096733</v>
      </c>
      <c r="DJ27" s="81">
        <f t="shared" si="89"/>
        <v>0</v>
      </c>
      <c r="DK27" s="76">
        <f t="shared" si="90"/>
        <v>-29.056156310057638</v>
      </c>
      <c r="DL27" s="145">
        <f t="shared" si="49"/>
        <v>239193.59062139655</v>
      </c>
      <c r="DM27" s="64"/>
      <c r="DN27" s="65"/>
    </row>
    <row r="28" spans="1:118" ht="12.75">
      <c r="A28" s="51" t="s">
        <v>19</v>
      </c>
      <c r="B28" s="46">
        <v>475</v>
      </c>
      <c r="C28" s="38">
        <v>779154</v>
      </c>
      <c r="D28" s="66">
        <v>1640.32</v>
      </c>
      <c r="E28" s="66">
        <v>47.57</v>
      </c>
      <c r="F28" s="126">
        <v>2</v>
      </c>
      <c r="G28" s="132">
        <f>(G42/($B$5+$B$28)*$B$28)</f>
        <v>9972.392057569296</v>
      </c>
      <c r="H28" s="132">
        <f aca="true" t="shared" si="95" ref="H28:BU28">(H42/($B$5+$B$28)*$B$28)</f>
        <v>6158.3395522388055</v>
      </c>
      <c r="I28" s="132">
        <f t="shared" si="95"/>
        <v>0</v>
      </c>
      <c r="J28" s="132">
        <f t="shared" si="95"/>
        <v>0</v>
      </c>
      <c r="K28" s="132">
        <f t="shared" si="95"/>
        <v>0</v>
      </c>
      <c r="L28" s="132">
        <f t="shared" si="95"/>
        <v>0</v>
      </c>
      <c r="M28" s="43">
        <f t="shared" si="0"/>
        <v>0</v>
      </c>
      <c r="N28" s="132">
        <f t="shared" si="95"/>
        <v>0</v>
      </c>
      <c r="O28" s="132">
        <f t="shared" si="95"/>
        <v>0</v>
      </c>
      <c r="P28" s="132">
        <f t="shared" si="95"/>
        <v>153279.51226012793</v>
      </c>
      <c r="Q28" s="132">
        <f t="shared" si="95"/>
        <v>0</v>
      </c>
      <c r="R28" s="132">
        <f t="shared" si="95"/>
        <v>0</v>
      </c>
      <c r="S28" s="132">
        <f t="shared" si="95"/>
        <v>0</v>
      </c>
      <c r="T28" s="132">
        <f t="shared" si="95"/>
        <v>0</v>
      </c>
      <c r="U28" s="132">
        <f t="shared" si="95"/>
        <v>0</v>
      </c>
      <c r="V28" s="132">
        <f t="shared" si="95"/>
        <v>0</v>
      </c>
      <c r="W28" s="43">
        <f t="shared" si="57"/>
        <v>0</v>
      </c>
      <c r="X28" s="132">
        <f t="shared" si="95"/>
        <v>0</v>
      </c>
      <c r="Y28" s="43">
        <f t="shared" si="58"/>
        <v>169410.24386993604</v>
      </c>
      <c r="Z28" s="132">
        <f t="shared" si="95"/>
        <v>76310.57302771855</v>
      </c>
      <c r="AA28" s="132">
        <f t="shared" si="95"/>
        <v>0</v>
      </c>
      <c r="AB28" s="132">
        <f t="shared" si="95"/>
        <v>0</v>
      </c>
      <c r="AC28" s="132">
        <f t="shared" si="95"/>
        <v>16005.80357142857</v>
      </c>
      <c r="AD28" s="132">
        <f t="shared" si="95"/>
        <v>0</v>
      </c>
      <c r="AE28" s="43">
        <f t="shared" si="59"/>
        <v>92316.37659914712</v>
      </c>
      <c r="AF28" s="132">
        <f t="shared" si="95"/>
        <v>0</v>
      </c>
      <c r="AG28" s="132">
        <f t="shared" si="95"/>
        <v>34100.290511727086</v>
      </c>
      <c r="AH28" s="132">
        <f t="shared" si="95"/>
        <v>0</v>
      </c>
      <c r="AI28" s="132">
        <f t="shared" si="95"/>
        <v>36066.55250533049</v>
      </c>
      <c r="AJ28" s="132">
        <f t="shared" si="95"/>
        <v>0</v>
      </c>
      <c r="AK28" s="132">
        <f t="shared" si="95"/>
        <v>3277.398720682303</v>
      </c>
      <c r="AL28" s="132">
        <f t="shared" si="95"/>
        <v>0</v>
      </c>
      <c r="AM28" s="132">
        <f t="shared" si="95"/>
        <v>0</v>
      </c>
      <c r="AN28" s="132">
        <f t="shared" si="95"/>
        <v>0</v>
      </c>
      <c r="AO28" s="132">
        <f t="shared" si="95"/>
        <v>0</v>
      </c>
      <c r="AP28" s="132">
        <f t="shared" si="95"/>
        <v>0</v>
      </c>
      <c r="AQ28" s="132">
        <f t="shared" si="95"/>
        <v>0</v>
      </c>
      <c r="AR28" s="132">
        <f t="shared" si="95"/>
        <v>0</v>
      </c>
      <c r="AS28" s="4">
        <f t="shared" si="60"/>
        <v>0</v>
      </c>
      <c r="AT28" s="132">
        <f t="shared" si="95"/>
        <v>0</v>
      </c>
      <c r="AU28" s="4">
        <f t="shared" si="61"/>
        <v>165760.61833688698</v>
      </c>
      <c r="AV28" s="132">
        <f t="shared" si="95"/>
        <v>0</v>
      </c>
      <c r="AW28" s="132">
        <f t="shared" si="95"/>
        <v>3649.6255330490408</v>
      </c>
      <c r="AX28" s="4">
        <f t="shared" si="62"/>
        <v>1.2278178473934531E-11</v>
      </c>
      <c r="AY28" s="132">
        <f t="shared" si="95"/>
        <v>0</v>
      </c>
      <c r="AZ28" s="132">
        <f t="shared" si="95"/>
        <v>0</v>
      </c>
      <c r="BA28" s="132">
        <f t="shared" si="95"/>
        <v>0</v>
      </c>
      <c r="BB28" s="132">
        <f t="shared" si="95"/>
        <v>0</v>
      </c>
      <c r="BC28" s="132">
        <f t="shared" si="95"/>
        <v>0</v>
      </c>
      <c r="BD28" s="132">
        <f t="shared" si="95"/>
        <v>0</v>
      </c>
      <c r="BE28" s="132">
        <f t="shared" si="95"/>
        <v>0</v>
      </c>
      <c r="BF28" s="43">
        <f t="shared" si="63"/>
        <v>0</v>
      </c>
      <c r="BG28" s="132">
        <f t="shared" si="95"/>
        <v>0</v>
      </c>
      <c r="BH28" s="132">
        <f t="shared" si="95"/>
        <v>0</v>
      </c>
      <c r="BI28" s="132">
        <f t="shared" si="95"/>
        <v>0</v>
      </c>
      <c r="BJ28" s="132">
        <f t="shared" si="95"/>
        <v>0</v>
      </c>
      <c r="BK28" s="132">
        <f t="shared" si="95"/>
        <v>0</v>
      </c>
      <c r="BL28" s="132">
        <f t="shared" si="95"/>
        <v>0</v>
      </c>
      <c r="BM28" s="132">
        <f t="shared" si="95"/>
        <v>0</v>
      </c>
      <c r="BN28" s="132">
        <f t="shared" si="95"/>
        <v>0</v>
      </c>
      <c r="BO28" s="43">
        <f t="shared" si="64"/>
        <v>0</v>
      </c>
      <c r="BP28" s="132">
        <f t="shared" si="95"/>
        <v>0</v>
      </c>
      <c r="BQ28" s="132">
        <f t="shared" si="95"/>
        <v>0</v>
      </c>
      <c r="BR28" s="132">
        <f t="shared" si="95"/>
        <v>0</v>
      </c>
      <c r="BS28" s="43">
        <f t="shared" si="65"/>
        <v>0</v>
      </c>
      <c r="BT28" s="132">
        <f t="shared" si="95"/>
        <v>249973.30756929636</v>
      </c>
      <c r="BU28" s="132">
        <f t="shared" si="95"/>
        <v>0</v>
      </c>
      <c r="BV28" s="132">
        <f aca="true" t="shared" si="96" ref="BV28:CA28">(BV42/($B$5+$B$28)*$B$28)</f>
        <v>0</v>
      </c>
      <c r="BW28" s="132">
        <f t="shared" si="96"/>
        <v>0</v>
      </c>
      <c r="BX28" s="4">
        <f t="shared" si="66"/>
        <v>249973.30756929636</v>
      </c>
      <c r="BY28" s="132">
        <f t="shared" si="96"/>
        <v>50556.128731343284</v>
      </c>
      <c r="BZ28" s="132">
        <f t="shared" si="96"/>
        <v>0</v>
      </c>
      <c r="CA28" s="132">
        <f t="shared" si="96"/>
        <v>199417.1788379531</v>
      </c>
      <c r="CB28" s="4">
        <f t="shared" si="67"/>
        <v>249973.3075692964</v>
      </c>
      <c r="CC28" s="4">
        <f t="shared" si="68"/>
        <v>0</v>
      </c>
      <c r="CD28" s="74">
        <f t="shared" si="69"/>
        <v>-3649.6255330490408</v>
      </c>
      <c r="CE28" s="76">
        <f t="shared" si="70"/>
        <v>-3649.6255330490408</v>
      </c>
      <c r="CF28" s="76">
        <f t="shared" si="71"/>
        <v>0</v>
      </c>
      <c r="CG28" s="76">
        <f t="shared" si="54"/>
        <v>165760.61833688698</v>
      </c>
      <c r="CH28" s="76">
        <f t="shared" si="72"/>
        <v>-34100.290511727086</v>
      </c>
      <c r="CI28" s="37">
        <f t="shared" si="73"/>
        <v>-34100.290511727086</v>
      </c>
      <c r="CJ28" s="59" t="str">
        <f t="shared" si="36"/>
        <v>-</v>
      </c>
      <c r="CK28" s="59" t="str">
        <f t="shared" si="37"/>
        <v>-</v>
      </c>
      <c r="CL28" s="141">
        <f t="shared" si="38"/>
        <v>-0.022017446421632246</v>
      </c>
      <c r="CM28" s="141">
        <f t="shared" si="39"/>
        <v>-0.022017446421632246</v>
      </c>
      <c r="CN28" s="141">
        <f t="shared" si="40"/>
        <v>-0.205720097173037</v>
      </c>
      <c r="CO28" s="141">
        <f t="shared" si="41"/>
        <v>-0.205720097173037</v>
      </c>
      <c r="CP28" s="141" t="str">
        <f t="shared" si="42"/>
        <v>-</v>
      </c>
      <c r="CQ28" s="141" t="str">
        <f t="shared" si="43"/>
        <v>-</v>
      </c>
      <c r="CR28" s="142">
        <f t="shared" si="44"/>
        <v>-54.64044928229996</v>
      </c>
      <c r="CS28" s="76">
        <f t="shared" si="45"/>
        <v>199417.17883795308</v>
      </c>
      <c r="CT28" s="80">
        <f t="shared" si="74"/>
        <v>169410.24386993604</v>
      </c>
      <c r="CU28" s="80">
        <f t="shared" si="75"/>
        <v>165760.61833688698</v>
      </c>
      <c r="CV28" s="80">
        <f t="shared" si="76"/>
        <v>-3649.625533049053</v>
      </c>
      <c r="CW28" s="80">
        <f t="shared" si="77"/>
        <v>0</v>
      </c>
      <c r="CX28" s="80">
        <f t="shared" si="78"/>
        <v>-3649.625533049053</v>
      </c>
      <c r="CY28" s="80">
        <f t="shared" si="79"/>
        <v>-3649.625533049053</v>
      </c>
      <c r="CZ28" s="80">
        <f t="shared" si="80"/>
        <v>0</v>
      </c>
      <c r="DA28" s="80">
        <f t="shared" si="81"/>
        <v>0</v>
      </c>
      <c r="DB28" s="80">
        <f t="shared" si="82"/>
        <v>-3649.625533049053</v>
      </c>
      <c r="DC28" s="80">
        <f t="shared" si="46"/>
        <v>-3649.625533049053</v>
      </c>
      <c r="DD28" s="80">
        <f t="shared" si="83"/>
        <v>0</v>
      </c>
      <c r="DE28" s="80">
        <f t="shared" si="84"/>
        <v>-3649.625533049053</v>
      </c>
      <c r="DF28" s="80">
        <f t="shared" si="85"/>
        <v>76310.57302771855</v>
      </c>
      <c r="DG28" s="80">
        <f t="shared" si="86"/>
        <v>419.82563965884856</v>
      </c>
      <c r="DH28" s="80">
        <f t="shared" si="87"/>
        <v>-71.7900852878465</v>
      </c>
      <c r="DI28" s="80">
        <f t="shared" si="88"/>
        <v>160.65383795309168</v>
      </c>
      <c r="DJ28" s="81">
        <f t="shared" si="89"/>
        <v>0</v>
      </c>
      <c r="DK28" s="76">
        <f t="shared" si="90"/>
        <v>-7.6834221748401115</v>
      </c>
      <c r="DL28" s="145">
        <f t="shared" si="49"/>
        <v>199417.1788379531</v>
      </c>
      <c r="DM28" s="67"/>
      <c r="DN28" s="68"/>
    </row>
    <row r="29" spans="1:118" ht="12.75">
      <c r="A29" s="52" t="s">
        <v>21</v>
      </c>
      <c r="B29" s="41">
        <v>2650</v>
      </c>
      <c r="C29" s="4">
        <v>11000311</v>
      </c>
      <c r="D29" s="69">
        <v>4151.06</v>
      </c>
      <c r="E29" s="69">
        <v>120.39</v>
      </c>
      <c r="F29" s="8">
        <v>4</v>
      </c>
      <c r="G29" s="131">
        <v>75321.45</v>
      </c>
      <c r="H29" s="43">
        <v>15374.95</v>
      </c>
      <c r="I29" s="43">
        <v>0</v>
      </c>
      <c r="J29" s="43">
        <v>0</v>
      </c>
      <c r="K29" s="43">
        <v>0</v>
      </c>
      <c r="L29" s="43">
        <v>0</v>
      </c>
      <c r="M29" s="43">
        <f t="shared" si="0"/>
        <v>0</v>
      </c>
      <c r="N29" s="43">
        <v>546878.9</v>
      </c>
      <c r="O29" s="43">
        <v>19988</v>
      </c>
      <c r="P29" s="43">
        <v>9000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f t="shared" si="57"/>
        <v>0</v>
      </c>
      <c r="X29" s="43">
        <v>0</v>
      </c>
      <c r="Y29" s="43">
        <f t="shared" si="58"/>
        <v>666563.3</v>
      </c>
      <c r="Z29" s="43">
        <v>606830.15</v>
      </c>
      <c r="AA29" s="43">
        <v>133679.25</v>
      </c>
      <c r="AB29" s="43">
        <v>0</v>
      </c>
      <c r="AC29" s="43">
        <v>89295.6</v>
      </c>
      <c r="AD29" s="43">
        <v>0</v>
      </c>
      <c r="AE29" s="43">
        <f t="shared" si="59"/>
        <v>829805</v>
      </c>
      <c r="AF29" s="43">
        <v>0</v>
      </c>
      <c r="AG29" s="43">
        <v>8139.6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60"/>
        <v>0</v>
      </c>
      <c r="AT29" s="4">
        <v>0</v>
      </c>
      <c r="AU29" s="4">
        <f t="shared" si="61"/>
        <v>837944.6000000001</v>
      </c>
      <c r="AV29" s="4">
        <v>171381.3</v>
      </c>
      <c r="AW29" s="4">
        <v>0</v>
      </c>
      <c r="AX29" s="4">
        <f t="shared" si="62"/>
        <v>-5.820766091346741E-11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f t="shared" si="63"/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f t="shared" si="64"/>
        <v>0</v>
      </c>
      <c r="BP29" s="43">
        <v>0</v>
      </c>
      <c r="BQ29" s="43">
        <v>0</v>
      </c>
      <c r="BR29" s="43">
        <v>0</v>
      </c>
      <c r="BS29" s="43">
        <f t="shared" si="65"/>
        <v>0</v>
      </c>
      <c r="BT29" s="4">
        <v>1001245.4</v>
      </c>
      <c r="BU29" s="4">
        <v>0</v>
      </c>
      <c r="BV29" s="4">
        <v>0</v>
      </c>
      <c r="BW29" s="4">
        <v>0</v>
      </c>
      <c r="BX29" s="4">
        <f t="shared" si="66"/>
        <v>1001245.4</v>
      </c>
      <c r="BY29" s="4">
        <v>285548.4</v>
      </c>
      <c r="BZ29" s="4">
        <v>0</v>
      </c>
      <c r="CA29" s="4">
        <v>715697</v>
      </c>
      <c r="CB29" s="4">
        <f t="shared" si="67"/>
        <v>1001245.4</v>
      </c>
      <c r="CC29" s="4">
        <f t="shared" si="68"/>
        <v>0</v>
      </c>
      <c r="CD29" s="74">
        <f t="shared" si="69"/>
        <v>171381.3</v>
      </c>
      <c r="CE29" s="76">
        <f t="shared" si="70"/>
        <v>171381.3</v>
      </c>
      <c r="CF29" s="76">
        <f t="shared" si="71"/>
        <v>0</v>
      </c>
      <c r="CG29" s="76">
        <f t="shared" si="54"/>
        <v>837944.6000000001</v>
      </c>
      <c r="CH29" s="76">
        <f t="shared" si="72"/>
        <v>-8139.6</v>
      </c>
      <c r="CI29" s="37">
        <f t="shared" si="73"/>
        <v>-8139.6</v>
      </c>
      <c r="CJ29" s="59" t="str">
        <f t="shared" si="36"/>
        <v>-</v>
      </c>
      <c r="CK29" s="59" t="str">
        <f t="shared" si="37"/>
        <v>-</v>
      </c>
      <c r="CL29" s="141">
        <f t="shared" si="38"/>
        <v>0.20452581232697242</v>
      </c>
      <c r="CM29" s="141">
        <f t="shared" si="39"/>
        <v>0.20452581232697242</v>
      </c>
      <c r="CN29" s="141">
        <f t="shared" si="40"/>
        <v>-0.00971376866680685</v>
      </c>
      <c r="CO29" s="141">
        <f t="shared" si="41"/>
        <v>-0.00971376866680685</v>
      </c>
      <c r="CP29" s="141" t="str">
        <f t="shared" si="42"/>
        <v>-</v>
      </c>
      <c r="CQ29" s="141" t="str">
        <f t="shared" si="43"/>
        <v>-</v>
      </c>
      <c r="CR29" s="142">
        <f t="shared" si="44"/>
        <v>4.176050712650681</v>
      </c>
      <c r="CS29" s="76">
        <f t="shared" si="45"/>
        <v>715697</v>
      </c>
      <c r="CT29" s="80">
        <f t="shared" si="74"/>
        <v>666563.3</v>
      </c>
      <c r="CU29" s="80">
        <f t="shared" si="75"/>
        <v>837944.6000000001</v>
      </c>
      <c r="CV29" s="80">
        <f t="shared" si="76"/>
        <v>171381.30000000005</v>
      </c>
      <c r="CW29" s="80">
        <f t="shared" si="77"/>
        <v>0</v>
      </c>
      <c r="CX29" s="80">
        <f t="shared" si="78"/>
        <v>171381.30000000005</v>
      </c>
      <c r="CY29" s="80">
        <f t="shared" si="79"/>
        <v>171381.30000000005</v>
      </c>
      <c r="CZ29" s="80">
        <f t="shared" si="80"/>
        <v>0</v>
      </c>
      <c r="DA29" s="80">
        <f t="shared" si="81"/>
        <v>0</v>
      </c>
      <c r="DB29" s="80">
        <f t="shared" si="82"/>
        <v>171381.30000000005</v>
      </c>
      <c r="DC29" s="80">
        <f t="shared" si="46"/>
        <v>171381.30000000005</v>
      </c>
      <c r="DD29" s="80">
        <f t="shared" si="83"/>
        <v>0</v>
      </c>
      <c r="DE29" s="80">
        <f t="shared" si="84"/>
        <v>171381.30000000005</v>
      </c>
      <c r="DF29" s="80">
        <f t="shared" si="85"/>
        <v>740509.4</v>
      </c>
      <c r="DG29" s="80">
        <f t="shared" si="86"/>
        <v>270.0743396226415</v>
      </c>
      <c r="DH29" s="80">
        <f t="shared" si="87"/>
        <v>-3.071547169811321</v>
      </c>
      <c r="DI29" s="80">
        <f t="shared" si="88"/>
        <v>279.43750943396225</v>
      </c>
      <c r="DJ29" s="81">
        <f t="shared" si="89"/>
        <v>0</v>
      </c>
      <c r="DK29" s="76">
        <f t="shared" si="90"/>
        <v>64.6721886792453</v>
      </c>
      <c r="DL29" s="145">
        <f t="shared" si="49"/>
        <v>715697</v>
      </c>
      <c r="DM29" s="64"/>
      <c r="DN29" s="65"/>
    </row>
    <row r="30" spans="1:118" ht="12.75">
      <c r="A30" s="51" t="s">
        <v>31</v>
      </c>
      <c r="B30" s="46">
        <v>400</v>
      </c>
      <c r="C30" s="38">
        <v>1133304</v>
      </c>
      <c r="D30" s="66">
        <v>2833.26</v>
      </c>
      <c r="E30" s="66">
        <v>82.17</v>
      </c>
      <c r="F30" s="126">
        <v>2</v>
      </c>
      <c r="G30" s="132">
        <v>8496.85</v>
      </c>
      <c r="H30" s="42">
        <v>3102.4</v>
      </c>
      <c r="I30" s="42">
        <v>0</v>
      </c>
      <c r="J30" s="42">
        <v>0</v>
      </c>
      <c r="K30" s="42">
        <v>0</v>
      </c>
      <c r="L30" s="42">
        <v>0</v>
      </c>
      <c r="M30" s="43">
        <f t="shared" si="0"/>
        <v>0</v>
      </c>
      <c r="N30" s="42">
        <v>0</v>
      </c>
      <c r="O30" s="42">
        <v>983.85</v>
      </c>
      <c r="P30" s="42">
        <v>111364.1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3">
        <f t="shared" si="57"/>
        <v>0</v>
      </c>
      <c r="X30" s="42">
        <v>0</v>
      </c>
      <c r="Y30" s="43">
        <f t="shared" si="58"/>
        <v>123947.20000000001</v>
      </c>
      <c r="Z30" s="42">
        <v>50415.4</v>
      </c>
      <c r="AA30" s="42">
        <v>0</v>
      </c>
      <c r="AB30" s="42">
        <v>0</v>
      </c>
      <c r="AC30" s="42">
        <v>13478.6</v>
      </c>
      <c r="AD30" s="42">
        <v>0</v>
      </c>
      <c r="AE30" s="43">
        <f t="shared" si="59"/>
        <v>63894</v>
      </c>
      <c r="AF30" s="42">
        <v>0</v>
      </c>
      <c r="AG30" s="42">
        <v>6989</v>
      </c>
      <c r="AH30" s="42">
        <v>0</v>
      </c>
      <c r="AI30" s="42">
        <v>17246.5</v>
      </c>
      <c r="AJ30" s="42">
        <v>0</v>
      </c>
      <c r="AK30" s="42">
        <v>0</v>
      </c>
      <c r="AL30" s="42">
        <v>0</v>
      </c>
      <c r="AM30" s="42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4">
        <f t="shared" si="60"/>
        <v>0</v>
      </c>
      <c r="AT30" s="38">
        <v>0</v>
      </c>
      <c r="AU30" s="4">
        <f t="shared" si="61"/>
        <v>88129.5</v>
      </c>
      <c r="AV30" s="38">
        <v>0</v>
      </c>
      <c r="AW30" s="38">
        <v>35817.7</v>
      </c>
      <c r="AX30" s="4">
        <f t="shared" si="62"/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63"/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3">
        <f t="shared" si="64"/>
        <v>0</v>
      </c>
      <c r="BP30" s="42">
        <v>0</v>
      </c>
      <c r="BQ30" s="42">
        <v>0</v>
      </c>
      <c r="BR30" s="42">
        <v>0</v>
      </c>
      <c r="BS30" s="43">
        <f t="shared" si="65"/>
        <v>0</v>
      </c>
      <c r="BT30" s="38">
        <v>219399.98</v>
      </c>
      <c r="BU30" s="38">
        <v>0</v>
      </c>
      <c r="BV30" s="38">
        <v>0</v>
      </c>
      <c r="BW30" s="38">
        <v>0</v>
      </c>
      <c r="BX30" s="4">
        <f t="shared" si="66"/>
        <v>219399.98</v>
      </c>
      <c r="BY30" s="38">
        <v>29376.6</v>
      </c>
      <c r="BZ30" s="38">
        <v>0</v>
      </c>
      <c r="CA30" s="38">
        <v>190023.38</v>
      </c>
      <c r="CB30" s="4">
        <f t="shared" si="67"/>
        <v>219399.98</v>
      </c>
      <c r="CC30" s="4">
        <f t="shared" si="68"/>
        <v>0</v>
      </c>
      <c r="CD30" s="74">
        <f t="shared" si="69"/>
        <v>-35817.7</v>
      </c>
      <c r="CE30" s="76">
        <f t="shared" si="70"/>
        <v>-35817.7</v>
      </c>
      <c r="CF30" s="76">
        <f t="shared" si="71"/>
        <v>0</v>
      </c>
      <c r="CG30" s="76">
        <f t="shared" si="54"/>
        <v>88129.5</v>
      </c>
      <c r="CH30" s="76">
        <f t="shared" si="72"/>
        <v>-6989</v>
      </c>
      <c r="CI30" s="37">
        <f t="shared" si="73"/>
        <v>-6989</v>
      </c>
      <c r="CJ30" s="59" t="str">
        <f t="shared" si="36"/>
        <v>-</v>
      </c>
      <c r="CK30" s="59" t="str">
        <f t="shared" si="37"/>
        <v>-</v>
      </c>
      <c r="CL30" s="141">
        <f t="shared" si="38"/>
        <v>-0.40642123239097006</v>
      </c>
      <c r="CM30" s="141">
        <f t="shared" si="39"/>
        <v>-0.40642123239097006</v>
      </c>
      <c r="CN30" s="141">
        <f t="shared" si="40"/>
        <v>-0.07930375186515298</v>
      </c>
      <c r="CO30" s="141">
        <f t="shared" si="41"/>
        <v>-0.07930375186515298</v>
      </c>
      <c r="CP30" s="141" t="str">
        <f t="shared" si="42"/>
        <v>-</v>
      </c>
      <c r="CQ30" s="141" t="str">
        <f t="shared" si="43"/>
        <v>-</v>
      </c>
      <c r="CR30" s="142">
        <f t="shared" si="44"/>
        <v>-5.305292634647117</v>
      </c>
      <c r="CS30" s="76">
        <f t="shared" si="45"/>
        <v>190023.38</v>
      </c>
      <c r="CT30" s="80">
        <f t="shared" si="74"/>
        <v>123947.20000000001</v>
      </c>
      <c r="CU30" s="80">
        <f t="shared" si="75"/>
        <v>88129.5</v>
      </c>
      <c r="CV30" s="80">
        <f t="shared" si="76"/>
        <v>-35817.70000000001</v>
      </c>
      <c r="CW30" s="80">
        <f t="shared" si="77"/>
        <v>0</v>
      </c>
      <c r="CX30" s="80">
        <f t="shared" si="78"/>
        <v>-35817.70000000001</v>
      </c>
      <c r="CY30" s="80">
        <f t="shared" si="79"/>
        <v>-35817.70000000001</v>
      </c>
      <c r="CZ30" s="80">
        <f t="shared" si="80"/>
        <v>0</v>
      </c>
      <c r="DA30" s="80">
        <f t="shared" si="81"/>
        <v>0</v>
      </c>
      <c r="DB30" s="80">
        <f t="shared" si="82"/>
        <v>-35817.70000000001</v>
      </c>
      <c r="DC30" s="80">
        <f t="shared" si="46"/>
        <v>-35817.70000000001</v>
      </c>
      <c r="DD30" s="80">
        <f t="shared" si="83"/>
        <v>0</v>
      </c>
      <c r="DE30" s="80">
        <f t="shared" si="84"/>
        <v>-35817.70000000001</v>
      </c>
      <c r="DF30" s="80">
        <f t="shared" si="85"/>
        <v>50415.4</v>
      </c>
      <c r="DG30" s="80">
        <f t="shared" si="86"/>
        <v>475.05845</v>
      </c>
      <c r="DH30" s="80">
        <f t="shared" si="87"/>
        <v>-17.4725</v>
      </c>
      <c r="DI30" s="80">
        <f t="shared" si="88"/>
        <v>126.0385</v>
      </c>
      <c r="DJ30" s="81">
        <f t="shared" si="89"/>
        <v>0</v>
      </c>
      <c r="DK30" s="76">
        <f t="shared" si="90"/>
        <v>-89.54425000000003</v>
      </c>
      <c r="DL30" s="145">
        <f t="shared" si="49"/>
        <v>190023.38</v>
      </c>
      <c r="DM30" s="67"/>
      <c r="DN30" s="68"/>
    </row>
    <row r="31" spans="1:118" ht="13.5" thickBot="1">
      <c r="A31" s="53" t="s">
        <v>20</v>
      </c>
      <c r="B31" s="47">
        <v>283</v>
      </c>
      <c r="C31" s="7">
        <v>956624</v>
      </c>
      <c r="D31" s="70">
        <v>3380.3</v>
      </c>
      <c r="E31" s="70">
        <v>98.03</v>
      </c>
      <c r="F31" s="127">
        <v>4</v>
      </c>
      <c r="G31" s="131">
        <v>4909.1</v>
      </c>
      <c r="H31" s="43">
        <v>1368.75</v>
      </c>
      <c r="I31" s="43">
        <v>222.1</v>
      </c>
      <c r="J31" s="43">
        <v>0</v>
      </c>
      <c r="K31" s="43">
        <v>0</v>
      </c>
      <c r="L31" s="43">
        <v>0</v>
      </c>
      <c r="M31" s="43">
        <f t="shared" si="0"/>
        <v>0</v>
      </c>
      <c r="N31" s="43">
        <v>0</v>
      </c>
      <c r="O31" s="43">
        <v>3633.85</v>
      </c>
      <c r="P31" s="43">
        <v>79754.5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f t="shared" si="57"/>
        <v>0</v>
      </c>
      <c r="X31" s="43">
        <v>0</v>
      </c>
      <c r="Y31" s="43">
        <f t="shared" si="58"/>
        <v>89888.3</v>
      </c>
      <c r="Z31" s="43">
        <v>80440.8</v>
      </c>
      <c r="AA31" s="43">
        <v>1055</v>
      </c>
      <c r="AB31" s="43">
        <v>0</v>
      </c>
      <c r="AC31" s="43">
        <v>9536.1</v>
      </c>
      <c r="AD31" s="43">
        <v>0</v>
      </c>
      <c r="AE31" s="43">
        <f t="shared" si="59"/>
        <v>91031.90000000001</v>
      </c>
      <c r="AF31" s="43">
        <v>0</v>
      </c>
      <c r="AG31" s="43">
        <v>4749.6</v>
      </c>
      <c r="AH31" s="43">
        <v>0</v>
      </c>
      <c r="AI31" s="43">
        <v>7809.5</v>
      </c>
      <c r="AJ31" s="43">
        <v>0</v>
      </c>
      <c r="AK31" s="43">
        <v>0</v>
      </c>
      <c r="AL31" s="43">
        <v>0</v>
      </c>
      <c r="AM31" s="43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60"/>
        <v>0</v>
      </c>
      <c r="AT31" s="4">
        <v>0</v>
      </c>
      <c r="AU31" s="4">
        <f t="shared" si="61"/>
        <v>103591.00000000001</v>
      </c>
      <c r="AV31" s="4">
        <v>13702.7</v>
      </c>
      <c r="AW31" s="4">
        <v>0</v>
      </c>
      <c r="AX31" s="4">
        <f t="shared" si="62"/>
        <v>-1.0913936421275139E-11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f t="shared" si="63"/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f t="shared" si="64"/>
        <v>0</v>
      </c>
      <c r="BP31" s="43">
        <v>0</v>
      </c>
      <c r="BQ31" s="43">
        <v>0</v>
      </c>
      <c r="BR31" s="43">
        <v>0</v>
      </c>
      <c r="BS31" s="43">
        <f t="shared" si="65"/>
        <v>0</v>
      </c>
      <c r="BT31" s="4">
        <v>205750.4</v>
      </c>
      <c r="BU31" s="4">
        <v>0</v>
      </c>
      <c r="BV31" s="4">
        <v>0</v>
      </c>
      <c r="BW31" s="4">
        <v>0</v>
      </c>
      <c r="BX31" s="4">
        <f t="shared" si="66"/>
        <v>205750.4</v>
      </c>
      <c r="BY31" s="4">
        <v>36100.35</v>
      </c>
      <c r="BZ31" s="4">
        <v>0</v>
      </c>
      <c r="CA31" s="4">
        <v>169650.05</v>
      </c>
      <c r="CB31" s="4">
        <f t="shared" si="67"/>
        <v>205750.4</v>
      </c>
      <c r="CC31" s="4">
        <f t="shared" si="68"/>
        <v>0</v>
      </c>
      <c r="CD31" s="74">
        <f t="shared" si="69"/>
        <v>13702.7</v>
      </c>
      <c r="CE31" s="76">
        <f t="shared" si="70"/>
        <v>13702.7</v>
      </c>
      <c r="CF31" s="76">
        <f t="shared" si="71"/>
        <v>0</v>
      </c>
      <c r="CG31" s="76">
        <f t="shared" si="54"/>
        <v>103591.00000000001</v>
      </c>
      <c r="CH31" s="76">
        <f t="shared" si="72"/>
        <v>-4527.5</v>
      </c>
      <c r="CI31" s="37">
        <f t="shared" si="73"/>
        <v>-4527.5</v>
      </c>
      <c r="CJ31" s="59" t="str">
        <f t="shared" si="36"/>
        <v>-</v>
      </c>
      <c r="CK31" s="59" t="str">
        <f t="shared" si="37"/>
        <v>-</v>
      </c>
      <c r="CL31" s="141">
        <f t="shared" si="38"/>
        <v>0.13227693525499318</v>
      </c>
      <c r="CM31" s="141">
        <f t="shared" si="39"/>
        <v>0.13227693525499318</v>
      </c>
      <c r="CN31" s="141">
        <f t="shared" si="40"/>
        <v>-0.043705534264559656</v>
      </c>
      <c r="CO31" s="141">
        <f t="shared" si="41"/>
        <v>-0.043705534264559656</v>
      </c>
      <c r="CP31" s="141" t="str">
        <f t="shared" si="42"/>
        <v>-</v>
      </c>
      <c r="CQ31" s="141" t="str">
        <f t="shared" si="43"/>
        <v>-</v>
      </c>
      <c r="CR31" s="142">
        <f t="shared" si="44"/>
        <v>12.380775321651935</v>
      </c>
      <c r="CS31" s="76">
        <f t="shared" si="45"/>
        <v>169650.05</v>
      </c>
      <c r="CT31" s="80">
        <f t="shared" si="74"/>
        <v>89888.3</v>
      </c>
      <c r="CU31" s="80">
        <f t="shared" si="75"/>
        <v>103591.00000000001</v>
      </c>
      <c r="CV31" s="80">
        <f t="shared" si="76"/>
        <v>13702.700000000012</v>
      </c>
      <c r="CW31" s="80">
        <f t="shared" si="77"/>
        <v>0</v>
      </c>
      <c r="CX31" s="80">
        <f t="shared" si="78"/>
        <v>13702.700000000012</v>
      </c>
      <c r="CY31" s="80">
        <f t="shared" si="79"/>
        <v>13702.700000000012</v>
      </c>
      <c r="CZ31" s="80">
        <f t="shared" si="80"/>
        <v>0</v>
      </c>
      <c r="DA31" s="80">
        <f t="shared" si="81"/>
        <v>0</v>
      </c>
      <c r="DB31" s="80">
        <f t="shared" si="82"/>
        <v>13702.700000000012</v>
      </c>
      <c r="DC31" s="80">
        <f t="shared" si="46"/>
        <v>13702.700000000012</v>
      </c>
      <c r="DD31" s="80">
        <f t="shared" si="83"/>
        <v>0</v>
      </c>
      <c r="DE31" s="80">
        <f t="shared" si="84"/>
        <v>13702.700000000012</v>
      </c>
      <c r="DF31" s="80">
        <f t="shared" si="85"/>
        <v>81495.8</v>
      </c>
      <c r="DG31" s="80">
        <f t="shared" si="86"/>
        <v>599.4701413427562</v>
      </c>
      <c r="DH31" s="80">
        <f t="shared" si="87"/>
        <v>-15.998233215547703</v>
      </c>
      <c r="DI31" s="80">
        <f t="shared" si="88"/>
        <v>287.97102473498234</v>
      </c>
      <c r="DJ31" s="81">
        <f t="shared" si="89"/>
        <v>0</v>
      </c>
      <c r="DK31" s="76">
        <f t="shared" si="90"/>
        <v>48.4194346289753</v>
      </c>
      <c r="DL31" s="145">
        <f t="shared" si="49"/>
        <v>169650.05</v>
      </c>
      <c r="DM31" s="64"/>
      <c r="DN31" s="65"/>
    </row>
    <row r="32" spans="1:118" ht="12" customHeight="1">
      <c r="A32" s="31" t="s">
        <v>70</v>
      </c>
      <c r="B32" s="24">
        <f aca="true" t="shared" si="97" ref="B32:G32">SUM(B3:B31)</f>
        <v>38305</v>
      </c>
      <c r="C32" s="24">
        <f t="shared" si="97"/>
        <v>132077817</v>
      </c>
      <c r="D32" s="25">
        <f t="shared" si="97"/>
        <v>86001.40000000001</v>
      </c>
      <c r="E32" s="25">
        <f t="shared" si="97"/>
        <v>2494.1700000000005</v>
      </c>
      <c r="F32" s="116">
        <f t="shared" si="97"/>
        <v>77</v>
      </c>
      <c r="G32" s="118">
        <f t="shared" si="97"/>
        <v>831926.2999999999</v>
      </c>
      <c r="H32" s="119">
        <f aca="true" t="shared" si="98" ref="H32:AN32">SUM(H3:H31)</f>
        <v>537743.41</v>
      </c>
      <c r="I32" s="119">
        <f t="shared" si="98"/>
        <v>46335.549999999996</v>
      </c>
      <c r="J32" s="119">
        <f t="shared" si="98"/>
        <v>64373.29999999999</v>
      </c>
      <c r="K32" s="119">
        <f t="shared" si="98"/>
        <v>7200</v>
      </c>
      <c r="L32" s="119">
        <f t="shared" si="98"/>
        <v>22600</v>
      </c>
      <c r="M32" s="119">
        <f t="shared" si="98"/>
        <v>29800</v>
      </c>
      <c r="N32" s="119">
        <f t="shared" si="98"/>
        <v>546878.9</v>
      </c>
      <c r="O32" s="119">
        <f t="shared" si="98"/>
        <v>122081.80000000002</v>
      </c>
      <c r="P32" s="119">
        <f t="shared" si="98"/>
        <v>10834965.6</v>
      </c>
      <c r="Q32" s="119">
        <f t="shared" si="98"/>
        <v>0</v>
      </c>
      <c r="R32" s="119">
        <f t="shared" si="98"/>
        <v>0</v>
      </c>
      <c r="S32" s="119">
        <f t="shared" si="98"/>
        <v>0</v>
      </c>
      <c r="T32" s="119">
        <f t="shared" si="98"/>
        <v>0</v>
      </c>
      <c r="U32" s="119">
        <f t="shared" si="98"/>
        <v>0</v>
      </c>
      <c r="V32" s="119">
        <f t="shared" si="98"/>
        <v>0</v>
      </c>
      <c r="W32" s="119">
        <f t="shared" si="98"/>
        <v>0</v>
      </c>
      <c r="X32" s="119">
        <f t="shared" si="98"/>
        <v>8500</v>
      </c>
      <c r="Y32" s="119">
        <f t="shared" si="98"/>
        <v>13022604.860000001</v>
      </c>
      <c r="Z32" s="119">
        <f t="shared" si="98"/>
        <v>5737213.100000001</v>
      </c>
      <c r="AA32" s="119">
        <f t="shared" si="98"/>
        <v>768256.5499999999</v>
      </c>
      <c r="AB32" s="119">
        <f t="shared" si="98"/>
        <v>210400.7</v>
      </c>
      <c r="AC32" s="119">
        <f t="shared" si="98"/>
        <v>963199.7999999999</v>
      </c>
      <c r="AD32" s="119">
        <f t="shared" si="98"/>
        <v>0</v>
      </c>
      <c r="AE32" s="119">
        <f t="shared" si="98"/>
        <v>7679070.150000001</v>
      </c>
      <c r="AF32" s="119">
        <f t="shared" si="98"/>
        <v>0</v>
      </c>
      <c r="AG32" s="119">
        <f t="shared" si="98"/>
        <v>344865.16</v>
      </c>
      <c r="AH32" s="119">
        <f t="shared" si="98"/>
        <v>20412</v>
      </c>
      <c r="AI32" s="119">
        <f t="shared" si="98"/>
        <v>4728635.919999998</v>
      </c>
      <c r="AJ32" s="119">
        <f t="shared" si="98"/>
        <v>3551.85</v>
      </c>
      <c r="AK32" s="119">
        <f t="shared" si="98"/>
        <v>143853.75</v>
      </c>
      <c r="AL32" s="119">
        <f t="shared" si="98"/>
        <v>0</v>
      </c>
      <c r="AM32" s="119">
        <f t="shared" si="98"/>
        <v>0</v>
      </c>
      <c r="AN32" s="119">
        <f t="shared" si="98"/>
        <v>0</v>
      </c>
      <c r="AO32" s="119">
        <f aca="true" t="shared" si="99" ref="AO32:BT32">SUM(AO3:AO31)</f>
        <v>0</v>
      </c>
      <c r="AP32" s="119">
        <f t="shared" si="99"/>
        <v>0</v>
      </c>
      <c r="AQ32" s="119">
        <f t="shared" si="99"/>
        <v>0</v>
      </c>
      <c r="AR32" s="119">
        <f t="shared" si="99"/>
        <v>0</v>
      </c>
      <c r="AS32" s="119">
        <f t="shared" si="99"/>
        <v>0</v>
      </c>
      <c r="AT32" s="119">
        <f t="shared" si="99"/>
        <v>8650</v>
      </c>
      <c r="AU32" s="119">
        <f t="shared" si="99"/>
        <v>12908626.829999998</v>
      </c>
      <c r="AV32" s="119">
        <f t="shared" si="99"/>
        <v>587232.19</v>
      </c>
      <c r="AW32" s="119">
        <f t="shared" si="99"/>
        <v>701210.22</v>
      </c>
      <c r="AX32" s="119">
        <f t="shared" si="99"/>
        <v>5.820766091346741E-11</v>
      </c>
      <c r="AY32" s="119">
        <f t="shared" si="99"/>
        <v>1148.85</v>
      </c>
      <c r="AZ32" s="119">
        <f t="shared" si="99"/>
        <v>0</v>
      </c>
      <c r="BA32" s="119">
        <f t="shared" si="99"/>
        <v>0</v>
      </c>
      <c r="BB32" s="119">
        <f t="shared" si="99"/>
        <v>0</v>
      </c>
      <c r="BC32" s="119">
        <f t="shared" si="99"/>
        <v>0</v>
      </c>
      <c r="BD32" s="119">
        <f t="shared" si="99"/>
        <v>0</v>
      </c>
      <c r="BE32" s="119">
        <f t="shared" si="99"/>
        <v>0</v>
      </c>
      <c r="BF32" s="119">
        <f t="shared" si="99"/>
        <v>0</v>
      </c>
      <c r="BG32" s="119">
        <f t="shared" si="99"/>
        <v>0</v>
      </c>
      <c r="BH32" s="119">
        <f t="shared" si="99"/>
        <v>0</v>
      </c>
      <c r="BI32" s="119">
        <f t="shared" si="99"/>
        <v>0</v>
      </c>
      <c r="BJ32" s="119">
        <f t="shared" si="99"/>
        <v>0</v>
      </c>
      <c r="BK32" s="119">
        <f t="shared" si="99"/>
        <v>0</v>
      </c>
      <c r="BL32" s="119">
        <f t="shared" si="99"/>
        <v>0</v>
      </c>
      <c r="BM32" s="119">
        <f t="shared" si="99"/>
        <v>0</v>
      </c>
      <c r="BN32" s="119">
        <f t="shared" si="99"/>
        <v>0</v>
      </c>
      <c r="BO32" s="119">
        <f t="shared" si="99"/>
        <v>0</v>
      </c>
      <c r="BP32" s="119">
        <f t="shared" si="99"/>
        <v>0</v>
      </c>
      <c r="BQ32" s="119">
        <f t="shared" si="99"/>
        <v>0</v>
      </c>
      <c r="BR32" s="119">
        <f t="shared" si="99"/>
        <v>0</v>
      </c>
      <c r="BS32" s="119">
        <f t="shared" si="99"/>
        <v>0</v>
      </c>
      <c r="BT32" s="119">
        <f t="shared" si="99"/>
        <v>15628243.28</v>
      </c>
      <c r="BU32" s="119">
        <f aca="true" t="shared" si="100" ref="BU32:DA32">SUM(BU3:BU31)</f>
        <v>73576</v>
      </c>
      <c r="BV32" s="119">
        <f t="shared" si="100"/>
        <v>0</v>
      </c>
      <c r="BW32" s="119">
        <f t="shared" si="100"/>
        <v>274174.11</v>
      </c>
      <c r="BX32" s="119">
        <f t="shared" si="100"/>
        <v>15975993.39</v>
      </c>
      <c r="BY32" s="119">
        <f t="shared" si="100"/>
        <v>4145250.880000001</v>
      </c>
      <c r="BZ32" s="119">
        <f t="shared" si="100"/>
        <v>30000</v>
      </c>
      <c r="CA32" s="119">
        <f t="shared" si="100"/>
        <v>11800742.510000004</v>
      </c>
      <c r="CB32" s="119">
        <f t="shared" si="100"/>
        <v>15975993.39</v>
      </c>
      <c r="CC32" s="119">
        <f t="shared" si="100"/>
        <v>0</v>
      </c>
      <c r="CD32" s="119">
        <f t="shared" si="100"/>
        <v>-84178.03000000003</v>
      </c>
      <c r="CE32" s="119">
        <f t="shared" si="100"/>
        <v>-84178.03000000003</v>
      </c>
      <c r="CF32" s="119">
        <f t="shared" si="100"/>
        <v>0</v>
      </c>
      <c r="CG32" s="119">
        <f t="shared" si="100"/>
        <v>12899976.829999998</v>
      </c>
      <c r="CH32" s="119">
        <f t="shared" si="100"/>
        <v>-276968.76</v>
      </c>
      <c r="CI32" s="119">
        <f t="shared" si="100"/>
        <v>-269768.76</v>
      </c>
      <c r="CJ32" s="120">
        <f t="shared" si="100"/>
        <v>0</v>
      </c>
      <c r="CK32" s="120">
        <f t="shared" si="100"/>
        <v>0</v>
      </c>
      <c r="CL32" s="120">
        <f t="shared" si="100"/>
        <v>-0.8625331754283161</v>
      </c>
      <c r="CM32" s="120">
        <f t="shared" si="100"/>
        <v>-0.8625331754283161</v>
      </c>
      <c r="CN32" s="120">
        <f t="shared" si="100"/>
        <v>-0.9566502877467812</v>
      </c>
      <c r="CO32" s="120">
        <f t="shared" si="100"/>
        <v>-0.9445664818108402</v>
      </c>
      <c r="CP32" s="120">
        <f t="shared" si="100"/>
        <v>0.6652032178347969</v>
      </c>
      <c r="CQ32" s="120">
        <f t="shared" si="100"/>
        <v>0.408385036016615</v>
      </c>
      <c r="CR32" s="119">
        <f t="shared" si="100"/>
        <v>53.315991729299</v>
      </c>
      <c r="CS32" s="119">
        <f t="shared" si="100"/>
        <v>11482992.400000002</v>
      </c>
      <c r="CT32" s="119">
        <f t="shared" si="100"/>
        <v>12992804.86</v>
      </c>
      <c r="CU32" s="119">
        <f t="shared" si="100"/>
        <v>12908626.829999998</v>
      </c>
      <c r="CV32" s="119">
        <f t="shared" si="100"/>
        <v>-84178.03000000032</v>
      </c>
      <c r="CW32" s="119">
        <f t="shared" si="100"/>
        <v>0</v>
      </c>
      <c r="CX32" s="119">
        <f t="shared" si="100"/>
        <v>-84178.03000000032</v>
      </c>
      <c r="CY32" s="119">
        <f t="shared" si="100"/>
        <v>-113978.03000000032</v>
      </c>
      <c r="CZ32" s="119">
        <f t="shared" si="100"/>
        <v>0</v>
      </c>
      <c r="DA32" s="119">
        <f t="shared" si="100"/>
        <v>29800</v>
      </c>
      <c r="DB32" s="119">
        <f aca="true" t="shared" si="101" ref="DB32:DN32">SUM(DB3:DB31)</f>
        <v>-84178.03000000032</v>
      </c>
      <c r="DC32" s="119">
        <f t="shared" si="101"/>
        <v>-84178.03000000032</v>
      </c>
      <c r="DD32" s="119">
        <f t="shared" si="101"/>
        <v>-29800</v>
      </c>
      <c r="DE32" s="119">
        <f t="shared" si="101"/>
        <v>-113978.03000000032</v>
      </c>
      <c r="DF32" s="119">
        <f t="shared" si="101"/>
        <v>6715870.350000001</v>
      </c>
      <c r="DG32" s="119">
        <f t="shared" si="101"/>
        <v>8509.277448056204</v>
      </c>
      <c r="DH32" s="119">
        <f t="shared" si="101"/>
        <v>-316.63826089975817</v>
      </c>
      <c r="DI32" s="119">
        <f t="shared" si="101"/>
        <v>4013.978643704729</v>
      </c>
      <c r="DJ32" s="119">
        <f t="shared" si="101"/>
        <v>0</v>
      </c>
      <c r="DK32" s="119">
        <f t="shared" si="101"/>
        <v>-315.0349622277964</v>
      </c>
      <c r="DL32" s="119">
        <f t="shared" si="101"/>
        <v>11452992.400000002</v>
      </c>
      <c r="DM32" s="121">
        <f t="shared" si="101"/>
        <v>0</v>
      </c>
      <c r="DN32" s="122">
        <f t="shared" si="101"/>
        <v>0</v>
      </c>
    </row>
    <row r="33" spans="1:118" ht="12.75">
      <c r="A33" s="31" t="s">
        <v>47</v>
      </c>
      <c r="B33" s="24">
        <f aca="true" t="shared" si="102" ref="B33:G33">MIN(B3:B31)</f>
        <v>167</v>
      </c>
      <c r="C33" s="24">
        <f t="shared" si="102"/>
        <v>349229</v>
      </c>
      <c r="D33" s="25">
        <f t="shared" si="102"/>
        <v>1640.32</v>
      </c>
      <c r="E33" s="25">
        <f t="shared" si="102"/>
        <v>47.57</v>
      </c>
      <c r="F33" s="116">
        <f t="shared" si="102"/>
        <v>0</v>
      </c>
      <c r="G33" s="123">
        <f t="shared" si="102"/>
        <v>0</v>
      </c>
      <c r="H33" s="24">
        <f aca="true" t="shared" si="103" ref="H33:BT33">MIN(H3:H31)</f>
        <v>0</v>
      </c>
      <c r="I33" s="24">
        <f t="shared" si="103"/>
        <v>0</v>
      </c>
      <c r="J33" s="24">
        <f t="shared" si="103"/>
        <v>0</v>
      </c>
      <c r="K33" s="24">
        <f t="shared" si="103"/>
        <v>0</v>
      </c>
      <c r="L33" s="24">
        <f t="shared" si="103"/>
        <v>0</v>
      </c>
      <c r="M33" s="24">
        <f t="shared" si="103"/>
        <v>0</v>
      </c>
      <c r="N33" s="24">
        <f t="shared" si="103"/>
        <v>0</v>
      </c>
      <c r="O33" s="24">
        <f t="shared" si="103"/>
        <v>0</v>
      </c>
      <c r="P33" s="24">
        <f t="shared" si="103"/>
        <v>0</v>
      </c>
      <c r="Q33" s="24">
        <f t="shared" si="103"/>
        <v>0</v>
      </c>
      <c r="R33" s="24">
        <f t="shared" si="103"/>
        <v>0</v>
      </c>
      <c r="S33" s="24">
        <f t="shared" si="103"/>
        <v>0</v>
      </c>
      <c r="T33" s="24">
        <f t="shared" si="103"/>
        <v>0</v>
      </c>
      <c r="U33" s="24">
        <f t="shared" si="103"/>
        <v>0</v>
      </c>
      <c r="V33" s="24">
        <f t="shared" si="103"/>
        <v>0</v>
      </c>
      <c r="W33" s="24">
        <f t="shared" si="103"/>
        <v>0</v>
      </c>
      <c r="X33" s="24">
        <f t="shared" si="103"/>
        <v>0</v>
      </c>
      <c r="Y33" s="24">
        <f t="shared" si="103"/>
        <v>0</v>
      </c>
      <c r="Z33" s="24">
        <f t="shared" si="103"/>
        <v>0</v>
      </c>
      <c r="AA33" s="24">
        <f t="shared" si="103"/>
        <v>0</v>
      </c>
      <c r="AB33" s="24">
        <f t="shared" si="103"/>
        <v>0</v>
      </c>
      <c r="AC33" s="24">
        <f>MIN(AC3:AC31)</f>
        <v>0</v>
      </c>
      <c r="AD33" s="24">
        <f t="shared" si="103"/>
        <v>0</v>
      </c>
      <c r="AE33" s="24">
        <f t="shared" si="103"/>
        <v>0</v>
      </c>
      <c r="AF33" s="24">
        <f t="shared" si="103"/>
        <v>0</v>
      </c>
      <c r="AG33" s="24">
        <f t="shared" si="103"/>
        <v>0</v>
      </c>
      <c r="AH33" s="24">
        <f t="shared" si="103"/>
        <v>0</v>
      </c>
      <c r="AI33" s="24">
        <f t="shared" si="103"/>
        <v>0</v>
      </c>
      <c r="AJ33" s="24">
        <f t="shared" si="103"/>
        <v>-118.15</v>
      </c>
      <c r="AK33" s="24">
        <f t="shared" si="103"/>
        <v>0</v>
      </c>
      <c r="AL33" s="24">
        <f t="shared" si="103"/>
        <v>0</v>
      </c>
      <c r="AM33" s="24">
        <f t="shared" si="103"/>
        <v>0</v>
      </c>
      <c r="AN33" s="24">
        <f t="shared" si="103"/>
        <v>0</v>
      </c>
      <c r="AO33" s="24">
        <f t="shared" si="103"/>
        <v>0</v>
      </c>
      <c r="AP33" s="24">
        <f t="shared" si="103"/>
        <v>0</v>
      </c>
      <c r="AQ33" s="24">
        <f t="shared" si="103"/>
        <v>0</v>
      </c>
      <c r="AR33" s="24">
        <f t="shared" si="103"/>
        <v>0</v>
      </c>
      <c r="AS33" s="24">
        <f t="shared" si="103"/>
        <v>0</v>
      </c>
      <c r="AT33" s="24">
        <f t="shared" si="103"/>
        <v>0</v>
      </c>
      <c r="AU33" s="24">
        <f t="shared" si="103"/>
        <v>0</v>
      </c>
      <c r="AV33" s="24">
        <f t="shared" si="103"/>
        <v>0</v>
      </c>
      <c r="AW33" s="24">
        <f t="shared" si="103"/>
        <v>0</v>
      </c>
      <c r="AX33" s="24">
        <f t="shared" si="103"/>
        <v>-1.8917489796876907E-10</v>
      </c>
      <c r="AY33" s="24">
        <f t="shared" si="103"/>
        <v>0</v>
      </c>
      <c r="AZ33" s="24">
        <f t="shared" si="103"/>
        <v>0</v>
      </c>
      <c r="BA33" s="24">
        <f t="shared" si="103"/>
        <v>0</v>
      </c>
      <c r="BB33" s="24">
        <f t="shared" si="103"/>
        <v>0</v>
      </c>
      <c r="BC33" s="24">
        <f t="shared" si="103"/>
        <v>0</v>
      </c>
      <c r="BD33" s="24">
        <f t="shared" si="103"/>
        <v>0</v>
      </c>
      <c r="BE33" s="24">
        <f t="shared" si="103"/>
        <v>0</v>
      </c>
      <c r="BF33" s="24">
        <f t="shared" si="103"/>
        <v>0</v>
      </c>
      <c r="BG33" s="24">
        <f t="shared" si="103"/>
        <v>0</v>
      </c>
      <c r="BH33" s="24">
        <f t="shared" si="103"/>
        <v>0</v>
      </c>
      <c r="BI33" s="24">
        <f t="shared" si="103"/>
        <v>0</v>
      </c>
      <c r="BJ33" s="24">
        <f t="shared" si="103"/>
        <v>0</v>
      </c>
      <c r="BK33" s="24">
        <f t="shared" si="103"/>
        <v>0</v>
      </c>
      <c r="BL33" s="24">
        <f t="shared" si="103"/>
        <v>0</v>
      </c>
      <c r="BM33" s="24">
        <f t="shared" si="103"/>
        <v>0</v>
      </c>
      <c r="BN33" s="24">
        <f t="shared" si="103"/>
        <v>0</v>
      </c>
      <c r="BO33" s="24">
        <f t="shared" si="103"/>
        <v>0</v>
      </c>
      <c r="BP33" s="24">
        <f t="shared" si="103"/>
        <v>0</v>
      </c>
      <c r="BQ33" s="24">
        <f t="shared" si="103"/>
        <v>0</v>
      </c>
      <c r="BR33" s="24">
        <f t="shared" si="103"/>
        <v>0</v>
      </c>
      <c r="BS33" s="24">
        <f t="shared" si="103"/>
        <v>0</v>
      </c>
      <c r="BT33" s="24">
        <f t="shared" si="103"/>
        <v>0</v>
      </c>
      <c r="BU33" s="24">
        <f aca="true" t="shared" si="104" ref="BU33:DL33">MIN(BU3:BU31)</f>
        <v>0</v>
      </c>
      <c r="BV33" s="24">
        <f t="shared" si="104"/>
        <v>0</v>
      </c>
      <c r="BW33" s="24">
        <f t="shared" si="104"/>
        <v>0</v>
      </c>
      <c r="BX33" s="24">
        <f t="shared" si="104"/>
        <v>0</v>
      </c>
      <c r="BY33" s="24">
        <f t="shared" si="104"/>
        <v>0</v>
      </c>
      <c r="BZ33" s="24">
        <f t="shared" si="104"/>
        <v>0</v>
      </c>
      <c r="CA33" s="24">
        <f t="shared" si="104"/>
        <v>0</v>
      </c>
      <c r="CB33" s="24">
        <f t="shared" si="104"/>
        <v>0</v>
      </c>
      <c r="CC33" s="24">
        <f t="shared" si="104"/>
        <v>0</v>
      </c>
      <c r="CD33" s="24">
        <f t="shared" si="104"/>
        <v>-187880.2</v>
      </c>
      <c r="CE33" s="24">
        <f t="shared" si="104"/>
        <v>-187880.2</v>
      </c>
      <c r="CF33" s="24">
        <f t="shared" si="104"/>
        <v>0</v>
      </c>
      <c r="CG33" s="24">
        <f t="shared" si="104"/>
        <v>0</v>
      </c>
      <c r="CH33" s="24">
        <f t="shared" si="104"/>
        <v>-62196.07619474696</v>
      </c>
      <c r="CI33" s="24">
        <f t="shared" si="104"/>
        <v>-60571.34845611788</v>
      </c>
      <c r="CJ33" s="92">
        <f t="shared" si="104"/>
        <v>0</v>
      </c>
      <c r="CK33" s="92">
        <f t="shared" si="104"/>
        <v>0</v>
      </c>
      <c r="CL33" s="92">
        <f t="shared" si="104"/>
        <v>-0.6791596041445033</v>
      </c>
      <c r="CM33" s="92">
        <f t="shared" si="104"/>
        <v>-0.6791596041445033</v>
      </c>
      <c r="CN33" s="92">
        <f t="shared" si="104"/>
        <v>-0.205720097173037</v>
      </c>
      <c r="CO33" s="92">
        <f t="shared" si="104"/>
        <v>-0.205720097173037</v>
      </c>
      <c r="CP33" s="92">
        <f t="shared" si="104"/>
        <v>0</v>
      </c>
      <c r="CQ33" s="92">
        <f t="shared" si="104"/>
        <v>0</v>
      </c>
      <c r="CR33" s="24">
        <f t="shared" si="104"/>
        <v>-92.79009890627454</v>
      </c>
      <c r="CS33" s="24">
        <f t="shared" si="104"/>
        <v>-21774.75</v>
      </c>
      <c r="CT33" s="24">
        <f t="shared" si="104"/>
        <v>0</v>
      </c>
      <c r="CU33" s="24">
        <f t="shared" si="104"/>
        <v>0</v>
      </c>
      <c r="CV33" s="24">
        <f t="shared" si="104"/>
        <v>-187880.20000000007</v>
      </c>
      <c r="CW33" s="24">
        <f t="shared" si="104"/>
        <v>0</v>
      </c>
      <c r="CX33" s="24">
        <f t="shared" si="104"/>
        <v>-187880.20000000007</v>
      </c>
      <c r="CY33" s="24">
        <f t="shared" si="104"/>
        <v>-187880.20000000007</v>
      </c>
      <c r="CZ33" s="24">
        <f t="shared" si="104"/>
        <v>0</v>
      </c>
      <c r="DA33" s="24">
        <f t="shared" si="104"/>
        <v>0</v>
      </c>
      <c r="DB33" s="24">
        <f t="shared" si="104"/>
        <v>-187880.20000000007</v>
      </c>
      <c r="DC33" s="24">
        <f>MIN(DC3:DC31)</f>
        <v>-187880.20000000007</v>
      </c>
      <c r="DD33" s="24">
        <f t="shared" si="104"/>
        <v>-28000</v>
      </c>
      <c r="DE33" s="24">
        <f t="shared" si="104"/>
        <v>-187880.20000000007</v>
      </c>
      <c r="DF33" s="24">
        <f t="shared" si="104"/>
        <v>0</v>
      </c>
      <c r="DG33" s="24">
        <f t="shared" si="104"/>
        <v>-12.19873949579832</v>
      </c>
      <c r="DH33" s="24">
        <f t="shared" si="104"/>
        <v>-71.7900852878465</v>
      </c>
      <c r="DI33" s="24">
        <f t="shared" si="104"/>
        <v>0</v>
      </c>
      <c r="DJ33" s="24">
        <f t="shared" si="104"/>
        <v>0</v>
      </c>
      <c r="DK33" s="24">
        <f t="shared" si="104"/>
        <v>-325.6155979202774</v>
      </c>
      <c r="DL33" s="24">
        <f t="shared" si="104"/>
        <v>-21774.75</v>
      </c>
      <c r="DM33" s="13">
        <f>MIN(DM3:DM31)</f>
        <v>0</v>
      </c>
      <c r="DN33" s="26">
        <f>MIN(DN3:DN31)</f>
        <v>0</v>
      </c>
    </row>
    <row r="34" spans="1:118" ht="12.75">
      <c r="A34" s="31" t="s">
        <v>48</v>
      </c>
      <c r="B34" s="24">
        <f aca="true" t="shared" si="105" ref="B34:G34">MAX(B3:B31)</f>
        <v>5636</v>
      </c>
      <c r="C34" s="24">
        <f t="shared" si="105"/>
        <v>22193324</v>
      </c>
      <c r="D34" s="25">
        <f t="shared" si="105"/>
        <v>7015.89</v>
      </c>
      <c r="E34" s="25">
        <f t="shared" si="105"/>
        <v>203.47</v>
      </c>
      <c r="F34" s="116">
        <f t="shared" si="105"/>
        <v>6</v>
      </c>
      <c r="G34" s="123">
        <f t="shared" si="105"/>
        <v>229172.27040358743</v>
      </c>
      <c r="H34" s="24">
        <f aca="true" t="shared" si="106" ref="H34:BT34">MAX(H3:H31)</f>
        <v>317583.9</v>
      </c>
      <c r="I34" s="24">
        <f t="shared" si="106"/>
        <v>29395.75</v>
      </c>
      <c r="J34" s="24">
        <f t="shared" si="106"/>
        <v>51713.00787956437</v>
      </c>
      <c r="K34" s="24">
        <f t="shared" si="106"/>
        <v>5400</v>
      </c>
      <c r="L34" s="24">
        <f t="shared" si="106"/>
        <v>22600</v>
      </c>
      <c r="M34" s="24">
        <f t="shared" si="106"/>
        <v>28000</v>
      </c>
      <c r="N34" s="24">
        <f t="shared" si="106"/>
        <v>546878.9</v>
      </c>
      <c r="O34" s="24">
        <f t="shared" si="106"/>
        <v>20414.25272261371</v>
      </c>
      <c r="P34" s="24">
        <f t="shared" si="106"/>
        <v>2375139.159673286</v>
      </c>
      <c r="Q34" s="24">
        <f t="shared" si="106"/>
        <v>0</v>
      </c>
      <c r="R34" s="24">
        <f t="shared" si="106"/>
        <v>0</v>
      </c>
      <c r="S34" s="24">
        <f t="shared" si="106"/>
        <v>0</v>
      </c>
      <c r="T34" s="24">
        <f t="shared" si="106"/>
        <v>0</v>
      </c>
      <c r="U34" s="24">
        <f t="shared" si="106"/>
        <v>0</v>
      </c>
      <c r="V34" s="24">
        <f t="shared" si="106"/>
        <v>0</v>
      </c>
      <c r="W34" s="24">
        <f t="shared" si="106"/>
        <v>0</v>
      </c>
      <c r="X34" s="24">
        <f t="shared" si="106"/>
        <v>8500</v>
      </c>
      <c r="Y34" s="24">
        <f t="shared" si="106"/>
        <v>2718466.9221652783</v>
      </c>
      <c r="Z34" s="24">
        <f t="shared" si="106"/>
        <v>1137670.0163356822</v>
      </c>
      <c r="AA34" s="24">
        <f t="shared" si="106"/>
        <v>196661.95</v>
      </c>
      <c r="AB34" s="24">
        <f t="shared" si="106"/>
        <v>189913.25195387573</v>
      </c>
      <c r="AC34" s="24">
        <f>MAX(AC3:AC31)</f>
        <v>133033.6</v>
      </c>
      <c r="AD34" s="24">
        <f t="shared" si="106"/>
        <v>0</v>
      </c>
      <c r="AE34" s="24">
        <f t="shared" si="106"/>
        <v>1428214.7072069186</v>
      </c>
      <c r="AF34" s="24">
        <f t="shared" si="106"/>
        <v>0</v>
      </c>
      <c r="AG34" s="24">
        <f t="shared" si="106"/>
        <v>62196.07619474696</v>
      </c>
      <c r="AH34" s="24">
        <f t="shared" si="106"/>
        <v>20412</v>
      </c>
      <c r="AI34" s="24">
        <f t="shared" si="106"/>
        <v>1032207.2689622038</v>
      </c>
      <c r="AJ34" s="24">
        <f t="shared" si="106"/>
        <v>1323</v>
      </c>
      <c r="AK34" s="24">
        <f t="shared" si="106"/>
        <v>44833.75</v>
      </c>
      <c r="AL34" s="24">
        <f t="shared" si="106"/>
        <v>0</v>
      </c>
      <c r="AM34" s="24">
        <f t="shared" si="106"/>
        <v>0</v>
      </c>
      <c r="AN34" s="24">
        <f t="shared" si="106"/>
        <v>0</v>
      </c>
      <c r="AO34" s="24">
        <f t="shared" si="106"/>
        <v>0</v>
      </c>
      <c r="AP34" s="24">
        <f t="shared" si="106"/>
        <v>0</v>
      </c>
      <c r="AQ34" s="24">
        <f t="shared" si="106"/>
        <v>0</v>
      </c>
      <c r="AR34" s="24">
        <f t="shared" si="106"/>
        <v>0</v>
      </c>
      <c r="AS34" s="24">
        <f t="shared" si="106"/>
        <v>0</v>
      </c>
      <c r="AT34" s="24">
        <f t="shared" si="106"/>
        <v>8500</v>
      </c>
      <c r="AU34" s="24">
        <f t="shared" si="106"/>
        <v>2553081.697463164</v>
      </c>
      <c r="AV34" s="24">
        <f t="shared" si="106"/>
        <v>171381.3</v>
      </c>
      <c r="AW34" s="24">
        <f t="shared" si="106"/>
        <v>187880.2</v>
      </c>
      <c r="AX34" s="24">
        <f t="shared" si="106"/>
        <v>3.4924596548080444E-10</v>
      </c>
      <c r="AY34" s="24">
        <f t="shared" si="106"/>
        <v>1148.85</v>
      </c>
      <c r="AZ34" s="24">
        <f t="shared" si="106"/>
        <v>0</v>
      </c>
      <c r="BA34" s="24">
        <f t="shared" si="106"/>
        <v>0</v>
      </c>
      <c r="BB34" s="24">
        <f t="shared" si="106"/>
        <v>0</v>
      </c>
      <c r="BC34" s="24">
        <f t="shared" si="106"/>
        <v>0</v>
      </c>
      <c r="BD34" s="24">
        <f t="shared" si="106"/>
        <v>0</v>
      </c>
      <c r="BE34" s="24">
        <f t="shared" si="106"/>
        <v>0</v>
      </c>
      <c r="BF34" s="24">
        <f t="shared" si="106"/>
        <v>0</v>
      </c>
      <c r="BG34" s="24">
        <f t="shared" si="106"/>
        <v>0</v>
      </c>
      <c r="BH34" s="24">
        <f t="shared" si="106"/>
        <v>0</v>
      </c>
      <c r="BI34" s="24">
        <f t="shared" si="106"/>
        <v>0</v>
      </c>
      <c r="BJ34" s="24">
        <f t="shared" si="106"/>
        <v>0</v>
      </c>
      <c r="BK34" s="24">
        <f t="shared" si="106"/>
        <v>0</v>
      </c>
      <c r="BL34" s="24">
        <f t="shared" si="106"/>
        <v>0</v>
      </c>
      <c r="BM34" s="24">
        <f t="shared" si="106"/>
        <v>0</v>
      </c>
      <c r="BN34" s="24">
        <f t="shared" si="106"/>
        <v>0</v>
      </c>
      <c r="BO34" s="24">
        <f t="shared" si="106"/>
        <v>0</v>
      </c>
      <c r="BP34" s="24">
        <f t="shared" si="106"/>
        <v>0</v>
      </c>
      <c r="BQ34" s="24">
        <f t="shared" si="106"/>
        <v>0</v>
      </c>
      <c r="BR34" s="24">
        <f t="shared" si="106"/>
        <v>0</v>
      </c>
      <c r="BS34" s="24">
        <f t="shared" si="106"/>
        <v>0</v>
      </c>
      <c r="BT34" s="24">
        <f t="shared" si="106"/>
        <v>2705750.069839846</v>
      </c>
      <c r="BU34" s="24">
        <f aca="true" t="shared" si="107" ref="BU34:DL34">MAX(BU3:BU31)</f>
        <v>60000</v>
      </c>
      <c r="BV34" s="24">
        <f t="shared" si="107"/>
        <v>0</v>
      </c>
      <c r="BW34" s="24">
        <f t="shared" si="107"/>
        <v>274174.11</v>
      </c>
      <c r="BX34" s="24">
        <f t="shared" si="107"/>
        <v>2713489.189634849</v>
      </c>
      <c r="BY34" s="24">
        <f t="shared" si="107"/>
        <v>896689.4</v>
      </c>
      <c r="BZ34" s="24">
        <f t="shared" si="107"/>
        <v>30000</v>
      </c>
      <c r="CA34" s="24">
        <f t="shared" si="107"/>
        <v>2225000.759173607</v>
      </c>
      <c r="CB34" s="24">
        <f t="shared" si="107"/>
        <v>2713489.18963485</v>
      </c>
      <c r="CC34" s="24">
        <f t="shared" si="107"/>
        <v>0</v>
      </c>
      <c r="CD34" s="24">
        <f t="shared" si="107"/>
        <v>171381.3</v>
      </c>
      <c r="CE34" s="24">
        <f t="shared" si="107"/>
        <v>171381.3</v>
      </c>
      <c r="CF34" s="24">
        <f t="shared" si="107"/>
        <v>0</v>
      </c>
      <c r="CG34" s="24">
        <f t="shared" si="107"/>
        <v>2553081.697463164</v>
      </c>
      <c r="CH34" s="24">
        <f t="shared" si="107"/>
        <v>7708.700000000001</v>
      </c>
      <c r="CI34" s="24">
        <f t="shared" si="107"/>
        <v>7708.700000000001</v>
      </c>
      <c r="CJ34" s="92">
        <f t="shared" si="107"/>
        <v>0</v>
      </c>
      <c r="CK34" s="92">
        <f t="shared" si="107"/>
        <v>0</v>
      </c>
      <c r="CL34" s="92">
        <f t="shared" si="107"/>
        <v>0.30529087479236355</v>
      </c>
      <c r="CM34" s="92">
        <f t="shared" si="107"/>
        <v>0.30529087479236355</v>
      </c>
      <c r="CN34" s="92">
        <f t="shared" si="107"/>
        <v>0.01218350592456594</v>
      </c>
      <c r="CO34" s="92">
        <f t="shared" si="107"/>
        <v>0.012848129503539668</v>
      </c>
      <c r="CP34" s="92">
        <f t="shared" si="107"/>
        <v>0.3181818181818182</v>
      </c>
      <c r="CQ34" s="92">
        <f t="shared" si="107"/>
        <v>0.1735106998264893</v>
      </c>
      <c r="CR34" s="24">
        <f t="shared" si="107"/>
        <v>256.1114361331662</v>
      </c>
      <c r="CS34" s="24">
        <f t="shared" si="107"/>
        <v>2217261.639378603</v>
      </c>
      <c r="CT34" s="24">
        <f t="shared" si="107"/>
        <v>2716842.1944266493</v>
      </c>
      <c r="CU34" s="24">
        <f t="shared" si="107"/>
        <v>2553081.697463164</v>
      </c>
      <c r="CV34" s="24">
        <f t="shared" si="107"/>
        <v>171381.30000000005</v>
      </c>
      <c r="CW34" s="24">
        <f t="shared" si="107"/>
        <v>0</v>
      </c>
      <c r="CX34" s="24">
        <f t="shared" si="107"/>
        <v>171381.30000000005</v>
      </c>
      <c r="CY34" s="24">
        <f t="shared" si="107"/>
        <v>171381.30000000005</v>
      </c>
      <c r="CZ34" s="24">
        <f t="shared" si="107"/>
        <v>0</v>
      </c>
      <c r="DA34" s="24">
        <f t="shared" si="107"/>
        <v>28000</v>
      </c>
      <c r="DB34" s="24">
        <f t="shared" si="107"/>
        <v>171381.30000000005</v>
      </c>
      <c r="DC34" s="24">
        <f>MAX(DC3:DC31)</f>
        <v>171381.30000000005</v>
      </c>
      <c r="DD34" s="24">
        <f t="shared" si="107"/>
        <v>0</v>
      </c>
      <c r="DE34" s="24">
        <f t="shared" si="107"/>
        <v>171381.30000000005</v>
      </c>
      <c r="DF34" s="24">
        <f t="shared" si="107"/>
        <v>1428214.7072069186</v>
      </c>
      <c r="DG34" s="24">
        <f t="shared" si="107"/>
        <v>1391.5791863765373</v>
      </c>
      <c r="DH34" s="24">
        <f t="shared" si="107"/>
        <v>5.841247833622184</v>
      </c>
      <c r="DI34" s="24">
        <f t="shared" si="107"/>
        <v>287.97102473498234</v>
      </c>
      <c r="DJ34" s="24">
        <f t="shared" si="107"/>
        <v>0</v>
      </c>
      <c r="DK34" s="24">
        <f t="shared" si="107"/>
        <v>94.58289897510984</v>
      </c>
      <c r="DL34" s="24">
        <f t="shared" si="107"/>
        <v>2217261.639378604</v>
      </c>
      <c r="DM34" s="13">
        <f>MAX(DM3:DM31)</f>
        <v>0</v>
      </c>
      <c r="DN34" s="26">
        <f>MAX(DN3:DN31)</f>
        <v>0</v>
      </c>
    </row>
    <row r="35" spans="1:118" ht="13.5" thickBot="1">
      <c r="A35" s="32" t="s">
        <v>49</v>
      </c>
      <c r="B35" s="27">
        <f aca="true" t="shared" si="108" ref="B35:G35">MEDIAN(B3:B31)</f>
        <v>608</v>
      </c>
      <c r="C35" s="27">
        <f t="shared" si="108"/>
        <v>1560210</v>
      </c>
      <c r="D35" s="28">
        <f t="shared" si="108"/>
        <v>2655.65</v>
      </c>
      <c r="E35" s="28">
        <f t="shared" si="108"/>
        <v>77.02</v>
      </c>
      <c r="F35" s="117">
        <f t="shared" si="108"/>
        <v>2</v>
      </c>
      <c r="G35" s="124">
        <f t="shared" si="108"/>
        <v>9972.392057569296</v>
      </c>
      <c r="H35" s="27">
        <f aca="true" t="shared" si="109" ref="H35:BT35">MEDIAN(H3:H31)</f>
        <v>5624</v>
      </c>
      <c r="I35" s="27">
        <f t="shared" si="109"/>
        <v>0</v>
      </c>
      <c r="J35" s="27">
        <f t="shared" si="109"/>
        <v>0</v>
      </c>
      <c r="K35" s="27">
        <f t="shared" si="109"/>
        <v>0</v>
      </c>
      <c r="L35" s="27">
        <f t="shared" si="109"/>
        <v>0</v>
      </c>
      <c r="M35" s="27">
        <f t="shared" si="109"/>
        <v>0</v>
      </c>
      <c r="N35" s="27">
        <f t="shared" si="109"/>
        <v>0</v>
      </c>
      <c r="O35" s="27">
        <f t="shared" si="109"/>
        <v>700</v>
      </c>
      <c r="P35" s="27">
        <f t="shared" si="109"/>
        <v>128707.8</v>
      </c>
      <c r="Q35" s="27">
        <f t="shared" si="109"/>
        <v>0</v>
      </c>
      <c r="R35" s="27">
        <f t="shared" si="109"/>
        <v>0</v>
      </c>
      <c r="S35" s="27">
        <f t="shared" si="109"/>
        <v>0</v>
      </c>
      <c r="T35" s="27">
        <f t="shared" si="109"/>
        <v>0</v>
      </c>
      <c r="U35" s="27">
        <f t="shared" si="109"/>
        <v>0</v>
      </c>
      <c r="V35" s="27">
        <f t="shared" si="109"/>
        <v>0</v>
      </c>
      <c r="W35" s="27">
        <f t="shared" si="109"/>
        <v>0</v>
      </c>
      <c r="X35" s="27">
        <f t="shared" si="109"/>
        <v>0</v>
      </c>
      <c r="Y35" s="27">
        <f t="shared" si="109"/>
        <v>169410.24386993604</v>
      </c>
      <c r="Z35" s="27">
        <f t="shared" si="109"/>
        <v>76310.57302771855</v>
      </c>
      <c r="AA35" s="27">
        <f t="shared" si="109"/>
        <v>2739.25</v>
      </c>
      <c r="AB35" s="27">
        <f t="shared" si="109"/>
        <v>0</v>
      </c>
      <c r="AC35" s="27">
        <f>MEDIAN(AC3:AC31)</f>
        <v>15769.95</v>
      </c>
      <c r="AD35" s="27">
        <f t="shared" si="109"/>
        <v>0</v>
      </c>
      <c r="AE35" s="27">
        <f t="shared" si="109"/>
        <v>94301.4</v>
      </c>
      <c r="AF35" s="27">
        <f t="shared" si="109"/>
        <v>0</v>
      </c>
      <c r="AG35" s="27">
        <f t="shared" si="109"/>
        <v>4749.6</v>
      </c>
      <c r="AH35" s="27">
        <f t="shared" si="109"/>
        <v>0</v>
      </c>
      <c r="AI35" s="27">
        <f t="shared" si="109"/>
        <v>46486.05</v>
      </c>
      <c r="AJ35" s="27">
        <f t="shared" si="109"/>
        <v>0</v>
      </c>
      <c r="AK35" s="27">
        <f t="shared" si="109"/>
        <v>0</v>
      </c>
      <c r="AL35" s="27">
        <f t="shared" si="109"/>
        <v>0</v>
      </c>
      <c r="AM35" s="27">
        <f t="shared" si="109"/>
        <v>0</v>
      </c>
      <c r="AN35" s="27">
        <f t="shared" si="109"/>
        <v>0</v>
      </c>
      <c r="AO35" s="27">
        <f t="shared" si="109"/>
        <v>0</v>
      </c>
      <c r="AP35" s="27">
        <f t="shared" si="109"/>
        <v>0</v>
      </c>
      <c r="AQ35" s="27">
        <f t="shared" si="109"/>
        <v>0</v>
      </c>
      <c r="AR35" s="27">
        <f t="shared" si="109"/>
        <v>0</v>
      </c>
      <c r="AS35" s="27">
        <f t="shared" si="109"/>
        <v>0</v>
      </c>
      <c r="AT35" s="27">
        <f t="shared" si="109"/>
        <v>0</v>
      </c>
      <c r="AU35" s="27">
        <f t="shared" si="109"/>
        <v>187990.60000000003</v>
      </c>
      <c r="AV35" s="27">
        <f t="shared" si="109"/>
        <v>0</v>
      </c>
      <c r="AW35" s="27">
        <f t="shared" si="109"/>
        <v>0</v>
      </c>
      <c r="AX35" s="27">
        <f t="shared" si="109"/>
        <v>0</v>
      </c>
      <c r="AY35" s="27">
        <f t="shared" si="109"/>
        <v>0</v>
      </c>
      <c r="AZ35" s="27">
        <f t="shared" si="109"/>
        <v>0</v>
      </c>
      <c r="BA35" s="27">
        <f t="shared" si="109"/>
        <v>0</v>
      </c>
      <c r="BB35" s="27">
        <f t="shared" si="109"/>
        <v>0</v>
      </c>
      <c r="BC35" s="27">
        <f t="shared" si="109"/>
        <v>0</v>
      </c>
      <c r="BD35" s="27">
        <f t="shared" si="109"/>
        <v>0</v>
      </c>
      <c r="BE35" s="27">
        <f t="shared" si="109"/>
        <v>0</v>
      </c>
      <c r="BF35" s="27">
        <f t="shared" si="109"/>
        <v>0</v>
      </c>
      <c r="BG35" s="27">
        <f t="shared" si="109"/>
        <v>0</v>
      </c>
      <c r="BH35" s="27">
        <f t="shared" si="109"/>
        <v>0</v>
      </c>
      <c r="BI35" s="27">
        <f t="shared" si="109"/>
        <v>0</v>
      </c>
      <c r="BJ35" s="27">
        <f t="shared" si="109"/>
        <v>0</v>
      </c>
      <c r="BK35" s="27">
        <f t="shared" si="109"/>
        <v>0</v>
      </c>
      <c r="BL35" s="27">
        <f t="shared" si="109"/>
        <v>0</v>
      </c>
      <c r="BM35" s="27">
        <f t="shared" si="109"/>
        <v>0</v>
      </c>
      <c r="BN35" s="27">
        <f t="shared" si="109"/>
        <v>0</v>
      </c>
      <c r="BO35" s="27">
        <f t="shared" si="109"/>
        <v>0</v>
      </c>
      <c r="BP35" s="27">
        <f t="shared" si="109"/>
        <v>0</v>
      </c>
      <c r="BQ35" s="27">
        <f t="shared" si="109"/>
        <v>0</v>
      </c>
      <c r="BR35" s="27">
        <f t="shared" si="109"/>
        <v>0</v>
      </c>
      <c r="BS35" s="27">
        <f t="shared" si="109"/>
        <v>0</v>
      </c>
      <c r="BT35" s="27">
        <f t="shared" si="109"/>
        <v>275110.45</v>
      </c>
      <c r="BU35" s="27">
        <f aca="true" t="shared" si="110" ref="BU35:DL35">MEDIAN(BU3:BU31)</f>
        <v>0</v>
      </c>
      <c r="BV35" s="27">
        <f t="shared" si="110"/>
        <v>0</v>
      </c>
      <c r="BW35" s="27">
        <f t="shared" si="110"/>
        <v>0</v>
      </c>
      <c r="BX35" s="27">
        <f t="shared" si="110"/>
        <v>292725.59036515054</v>
      </c>
      <c r="BY35" s="27">
        <f t="shared" si="110"/>
        <v>64456.7</v>
      </c>
      <c r="BZ35" s="27">
        <f t="shared" si="110"/>
        <v>0</v>
      </c>
      <c r="CA35" s="27">
        <f t="shared" si="110"/>
        <v>232258.5</v>
      </c>
      <c r="CB35" s="27">
        <f t="shared" si="110"/>
        <v>292725.59036515054</v>
      </c>
      <c r="CC35" s="27">
        <f t="shared" si="110"/>
        <v>0</v>
      </c>
      <c r="CD35" s="27">
        <f t="shared" si="110"/>
        <v>0</v>
      </c>
      <c r="CE35" s="27">
        <f t="shared" si="110"/>
        <v>0</v>
      </c>
      <c r="CF35" s="27">
        <f t="shared" si="110"/>
        <v>0</v>
      </c>
      <c r="CG35" s="27">
        <f t="shared" si="110"/>
        <v>187990.60000000003</v>
      </c>
      <c r="CH35" s="27">
        <f t="shared" si="110"/>
        <v>-1052.7</v>
      </c>
      <c r="CI35" s="27">
        <f t="shared" si="110"/>
        <v>-1052.7</v>
      </c>
      <c r="CJ35" s="93" t="e">
        <f t="shared" si="110"/>
        <v>#NUM!</v>
      </c>
      <c r="CK35" s="93" t="e">
        <f t="shared" si="110"/>
        <v>#NUM!</v>
      </c>
      <c r="CL35" s="93">
        <f t="shared" si="110"/>
        <v>-0.018632375670034826</v>
      </c>
      <c r="CM35" s="93">
        <f t="shared" si="110"/>
        <v>-0.018632375670034826</v>
      </c>
      <c r="CN35" s="93">
        <f t="shared" si="110"/>
        <v>-0.023583286503503005</v>
      </c>
      <c r="CO35" s="93">
        <f t="shared" si="110"/>
        <v>-0.02326509697195698</v>
      </c>
      <c r="CP35" s="93">
        <f t="shared" si="110"/>
        <v>0.08675534991324466</v>
      </c>
      <c r="CQ35" s="93">
        <f t="shared" si="110"/>
        <v>0.03068181818181818</v>
      </c>
      <c r="CR35" s="27">
        <f t="shared" si="110"/>
        <v>-0.4819740588823468</v>
      </c>
      <c r="CS35" s="27">
        <f t="shared" si="110"/>
        <v>199417.17883795308</v>
      </c>
      <c r="CT35" s="27">
        <f t="shared" si="110"/>
        <v>169410.24386993604</v>
      </c>
      <c r="CU35" s="27">
        <f t="shared" si="110"/>
        <v>187990.60000000003</v>
      </c>
      <c r="CV35" s="27">
        <f t="shared" si="110"/>
        <v>0</v>
      </c>
      <c r="CW35" s="27">
        <f t="shared" si="110"/>
        <v>0</v>
      </c>
      <c r="CX35" s="27">
        <f t="shared" si="110"/>
        <v>0</v>
      </c>
      <c r="CY35" s="27">
        <f t="shared" si="110"/>
        <v>0</v>
      </c>
      <c r="CZ35" s="27">
        <f t="shared" si="110"/>
        <v>0</v>
      </c>
      <c r="DA35" s="27">
        <f t="shared" si="110"/>
        <v>0</v>
      </c>
      <c r="DB35" s="27">
        <f t="shared" si="110"/>
        <v>0</v>
      </c>
      <c r="DC35" s="27">
        <f>MEDIAN(DC3:DC31)</f>
        <v>0</v>
      </c>
      <c r="DD35" s="27">
        <f t="shared" si="110"/>
        <v>0</v>
      </c>
      <c r="DE35" s="27">
        <f t="shared" si="110"/>
        <v>0</v>
      </c>
      <c r="DF35" s="27">
        <f t="shared" si="110"/>
        <v>81495.8</v>
      </c>
      <c r="DG35" s="27">
        <f t="shared" si="110"/>
        <v>287.17326943556975</v>
      </c>
      <c r="DH35" s="27">
        <f t="shared" si="110"/>
        <v>-2.4311778290993074</v>
      </c>
      <c r="DI35" s="27">
        <f t="shared" si="110"/>
        <v>159.3953623188406</v>
      </c>
      <c r="DJ35" s="27">
        <f t="shared" si="110"/>
        <v>0</v>
      </c>
      <c r="DK35" s="27">
        <f t="shared" si="110"/>
        <v>0</v>
      </c>
      <c r="DL35" s="27">
        <f t="shared" si="110"/>
        <v>199417.1788379531</v>
      </c>
      <c r="DM35" s="29" t="e">
        <f>MEDIAN(DM3:DM31)</f>
        <v>#NUM!</v>
      </c>
      <c r="DN35" s="30" t="e">
        <f>MEDIAN(DN3:DN31)</f>
        <v>#NUM!</v>
      </c>
    </row>
    <row r="37" spans="1:119" s="9" customFormat="1" ht="12.75">
      <c r="A37" s="3" t="s">
        <v>235</v>
      </c>
      <c r="B37" s="17">
        <f>SUM(B3:B31)</f>
        <v>38305</v>
      </c>
      <c r="C37" s="17">
        <f aca="true" t="shared" si="111" ref="C37:BN37">SUM(C3:C31)</f>
        <v>132077817</v>
      </c>
      <c r="D37" s="17">
        <f>D35</f>
        <v>2655.65</v>
      </c>
      <c r="E37" s="144">
        <f>E35</f>
        <v>77.02</v>
      </c>
      <c r="F37" s="17">
        <f t="shared" si="111"/>
        <v>77</v>
      </c>
      <c r="G37" s="17">
        <f t="shared" si="111"/>
        <v>831926.2999999999</v>
      </c>
      <c r="H37" s="17">
        <f t="shared" si="111"/>
        <v>537743.41</v>
      </c>
      <c r="I37" s="17">
        <f t="shared" si="111"/>
        <v>46335.549999999996</v>
      </c>
      <c r="J37" s="17">
        <f t="shared" si="111"/>
        <v>64373.29999999999</v>
      </c>
      <c r="K37" s="17">
        <f t="shared" si="111"/>
        <v>7200</v>
      </c>
      <c r="L37" s="17">
        <f t="shared" si="111"/>
        <v>22600</v>
      </c>
      <c r="M37" s="17">
        <f t="shared" si="111"/>
        <v>29800</v>
      </c>
      <c r="N37" s="17">
        <f t="shared" si="111"/>
        <v>546878.9</v>
      </c>
      <c r="O37" s="17">
        <f t="shared" si="111"/>
        <v>122081.80000000002</v>
      </c>
      <c r="P37" s="17">
        <f t="shared" si="111"/>
        <v>10834965.6</v>
      </c>
      <c r="Q37" s="17">
        <f t="shared" si="111"/>
        <v>0</v>
      </c>
      <c r="R37" s="17">
        <f t="shared" si="111"/>
        <v>0</v>
      </c>
      <c r="S37" s="17">
        <f t="shared" si="111"/>
        <v>0</v>
      </c>
      <c r="T37" s="17">
        <f t="shared" si="111"/>
        <v>0</v>
      </c>
      <c r="U37" s="17">
        <f t="shared" si="111"/>
        <v>0</v>
      </c>
      <c r="V37" s="17">
        <f t="shared" si="111"/>
        <v>0</v>
      </c>
      <c r="W37" s="17">
        <f t="shared" si="111"/>
        <v>0</v>
      </c>
      <c r="X37" s="17">
        <f t="shared" si="111"/>
        <v>8500</v>
      </c>
      <c r="Y37" s="17">
        <f t="shared" si="111"/>
        <v>13022604.860000001</v>
      </c>
      <c r="Z37" s="17">
        <f t="shared" si="111"/>
        <v>5737213.100000001</v>
      </c>
      <c r="AA37" s="17">
        <f t="shared" si="111"/>
        <v>768256.5499999999</v>
      </c>
      <c r="AB37" s="17">
        <f t="shared" si="111"/>
        <v>210400.7</v>
      </c>
      <c r="AC37" s="17">
        <f t="shared" si="111"/>
        <v>963199.7999999999</v>
      </c>
      <c r="AD37" s="17">
        <f t="shared" si="111"/>
        <v>0</v>
      </c>
      <c r="AE37" s="17">
        <f t="shared" si="111"/>
        <v>7679070.150000001</v>
      </c>
      <c r="AF37" s="17">
        <f t="shared" si="111"/>
        <v>0</v>
      </c>
      <c r="AG37" s="17">
        <f t="shared" si="111"/>
        <v>344865.16</v>
      </c>
      <c r="AH37" s="17">
        <f t="shared" si="111"/>
        <v>20412</v>
      </c>
      <c r="AI37" s="17">
        <f t="shared" si="111"/>
        <v>4728635.919999998</v>
      </c>
      <c r="AJ37" s="17">
        <f t="shared" si="111"/>
        <v>3551.85</v>
      </c>
      <c r="AK37" s="17">
        <f t="shared" si="111"/>
        <v>143853.75</v>
      </c>
      <c r="AL37" s="17">
        <f t="shared" si="111"/>
        <v>0</v>
      </c>
      <c r="AM37" s="17">
        <f t="shared" si="111"/>
        <v>0</v>
      </c>
      <c r="AN37" s="17">
        <f t="shared" si="111"/>
        <v>0</v>
      </c>
      <c r="AO37" s="17">
        <f t="shared" si="111"/>
        <v>0</v>
      </c>
      <c r="AP37" s="17">
        <f t="shared" si="111"/>
        <v>0</v>
      </c>
      <c r="AQ37" s="17">
        <f t="shared" si="111"/>
        <v>0</v>
      </c>
      <c r="AR37" s="17">
        <f t="shared" si="111"/>
        <v>0</v>
      </c>
      <c r="AS37" s="17">
        <f t="shared" si="111"/>
        <v>0</v>
      </c>
      <c r="AT37" s="17">
        <f t="shared" si="111"/>
        <v>8650</v>
      </c>
      <c r="AU37" s="17">
        <f t="shared" si="111"/>
        <v>12908626.829999998</v>
      </c>
      <c r="AV37" s="17">
        <f t="shared" si="111"/>
        <v>587232.19</v>
      </c>
      <c r="AW37" s="17">
        <f t="shared" si="111"/>
        <v>701210.22</v>
      </c>
      <c r="AX37" s="4">
        <f>Y37-AU37+AV37-AW37</f>
        <v>3.026798367500305E-09</v>
      </c>
      <c r="AY37" s="17">
        <f t="shared" si="111"/>
        <v>1148.85</v>
      </c>
      <c r="AZ37" s="17">
        <f t="shared" si="111"/>
        <v>0</v>
      </c>
      <c r="BA37" s="17">
        <f t="shared" si="111"/>
        <v>0</v>
      </c>
      <c r="BB37" s="17">
        <f t="shared" si="111"/>
        <v>0</v>
      </c>
      <c r="BC37" s="17">
        <f t="shared" si="111"/>
        <v>0</v>
      </c>
      <c r="BD37" s="17">
        <f t="shared" si="111"/>
        <v>0</v>
      </c>
      <c r="BE37" s="17">
        <f t="shared" si="111"/>
        <v>0</v>
      </c>
      <c r="BF37" s="17">
        <f t="shared" si="111"/>
        <v>0</v>
      </c>
      <c r="BG37" s="17">
        <f t="shared" si="111"/>
        <v>0</v>
      </c>
      <c r="BH37" s="17">
        <f t="shared" si="111"/>
        <v>0</v>
      </c>
      <c r="BI37" s="17">
        <f t="shared" si="111"/>
        <v>0</v>
      </c>
      <c r="BJ37" s="17">
        <f t="shared" si="111"/>
        <v>0</v>
      </c>
      <c r="BK37" s="17">
        <f t="shared" si="111"/>
        <v>0</v>
      </c>
      <c r="BL37" s="17">
        <f t="shared" si="111"/>
        <v>0</v>
      </c>
      <c r="BM37" s="17">
        <f t="shared" si="111"/>
        <v>0</v>
      </c>
      <c r="BN37" s="17">
        <f t="shared" si="111"/>
        <v>0</v>
      </c>
      <c r="BO37" s="17">
        <f>SUM(BO3:BO31)</f>
        <v>0</v>
      </c>
      <c r="BP37" s="17">
        <f>SUM(BP3:BP31)</f>
        <v>0</v>
      </c>
      <c r="BQ37" s="17">
        <f>SUM(BQ3:BQ31)</f>
        <v>0</v>
      </c>
      <c r="BR37" s="17">
        <f>SUM(BR3:BR31)</f>
        <v>0</v>
      </c>
      <c r="BS37" s="43">
        <f>+BF37-BO37+BP37+BQ37-BR37</f>
        <v>0</v>
      </c>
      <c r="BT37" s="17">
        <f aca="true" t="shared" si="112" ref="BT37:CB37">SUM(BT3:BT31)</f>
        <v>15628243.28</v>
      </c>
      <c r="BU37" s="17">
        <f t="shared" si="112"/>
        <v>73576</v>
      </c>
      <c r="BV37" s="17">
        <f t="shared" si="112"/>
        <v>0</v>
      </c>
      <c r="BW37" s="17">
        <f t="shared" si="112"/>
        <v>274174.11</v>
      </c>
      <c r="BX37" s="17">
        <f t="shared" si="112"/>
        <v>15975993.39</v>
      </c>
      <c r="BY37" s="17">
        <f t="shared" si="112"/>
        <v>4145250.880000001</v>
      </c>
      <c r="BZ37" s="17">
        <f t="shared" si="112"/>
        <v>30000</v>
      </c>
      <c r="CA37" s="17">
        <f t="shared" si="112"/>
        <v>11800742.510000004</v>
      </c>
      <c r="CB37" s="17">
        <f t="shared" si="112"/>
        <v>15975993.39</v>
      </c>
      <c r="CC37" s="4">
        <f>BX37-CB37</f>
        <v>0</v>
      </c>
      <c r="CD37" s="74">
        <f>K37+L37+AV37-AW37</f>
        <v>-84178.03000000003</v>
      </c>
      <c r="CE37" s="76">
        <f>CD37+W37-AS37</f>
        <v>-84178.03000000003</v>
      </c>
      <c r="CF37" s="76">
        <f>BR37-BP37</f>
        <v>0</v>
      </c>
      <c r="CG37" s="76">
        <f>AU37-AM37-AT37-AS37</f>
        <v>12899976.829999998</v>
      </c>
      <c r="CH37" s="76">
        <f>I37-AG37+AY37+AH37+BQ37</f>
        <v>-276968.76</v>
      </c>
      <c r="CI37" s="37">
        <f>CH37+K37</f>
        <v>-269768.76</v>
      </c>
      <c r="CJ37" s="59" t="e">
        <f>CD37/CF37</f>
        <v>#DIV/0!</v>
      </c>
      <c r="CK37" s="140" t="e">
        <f>CE37/CF37</f>
        <v>#DIV/0!</v>
      </c>
      <c r="CL37" s="64">
        <f>CD37/CG37*1</f>
        <v>-0.006525440402670866</v>
      </c>
      <c r="CM37" s="64">
        <f>CE37/CG37</f>
        <v>-0.006525440402670866</v>
      </c>
      <c r="CN37" s="64">
        <f>CH37/CG37</f>
        <v>-0.02147048507528211</v>
      </c>
      <c r="CO37" s="64">
        <f>CI37/CG37</f>
        <v>-0.02091234453790876</v>
      </c>
      <c r="CP37" s="64">
        <f>(K37+L37)/(BU37+K37+L37)</f>
        <v>0.2882680699582108</v>
      </c>
      <c r="CQ37" s="64">
        <f>(K37)/(BU37+K37+L37)</f>
        <v>0.06964866119795697</v>
      </c>
      <c r="CR37" s="75">
        <f>CS37/CE37</f>
        <v>-136.4131757419364</v>
      </c>
      <c r="CS37" s="76">
        <f>BT37-BY37</f>
        <v>11482992.399999999</v>
      </c>
      <c r="CT37" s="80">
        <f>Y37-K37-L37-V37</f>
        <v>12992804.860000001</v>
      </c>
      <c r="CU37" s="80">
        <f>AU37-AR37</f>
        <v>12908626.829999998</v>
      </c>
      <c r="CV37" s="80">
        <f>CU37-CT37</f>
        <v>-84178.03000000305</v>
      </c>
      <c r="CW37" s="80">
        <f>-V37+AR37</f>
        <v>0</v>
      </c>
      <c r="CX37" s="80">
        <f>CV37+CW37</f>
        <v>-84178.03000000305</v>
      </c>
      <c r="CY37" s="80">
        <f>CX37-K37-L37</f>
        <v>-113978.03000000305</v>
      </c>
      <c r="CZ37" s="80">
        <f>BR37-BP37</f>
        <v>0</v>
      </c>
      <c r="DA37" s="80">
        <f>K37+L37</f>
        <v>29800</v>
      </c>
      <c r="DB37" s="80">
        <f>-CZ37+DA37+CY37</f>
        <v>-84178.03000000305</v>
      </c>
      <c r="DC37" s="80">
        <f aca="true" t="shared" si="113" ref="DC37:DC42">-CZ37+DA37+CY37+W37-AS37</f>
        <v>-84178.03000000305</v>
      </c>
      <c r="DD37" s="80">
        <f>-BP37-DA37</f>
        <v>-29800</v>
      </c>
      <c r="DE37" s="80">
        <f>DB37+DD37+BR37</f>
        <v>-113978.03000000305</v>
      </c>
      <c r="DF37" s="80">
        <f>Z37+AA37+AB37</f>
        <v>6715870.350000001</v>
      </c>
      <c r="DG37" s="80">
        <f>CS37/B37</f>
        <v>299.77789844667797</v>
      </c>
      <c r="DH37" s="80">
        <f>CH37/B37</f>
        <v>-7.230616368620285</v>
      </c>
      <c r="DI37" s="80">
        <f>DF37/B37</f>
        <v>175.3262067615194</v>
      </c>
      <c r="DJ37" s="81">
        <f>CZ37/B37</f>
        <v>0</v>
      </c>
      <c r="DK37" s="76">
        <f>DB37/B37</f>
        <v>-2.197572901710039</v>
      </c>
      <c r="DL37" s="145">
        <f>CA37-BW37-BU37</f>
        <v>11452992.400000004</v>
      </c>
      <c r="DM37" s="67"/>
      <c r="DN37" s="67"/>
      <c r="DO37" s="68"/>
    </row>
    <row r="38" ht="12.75">
      <c r="DC38" s="80">
        <f t="shared" si="113"/>
        <v>0</v>
      </c>
    </row>
    <row r="39" ht="12.75">
      <c r="DC39" s="80">
        <f t="shared" si="113"/>
        <v>0</v>
      </c>
    </row>
    <row r="40" spans="1:118" ht="12.75">
      <c r="A40" s="3" t="s">
        <v>215</v>
      </c>
      <c r="B40" s="136">
        <f>B11+B27</f>
        <v>6244</v>
      </c>
      <c r="G40" s="131">
        <v>253894.9</v>
      </c>
      <c r="H40" s="43">
        <v>44762.15</v>
      </c>
      <c r="I40" s="43">
        <v>0</v>
      </c>
      <c r="J40" s="43">
        <v>57291.7</v>
      </c>
      <c r="K40" s="43">
        <v>1800</v>
      </c>
      <c r="L40" s="43">
        <v>0</v>
      </c>
      <c r="M40" s="43">
        <f>SUM(K40:L40)</f>
        <v>1800</v>
      </c>
      <c r="N40" s="43">
        <v>0</v>
      </c>
      <c r="O40" s="43">
        <v>22616.5</v>
      </c>
      <c r="P40" s="43">
        <v>2631364.25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f>SUM(R40:V40)</f>
        <v>0</v>
      </c>
      <c r="X40" s="43">
        <v>0</v>
      </c>
      <c r="Y40" s="43">
        <f>SUM(G40:X40)-M40-W40</f>
        <v>3011729.5</v>
      </c>
      <c r="Z40" s="43">
        <v>1260399.5</v>
      </c>
      <c r="AA40" s="43">
        <v>111487.35</v>
      </c>
      <c r="AB40" s="43">
        <v>210400.7</v>
      </c>
      <c r="AC40" s="43">
        <v>0</v>
      </c>
      <c r="AD40" s="43">
        <v>0</v>
      </c>
      <c r="AE40" s="43">
        <f>SUM(Z40:AD40)</f>
        <v>1582287.55</v>
      </c>
      <c r="AF40" s="43">
        <v>0</v>
      </c>
      <c r="AG40" s="43">
        <v>68905.66</v>
      </c>
      <c r="AH40" s="43">
        <v>0</v>
      </c>
      <c r="AI40" s="43">
        <v>1143559.65</v>
      </c>
      <c r="AJ40" s="43">
        <v>0</v>
      </c>
      <c r="AK40" s="43">
        <v>33750</v>
      </c>
      <c r="AL40" s="43">
        <v>0</v>
      </c>
      <c r="AM40" s="43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0</v>
      </c>
      <c r="AU40" s="4">
        <f>SUM(Z40:AT40)-AE40-AH40-AS40</f>
        <v>2828502.8600000003</v>
      </c>
      <c r="AV40" s="4">
        <v>0</v>
      </c>
      <c r="AW40" s="4">
        <v>183226.64</v>
      </c>
      <c r="AX40" s="4">
        <f>Y40-AU40+AV40-AW40</f>
        <v>-3.4924596548080444E-10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f>SUM(AZ40:BE40)</f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f>SUM(BG40:BN40)</f>
        <v>0</v>
      </c>
      <c r="BP40" s="43">
        <v>0</v>
      </c>
      <c r="BQ40" s="43">
        <v>0</v>
      </c>
      <c r="BR40" s="43">
        <v>0</v>
      </c>
      <c r="BS40" s="43">
        <f>+BF40-BO40+BP40+BQ40-BR40</f>
        <v>0</v>
      </c>
      <c r="BT40" s="4">
        <v>2997640.78</v>
      </c>
      <c r="BU40" s="4">
        <v>8574</v>
      </c>
      <c r="BV40" s="4">
        <v>0</v>
      </c>
      <c r="BW40" s="4">
        <v>0</v>
      </c>
      <c r="BX40" s="4">
        <f>SUM(BT40:BW40)</f>
        <v>3006214.78</v>
      </c>
      <c r="BY40" s="4">
        <v>541185.55</v>
      </c>
      <c r="BZ40" s="4">
        <v>0</v>
      </c>
      <c r="CA40" s="4">
        <v>2465029.23</v>
      </c>
      <c r="CB40" s="4">
        <f>SUM(BY40:CA40)</f>
        <v>3006214.7800000003</v>
      </c>
      <c r="CC40" s="4">
        <f>BX40-CB40</f>
        <v>0</v>
      </c>
      <c r="CD40" s="74">
        <f>K40+L40+AV40-AW40</f>
        <v>-181426.64</v>
      </c>
      <c r="CE40" s="76">
        <f>CD40+W40-AS40</f>
        <v>-181426.64</v>
      </c>
      <c r="CF40" s="76">
        <f>BR40-BP40</f>
        <v>0</v>
      </c>
      <c r="CG40" s="76">
        <f>AU40-AM40-AT40-AS40</f>
        <v>2828502.8600000003</v>
      </c>
      <c r="CH40" s="76">
        <f>I40-AG40+AY40+AH40+BQ40</f>
        <v>-68905.66</v>
      </c>
      <c r="CI40" s="37">
        <f>CH40+K40</f>
        <v>-67105.66</v>
      </c>
      <c r="CJ40" s="59" t="str">
        <f>IF(CF40=0,"-",(CD40/CF40))</f>
        <v>-</v>
      </c>
      <c r="CK40" s="59" t="str">
        <f>IF(CF40=0,"-",(CE40/CF40))</f>
        <v>-</v>
      </c>
      <c r="CL40" s="141">
        <f>IF(CG40=0,"-",(CD40/CG40*1))</f>
        <v>-0.06414228621285538</v>
      </c>
      <c r="CM40" s="141">
        <f>IF(CE40=0,"-",(CE40/CG40))</f>
        <v>-0.06414228621285538</v>
      </c>
      <c r="CN40" s="141">
        <f>IF(CG40=0,"-",(CH40/CG40))</f>
        <v>-0.024361177418077633</v>
      </c>
      <c r="CO40" s="141">
        <f>IF(CG40=0,"-",(CI40/CG40))</f>
        <v>-0.023724798354985574</v>
      </c>
      <c r="CP40" s="141">
        <f>IF(BU40+K40+L40=0,"-",((K40+L40)/(BU40+K40+L40)))</f>
        <v>0.1735106998264893</v>
      </c>
      <c r="CQ40" s="141">
        <f>IF(BU40+K40+L40=0,"-",((K40)/(BU40+K40+L40)))</f>
        <v>0.1735106998264893</v>
      </c>
      <c r="CR40" s="142">
        <f>IF(CE40=0,"-",(CS40/CE40))</f>
        <v>-13.539661154502996</v>
      </c>
      <c r="CS40" s="76">
        <f>BT40-BY40</f>
        <v>2456455.2299999995</v>
      </c>
      <c r="CT40" s="80">
        <f>Y40-K40-L40-V40</f>
        <v>3009929.5</v>
      </c>
      <c r="CU40" s="80">
        <f>AU40-AR40</f>
        <v>2828502.8600000003</v>
      </c>
      <c r="CV40" s="80">
        <f>CU40-CT40</f>
        <v>-181426.63999999966</v>
      </c>
      <c r="CW40" s="80">
        <f>-V40+AR40</f>
        <v>0</v>
      </c>
      <c r="CX40" s="80">
        <f>CV40+CW40</f>
        <v>-181426.63999999966</v>
      </c>
      <c r="CY40" s="80">
        <f>CX40-K40-L40</f>
        <v>-183226.63999999966</v>
      </c>
      <c r="CZ40" s="80">
        <f>BR40-BP40</f>
        <v>0</v>
      </c>
      <c r="DA40" s="80">
        <f>K40+L40</f>
        <v>1800</v>
      </c>
      <c r="DB40" s="80">
        <f>-CZ40+DA40+CY40</f>
        <v>-181426.63999999966</v>
      </c>
      <c r="DC40" s="80">
        <f t="shared" si="113"/>
        <v>-181426.63999999966</v>
      </c>
      <c r="DD40" s="80">
        <f>-BP40-DA40</f>
        <v>-1800</v>
      </c>
      <c r="DE40" s="80">
        <f>DB40+DD40+BR40</f>
        <v>-183226.63999999966</v>
      </c>
      <c r="DF40" s="80">
        <f>Z40+AA40+AB40</f>
        <v>1582287.55</v>
      </c>
      <c r="DG40" s="80">
        <f>CS40/B40</f>
        <v>393.41051089045476</v>
      </c>
      <c r="DH40" s="80">
        <f>CH40/B40</f>
        <v>-11.035499679692505</v>
      </c>
      <c r="DI40" s="80">
        <f>DF40/B40</f>
        <v>253.4092809096733</v>
      </c>
      <c r="DJ40" s="81">
        <f>CZ40/B40</f>
        <v>0</v>
      </c>
      <c r="DK40" s="76">
        <f>DB40/B40</f>
        <v>-29.056156310057602</v>
      </c>
      <c r="DL40" s="145">
        <f>CA40-BW40-BU40</f>
        <v>2456455.23</v>
      </c>
      <c r="DM40" s="64"/>
      <c r="DN40" s="65"/>
    </row>
    <row r="41" spans="1:118" ht="12.75">
      <c r="A41" s="3" t="s">
        <v>216</v>
      </c>
      <c r="B41" s="136">
        <f>B12+B14+B23</f>
        <v>1087</v>
      </c>
      <c r="G41" s="131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f>SUM(K41:L41)</f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f>SUM(R41:V41)</f>
        <v>0</v>
      </c>
      <c r="X41" s="43">
        <v>0</v>
      </c>
      <c r="Y41" s="43">
        <f>SUM(G41:X41)-M41-W41</f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f>SUM(Z41:AD41)</f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0</v>
      </c>
      <c r="AV41" s="4">
        <v>0</v>
      </c>
      <c r="AW41" s="4">
        <v>0</v>
      </c>
      <c r="AX41" s="4">
        <f>Y41-AU41+AV41-AW41</f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f>SUM(AZ41:BE41)</f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f>SUM(BG41:BN41)</f>
        <v>0</v>
      </c>
      <c r="BP41" s="43">
        <v>0</v>
      </c>
      <c r="BQ41" s="43">
        <v>0</v>
      </c>
      <c r="BR41" s="43">
        <v>0</v>
      </c>
      <c r="BS41" s="43">
        <f>+BF41-BO41+BP41+BQ41-BR41</f>
        <v>0</v>
      </c>
      <c r="BT41" s="4">
        <v>0</v>
      </c>
      <c r="BU41" s="4">
        <v>0</v>
      </c>
      <c r="BV41" s="4">
        <v>0</v>
      </c>
      <c r="BW41" s="4">
        <v>0</v>
      </c>
      <c r="BX41" s="4">
        <f>SUM(BT41:BW41)</f>
        <v>0</v>
      </c>
      <c r="BY41" s="4">
        <v>0</v>
      </c>
      <c r="BZ41" s="4">
        <v>0</v>
      </c>
      <c r="CA41" s="4">
        <v>0</v>
      </c>
      <c r="CB41" s="4">
        <f>SUM(BY41:CA41)</f>
        <v>0</v>
      </c>
      <c r="CC41" s="4">
        <f>BX41-CB41</f>
        <v>0</v>
      </c>
      <c r="CD41" s="74">
        <f>K41+L41+AV41-AW41</f>
        <v>0</v>
      </c>
      <c r="CE41" s="76">
        <f>CD41+W41-AS41</f>
        <v>0</v>
      </c>
      <c r="CF41" s="76">
        <f>BR41-BP41</f>
        <v>0</v>
      </c>
      <c r="CG41" s="76">
        <f>AU41-AM41-AT41-AS41</f>
        <v>0</v>
      </c>
      <c r="CH41" s="76">
        <f>I41-AG41+AY41+AH41+BQ41</f>
        <v>0</v>
      </c>
      <c r="CI41" s="37">
        <f>CH41+K41</f>
        <v>0</v>
      </c>
      <c r="CJ41" s="59" t="str">
        <f>IF(CF41=0,"-",(CD41/CF41))</f>
        <v>-</v>
      </c>
      <c r="CK41" s="59" t="str">
        <f>IF(CF41=0,"-",(CE41/CF41))</f>
        <v>-</v>
      </c>
      <c r="CL41" s="141" t="str">
        <f>IF(CG41=0,"-",(CD41/CG41*1))</f>
        <v>-</v>
      </c>
      <c r="CM41" s="141" t="str">
        <f>IF(CE41=0,"-",(CE41/CG41))</f>
        <v>-</v>
      </c>
      <c r="CN41" s="141" t="str">
        <f>IF(CG41=0,"-",(CH41/CG41))</f>
        <v>-</v>
      </c>
      <c r="CO41" s="141" t="str">
        <f>IF(CG41=0,"-",(CI41/CG41))</f>
        <v>-</v>
      </c>
      <c r="CP41" s="141" t="str">
        <f>IF(BU41+K41+L41=0,"-",((K41+L41)/(BU41+K41+L41)))</f>
        <v>-</v>
      </c>
      <c r="CQ41" s="141" t="str">
        <f>IF(BU41+K41+L41=0,"-",((K41)/(BU41+K41+L41)))</f>
        <v>-</v>
      </c>
      <c r="CR41" s="142" t="str">
        <f>IF(CE41=0,"-",(CS41/CE41))</f>
        <v>-</v>
      </c>
      <c r="CS41" s="76">
        <f>BT41-BY41</f>
        <v>0</v>
      </c>
      <c r="CT41" s="80">
        <f>Y41-K41-L41-V41</f>
        <v>0</v>
      </c>
      <c r="CU41" s="80">
        <f>AU41-AR41</f>
        <v>0</v>
      </c>
      <c r="CV41" s="80">
        <f>CU41-CT41</f>
        <v>0</v>
      </c>
      <c r="CW41" s="80">
        <f>-V41+AR41</f>
        <v>0</v>
      </c>
      <c r="CX41" s="80">
        <f>CV41+CW41</f>
        <v>0</v>
      </c>
      <c r="CY41" s="80">
        <f>CX41-K41-L41</f>
        <v>0</v>
      </c>
      <c r="CZ41" s="80">
        <f>BR41-BP41</f>
        <v>0</v>
      </c>
      <c r="DA41" s="80">
        <f>K41+L41</f>
        <v>0</v>
      </c>
      <c r="DB41" s="80">
        <f>-CZ41+DA41+CY41</f>
        <v>0</v>
      </c>
      <c r="DC41" s="80">
        <f t="shared" si="113"/>
        <v>0</v>
      </c>
      <c r="DD41" s="80">
        <f>-BP41-DA41</f>
        <v>0</v>
      </c>
      <c r="DE41" s="80">
        <f>DB41+DD41+BR41</f>
        <v>0</v>
      </c>
      <c r="DF41" s="80">
        <f>Z41+AA41+AB41</f>
        <v>0</v>
      </c>
      <c r="DG41" s="80">
        <f>CS41/B41</f>
        <v>0</v>
      </c>
      <c r="DH41" s="80">
        <f>CH41/B41</f>
        <v>0</v>
      </c>
      <c r="DI41" s="80">
        <f>DF41/B41</f>
        <v>0</v>
      </c>
      <c r="DJ41" s="81">
        <f>CZ41/B41</f>
        <v>0</v>
      </c>
      <c r="DK41" s="76">
        <f>DB41/B41</f>
        <v>0</v>
      </c>
      <c r="DL41" s="145">
        <f>CA41-BW41-BU41</f>
        <v>0</v>
      </c>
      <c r="DM41" s="64"/>
      <c r="DN41" s="65"/>
    </row>
    <row r="42" spans="1:118" ht="12.75">
      <c r="A42" s="3" t="s">
        <v>217</v>
      </c>
      <c r="B42" s="136">
        <f>B5+B28</f>
        <v>938</v>
      </c>
      <c r="G42" s="131">
        <v>19692.85</v>
      </c>
      <c r="H42" s="43">
        <v>12161.1</v>
      </c>
      <c r="I42" s="43">
        <v>0</v>
      </c>
      <c r="J42" s="43">
        <v>0</v>
      </c>
      <c r="K42" s="43">
        <v>0</v>
      </c>
      <c r="L42" s="43">
        <v>0</v>
      </c>
      <c r="M42" s="43">
        <f>SUM(K42:L42)</f>
        <v>0</v>
      </c>
      <c r="N42" s="43">
        <v>0</v>
      </c>
      <c r="O42" s="43">
        <v>0</v>
      </c>
      <c r="P42" s="43">
        <v>302686.7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f>SUM(R42:V42)</f>
        <v>0</v>
      </c>
      <c r="X42" s="43">
        <v>0</v>
      </c>
      <c r="Y42" s="43">
        <f>SUM(G42:X42)-M42-W42</f>
        <v>334540.65</v>
      </c>
      <c r="Z42" s="43">
        <v>150693.3</v>
      </c>
      <c r="AA42" s="43">
        <v>0</v>
      </c>
      <c r="AB42" s="43">
        <v>0</v>
      </c>
      <c r="AC42" s="43">
        <v>31607.25</v>
      </c>
      <c r="AD42" s="43">
        <v>0</v>
      </c>
      <c r="AE42" s="43">
        <f>SUM(Z42:AD42)</f>
        <v>182300.55</v>
      </c>
      <c r="AF42" s="43">
        <v>0</v>
      </c>
      <c r="AG42" s="43">
        <v>67339.1</v>
      </c>
      <c r="AH42" s="43">
        <v>0</v>
      </c>
      <c r="AI42" s="43">
        <v>71221.95</v>
      </c>
      <c r="AJ42" s="43">
        <v>0</v>
      </c>
      <c r="AK42" s="43">
        <v>6472</v>
      </c>
      <c r="AL42" s="43">
        <v>0</v>
      </c>
      <c r="AM42" s="43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0</v>
      </c>
      <c r="AU42" s="4">
        <f>SUM(Z42:AT42)-AE42-AH42-AS42</f>
        <v>327333.6</v>
      </c>
      <c r="AV42" s="4">
        <v>0</v>
      </c>
      <c r="AW42" s="4">
        <v>7207.05</v>
      </c>
      <c r="AX42" s="4">
        <f>Y42-AU42+AV42-AW42</f>
        <v>4.638422979041934E-11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f>SUM(AZ42:BE42)</f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f>SUM(BG42:BN42)</f>
        <v>0</v>
      </c>
      <c r="BP42" s="43">
        <v>0</v>
      </c>
      <c r="BQ42" s="43">
        <v>0</v>
      </c>
      <c r="BR42" s="43">
        <v>0</v>
      </c>
      <c r="BS42" s="43">
        <f>+BF42-BO42+BP42+BQ42-BR42</f>
        <v>0</v>
      </c>
      <c r="BT42" s="4">
        <v>493631.5</v>
      </c>
      <c r="BU42" s="4">
        <v>0</v>
      </c>
      <c r="BV42" s="4">
        <v>0</v>
      </c>
      <c r="BW42" s="4">
        <v>0</v>
      </c>
      <c r="BX42" s="4">
        <f>SUM(BT42:BW42)</f>
        <v>493631.5</v>
      </c>
      <c r="BY42" s="4">
        <v>99835.05</v>
      </c>
      <c r="BZ42" s="4">
        <v>0</v>
      </c>
      <c r="CA42" s="4">
        <v>393796.45</v>
      </c>
      <c r="CB42" s="4">
        <f>SUM(BY42:CA42)</f>
        <v>493631.5</v>
      </c>
      <c r="CC42" s="4">
        <f>BX42-CB42</f>
        <v>0</v>
      </c>
      <c r="CD42" s="74">
        <f>K42+L42+AV42-AW42</f>
        <v>-7207.05</v>
      </c>
      <c r="CE42" s="76">
        <f>CD42+W42-AS42</f>
        <v>-7207.05</v>
      </c>
      <c r="CF42" s="76">
        <f>BR42-BP42</f>
        <v>0</v>
      </c>
      <c r="CG42" s="76">
        <f>AU42-AM42-AT42-AS42</f>
        <v>327333.6</v>
      </c>
      <c r="CH42" s="76">
        <f>I42-AG42+AY42+AH42+BQ42</f>
        <v>-67339.1</v>
      </c>
      <c r="CI42" s="37">
        <f>CH42+K42</f>
        <v>-67339.1</v>
      </c>
      <c r="CJ42" s="59" t="str">
        <f>IF(CF42=0,"-",(CD42/CF42))</f>
        <v>-</v>
      </c>
      <c r="CK42" s="59" t="str">
        <f>IF(CF42=0,"-",(CE42/CF42))</f>
        <v>-</v>
      </c>
      <c r="CL42" s="141">
        <f>IF(CG42=0,"-",(CD42/CG42*1))</f>
        <v>-0.022017446421632246</v>
      </c>
      <c r="CM42" s="141">
        <f>IF(CE42=0,"-",(CE42/CG42))</f>
        <v>-0.022017446421632246</v>
      </c>
      <c r="CN42" s="141">
        <f>IF(CG42=0,"-",(CH42/CG42))</f>
        <v>-0.20572009717303696</v>
      </c>
      <c r="CO42" s="141">
        <f>IF(CG42=0,"-",(CI42/CG42))</f>
        <v>-0.20572009717303696</v>
      </c>
      <c r="CP42" s="141" t="str">
        <f>IF(BU42+K42+L42=0,"-",((K42+L42)/(BU42+K42+L42)))</f>
        <v>-</v>
      </c>
      <c r="CQ42" s="141" t="str">
        <f>IF(BU42+K42+L42=0,"-",((K42)/(BU42+K42+L42)))</f>
        <v>-</v>
      </c>
      <c r="CR42" s="142">
        <f>IF(CE42=0,"-",(CS42/CE42))</f>
        <v>-54.64044928229997</v>
      </c>
      <c r="CS42" s="76">
        <f>BT42-BY42</f>
        <v>393796.45</v>
      </c>
      <c r="CT42" s="80">
        <f>Y42-K42-L42-V42</f>
        <v>334540.65</v>
      </c>
      <c r="CU42" s="80">
        <f>AU42-AR42</f>
        <v>327333.6</v>
      </c>
      <c r="CV42" s="80">
        <f>CU42-CT42</f>
        <v>-7207.050000000047</v>
      </c>
      <c r="CW42" s="80">
        <f>-V42+AR42</f>
        <v>0</v>
      </c>
      <c r="CX42" s="80">
        <f>CV42+CW42</f>
        <v>-7207.050000000047</v>
      </c>
      <c r="CY42" s="80">
        <f>CX42-K42-L42</f>
        <v>-7207.050000000047</v>
      </c>
      <c r="CZ42" s="80">
        <f>BR42-BP42</f>
        <v>0</v>
      </c>
      <c r="DA42" s="80">
        <f>K42+L42</f>
        <v>0</v>
      </c>
      <c r="DB42" s="80">
        <f>-CZ42+DA42+CY42</f>
        <v>-7207.050000000047</v>
      </c>
      <c r="DC42" s="80">
        <f t="shared" si="113"/>
        <v>-7207.050000000047</v>
      </c>
      <c r="DD42" s="80">
        <f>-BP42-DA42</f>
        <v>0</v>
      </c>
      <c r="DE42" s="80">
        <f>DB42+DD42+BR42</f>
        <v>-7207.050000000047</v>
      </c>
      <c r="DF42" s="80">
        <f>Z42+AA42+AB42</f>
        <v>150693.3</v>
      </c>
      <c r="DG42" s="80">
        <f>CS42/B42</f>
        <v>419.8256396588486</v>
      </c>
      <c r="DH42" s="80">
        <f>CH42/B42</f>
        <v>-71.7900852878465</v>
      </c>
      <c r="DI42" s="80">
        <f>DF42/B42</f>
        <v>160.65383795309168</v>
      </c>
      <c r="DJ42" s="81">
        <f>CZ42/B42</f>
        <v>0</v>
      </c>
      <c r="DK42" s="76">
        <f>DB42/B42</f>
        <v>-7.683422174840135</v>
      </c>
      <c r="DL42" s="145">
        <f>CA42-BW42-BU42</f>
        <v>393796.45</v>
      </c>
      <c r="DM42" s="64"/>
      <c r="DN42" s="65"/>
    </row>
    <row r="60" spans="1:116" ht="12.75">
      <c r="A60" s="3" t="s">
        <v>242</v>
      </c>
      <c r="B60" s="62">
        <f>B10+B20+B26</f>
        <v>1433</v>
      </c>
      <c r="C60" s="62">
        <f aca="true" t="shared" si="114" ref="C60:BN60">C10+C20+C26</f>
        <v>3141171</v>
      </c>
      <c r="D60" s="62">
        <f>(D10+D20+D26)/3</f>
        <v>2195.8633333333332</v>
      </c>
      <c r="E60" s="62">
        <f>(E10+E20+E26)/3</f>
        <v>63.68666666666667</v>
      </c>
      <c r="F60" s="62">
        <f>(F10+F20+F26)/3</f>
        <v>3.3333333333333335</v>
      </c>
      <c r="G60" s="62">
        <f t="shared" si="114"/>
        <v>18775.05</v>
      </c>
      <c r="H60" s="62">
        <f t="shared" si="114"/>
        <v>15003.43</v>
      </c>
      <c r="I60" s="62">
        <f t="shared" si="114"/>
        <v>894.9000000000001</v>
      </c>
      <c r="J60" s="62">
        <f t="shared" si="114"/>
        <v>0</v>
      </c>
      <c r="K60" s="62">
        <f t="shared" si="114"/>
        <v>0</v>
      </c>
      <c r="L60" s="62">
        <f t="shared" si="114"/>
        <v>0</v>
      </c>
      <c r="M60" s="62">
        <f t="shared" si="114"/>
        <v>0</v>
      </c>
      <c r="N60" s="62">
        <f t="shared" si="114"/>
        <v>0</v>
      </c>
      <c r="O60" s="62">
        <f t="shared" si="114"/>
        <v>7166.95</v>
      </c>
      <c r="P60" s="62">
        <f t="shared" si="114"/>
        <v>460553.25</v>
      </c>
      <c r="Q60" s="62">
        <f t="shared" si="114"/>
        <v>0</v>
      </c>
      <c r="R60" s="62">
        <f t="shared" si="114"/>
        <v>0</v>
      </c>
      <c r="S60" s="62">
        <f t="shared" si="114"/>
        <v>0</v>
      </c>
      <c r="T60" s="62">
        <f t="shared" si="114"/>
        <v>0</v>
      </c>
      <c r="U60" s="62">
        <f t="shared" si="114"/>
        <v>0</v>
      </c>
      <c r="V60" s="62">
        <f t="shared" si="114"/>
        <v>0</v>
      </c>
      <c r="W60" s="62">
        <f t="shared" si="114"/>
        <v>0</v>
      </c>
      <c r="X60" s="62">
        <f t="shared" si="114"/>
        <v>0</v>
      </c>
      <c r="Y60" s="62">
        <f t="shared" si="114"/>
        <v>502393.57999999996</v>
      </c>
      <c r="Z60" s="62">
        <f t="shared" si="114"/>
        <v>173056.80000000002</v>
      </c>
      <c r="AA60" s="62">
        <f t="shared" si="114"/>
        <v>19740.699999999997</v>
      </c>
      <c r="AB60" s="62">
        <f t="shared" si="114"/>
        <v>0</v>
      </c>
      <c r="AC60" s="62">
        <f t="shared" si="114"/>
        <v>48287</v>
      </c>
      <c r="AD60" s="62">
        <f t="shared" si="114"/>
        <v>0</v>
      </c>
      <c r="AE60" s="62">
        <f t="shared" si="114"/>
        <v>241084.5</v>
      </c>
      <c r="AF60" s="62">
        <f t="shared" si="114"/>
        <v>0</v>
      </c>
      <c r="AG60" s="62">
        <f t="shared" si="114"/>
        <v>23145.550000000003</v>
      </c>
      <c r="AH60" s="62">
        <f t="shared" si="114"/>
        <v>0</v>
      </c>
      <c r="AI60" s="62">
        <f t="shared" si="114"/>
        <v>230836.59000000003</v>
      </c>
      <c r="AJ60" s="62">
        <f t="shared" si="114"/>
        <v>2418</v>
      </c>
      <c r="AK60" s="62">
        <f t="shared" si="114"/>
        <v>3236</v>
      </c>
      <c r="AL60" s="62">
        <f t="shared" si="114"/>
        <v>0</v>
      </c>
      <c r="AM60" s="62">
        <f t="shared" si="114"/>
        <v>0</v>
      </c>
      <c r="AN60" s="62">
        <f t="shared" si="114"/>
        <v>0</v>
      </c>
      <c r="AO60" s="62">
        <f t="shared" si="114"/>
        <v>0</v>
      </c>
      <c r="AP60" s="62">
        <f t="shared" si="114"/>
        <v>0</v>
      </c>
      <c r="AQ60" s="62">
        <f t="shared" si="114"/>
        <v>0</v>
      </c>
      <c r="AR60" s="62">
        <f t="shared" si="114"/>
        <v>0</v>
      </c>
      <c r="AS60" s="62">
        <f t="shared" si="114"/>
        <v>0</v>
      </c>
      <c r="AT60" s="62">
        <f t="shared" si="114"/>
        <v>0</v>
      </c>
      <c r="AU60" s="62">
        <f t="shared" si="114"/>
        <v>500720.64</v>
      </c>
      <c r="AV60" s="62">
        <f t="shared" si="114"/>
        <v>24234.64</v>
      </c>
      <c r="AW60" s="62">
        <f t="shared" si="114"/>
        <v>25907.58</v>
      </c>
      <c r="AX60" s="62">
        <f t="shared" si="114"/>
        <v>-1.4551915228366852E-11</v>
      </c>
      <c r="AY60" s="62">
        <f t="shared" si="114"/>
        <v>1148.85</v>
      </c>
      <c r="AZ60" s="62">
        <f t="shared" si="114"/>
        <v>0</v>
      </c>
      <c r="BA60" s="62">
        <f t="shared" si="114"/>
        <v>0</v>
      </c>
      <c r="BB60" s="62">
        <f t="shared" si="114"/>
        <v>0</v>
      </c>
      <c r="BC60" s="62">
        <f t="shared" si="114"/>
        <v>0</v>
      </c>
      <c r="BD60" s="62">
        <f t="shared" si="114"/>
        <v>0</v>
      </c>
      <c r="BE60" s="62">
        <f t="shared" si="114"/>
        <v>0</v>
      </c>
      <c r="BF60" s="62">
        <f t="shared" si="114"/>
        <v>0</v>
      </c>
      <c r="BG60" s="62">
        <f t="shared" si="114"/>
        <v>0</v>
      </c>
      <c r="BH60" s="62">
        <f t="shared" si="114"/>
        <v>0</v>
      </c>
      <c r="BI60" s="62">
        <f t="shared" si="114"/>
        <v>0</v>
      </c>
      <c r="BJ60" s="62">
        <f t="shared" si="114"/>
        <v>0</v>
      </c>
      <c r="BK60" s="62">
        <f t="shared" si="114"/>
        <v>0</v>
      </c>
      <c r="BL60" s="62">
        <f t="shared" si="114"/>
        <v>0</v>
      </c>
      <c r="BM60" s="62">
        <f t="shared" si="114"/>
        <v>0</v>
      </c>
      <c r="BN60" s="62">
        <f t="shared" si="114"/>
        <v>0</v>
      </c>
      <c r="BO60" s="62">
        <f aca="true" t="shared" si="115" ref="BO60:CI60">BO10+BO20+BO26</f>
        <v>0</v>
      </c>
      <c r="BP60" s="62">
        <f t="shared" si="115"/>
        <v>0</v>
      </c>
      <c r="BQ60" s="62">
        <f t="shared" si="115"/>
        <v>0</v>
      </c>
      <c r="BR60" s="62">
        <f t="shared" si="115"/>
        <v>0</v>
      </c>
      <c r="BS60" s="62">
        <f t="shared" si="115"/>
        <v>0</v>
      </c>
      <c r="BT60" s="62">
        <f t="shared" si="115"/>
        <v>754804.11</v>
      </c>
      <c r="BU60" s="62">
        <f t="shared" si="115"/>
        <v>0</v>
      </c>
      <c r="BV60" s="62">
        <f t="shared" si="115"/>
        <v>0</v>
      </c>
      <c r="BW60" s="62">
        <f t="shared" si="115"/>
        <v>0</v>
      </c>
      <c r="BX60" s="62">
        <f t="shared" si="115"/>
        <v>754804.11</v>
      </c>
      <c r="BY60" s="62">
        <f t="shared" si="115"/>
        <v>227388.30000000002</v>
      </c>
      <c r="BZ60" s="62">
        <f t="shared" si="115"/>
        <v>0</v>
      </c>
      <c r="CA60" s="62">
        <f t="shared" si="115"/>
        <v>527415.81</v>
      </c>
      <c r="CB60" s="62">
        <f t="shared" si="115"/>
        <v>754804.11</v>
      </c>
      <c r="CC60" s="62">
        <f t="shared" si="115"/>
        <v>0</v>
      </c>
      <c r="CD60" s="62">
        <f t="shared" si="115"/>
        <v>-1672.9400000000023</v>
      </c>
      <c r="CE60" s="62">
        <f t="shared" si="115"/>
        <v>-1672.9400000000023</v>
      </c>
      <c r="CF60" s="62">
        <f t="shared" si="115"/>
        <v>0</v>
      </c>
      <c r="CG60" s="62">
        <f t="shared" si="115"/>
        <v>500720.64</v>
      </c>
      <c r="CH60" s="62">
        <f t="shared" si="115"/>
        <v>-21101.800000000003</v>
      </c>
      <c r="CI60" s="62">
        <f t="shared" si="115"/>
        <v>-21101.800000000003</v>
      </c>
      <c r="CJ60" s="153" t="e">
        <f aca="true" t="shared" si="116" ref="CJ60:CJ65">CD60/CF60</f>
        <v>#DIV/0!</v>
      </c>
      <c r="CK60" s="153" t="e">
        <f aca="true" t="shared" si="117" ref="CK60:CK65">CE60/CF60</f>
        <v>#DIV/0!</v>
      </c>
      <c r="CL60" s="154">
        <f aca="true" t="shared" si="118" ref="CL60:CL65">CD60/CG60*1</f>
        <v>-0.003341064590427114</v>
      </c>
      <c r="CM60" s="154">
        <f aca="true" t="shared" si="119" ref="CM60:CM65">CE60/CG60</f>
        <v>-0.003341064590427114</v>
      </c>
      <c r="CN60" s="154">
        <f aca="true" t="shared" si="120" ref="CN60:CN65">CH60/CG60</f>
        <v>-0.04214286033825169</v>
      </c>
      <c r="CO60" s="154">
        <f aca="true" t="shared" si="121" ref="CO60:CO65">CI60/CG60</f>
        <v>-0.04214286033825169</v>
      </c>
      <c r="CP60" s="154" t="e">
        <f aca="true" t="shared" si="122" ref="CP60:CP65">(K60+L60)/(BU60+K60+L60)</f>
        <v>#DIV/0!</v>
      </c>
      <c r="CQ60" s="154" t="e">
        <f aca="true" t="shared" si="123" ref="CQ60:CQ65">(K60)/(BU60+K60+L60)</f>
        <v>#DIV/0!</v>
      </c>
      <c r="CR60" s="155">
        <f aca="true" t="shared" si="124" ref="CR60:CR65">CS60/CE60</f>
        <v>-315.2628366827257</v>
      </c>
      <c r="CS60" s="156">
        <f aca="true" t="shared" si="125" ref="CS60:CS65">BT60-BY60</f>
        <v>527415.8099999999</v>
      </c>
      <c r="CT60" s="156">
        <f aca="true" t="shared" si="126" ref="CT60:CT65">Y60-K60-L60-V60</f>
        <v>502393.57999999996</v>
      </c>
      <c r="CU60" s="156">
        <f aca="true" t="shared" si="127" ref="CU60:CU65">AU60-AR60</f>
        <v>500720.64</v>
      </c>
      <c r="CV60" s="156">
        <f aca="true" t="shared" si="128" ref="CV60:CV65">CU60-CT60</f>
        <v>-1672.9399999999441</v>
      </c>
      <c r="CW60" s="156">
        <f aca="true" t="shared" si="129" ref="CW60:CW65">-V60+AR60</f>
        <v>0</v>
      </c>
      <c r="CX60" s="156">
        <f aca="true" t="shared" si="130" ref="CX60:CX65">CV60+CW60</f>
        <v>-1672.9399999999441</v>
      </c>
      <c r="CY60" s="156">
        <f aca="true" t="shared" si="131" ref="CY60:CY65">CX60-K60-L60</f>
        <v>-1672.9399999999441</v>
      </c>
      <c r="CZ60" s="156">
        <f aca="true" t="shared" si="132" ref="CZ60:CZ65">BR60-BP60</f>
        <v>0</v>
      </c>
      <c r="DA60" s="156">
        <f aca="true" t="shared" si="133" ref="DA60:DA65">K60+L60</f>
        <v>0</v>
      </c>
      <c r="DB60" s="156">
        <f aca="true" t="shared" si="134" ref="DB60:DB65">-CZ60+DA60+CY60</f>
        <v>-1672.9399999999441</v>
      </c>
      <c r="DC60" s="156">
        <f aca="true" t="shared" si="135" ref="DC60:DC65">-CZ60+DA60+CY60+W60-AS60</f>
        <v>-1672.9399999999441</v>
      </c>
      <c r="DD60" s="156">
        <f aca="true" t="shared" si="136" ref="DD60:DD65">-BP60-DA60</f>
        <v>0</v>
      </c>
      <c r="DE60" s="156">
        <f aca="true" t="shared" si="137" ref="DE60:DE65">DB60+DD60+BR60</f>
        <v>-1672.9399999999441</v>
      </c>
      <c r="DF60" s="156">
        <f aca="true" t="shared" si="138" ref="DF60:DF65">Z60+AA60+AB60</f>
        <v>192797.5</v>
      </c>
      <c r="DG60" s="156">
        <f aca="true" t="shared" si="139" ref="DG60:DG65">CS60/B60</f>
        <v>368.05011165387293</v>
      </c>
      <c r="DH60" s="156">
        <f aca="true" t="shared" si="140" ref="DH60:DH65">CH60/B60</f>
        <v>-14.725610607117936</v>
      </c>
      <c r="DI60" s="156">
        <f aca="true" t="shared" si="141" ref="DI60:DI65">DF60/B60</f>
        <v>134.54117236566643</v>
      </c>
      <c r="DJ60" s="157">
        <f aca="true" t="shared" si="142" ref="DJ60:DJ65">CZ60/B60</f>
        <v>0</v>
      </c>
      <c r="DK60" s="156">
        <f aca="true" t="shared" si="143" ref="DK60:DK65">DB60/B60</f>
        <v>-1.1674389392881677</v>
      </c>
      <c r="DL60" s="158">
        <f aca="true" t="shared" si="144" ref="DL60:DL65">CA60-BW60-BU60</f>
        <v>527415.81</v>
      </c>
    </row>
    <row r="61" spans="1:116" ht="12.75">
      <c r="A61" s="3" t="s">
        <v>243</v>
      </c>
      <c r="B61" s="62">
        <f>B4+B19+B21+B24+B25</f>
        <v>14167</v>
      </c>
      <c r="C61" s="62">
        <f aca="true" t="shared" si="145" ref="C61:BN61">C4+C19+C21+C24+C25</f>
        <v>48194322</v>
      </c>
      <c r="D61" s="62">
        <f>(D4+D19+D21+D24+D25)/5</f>
        <v>3174.2380000000003</v>
      </c>
      <c r="E61" s="62">
        <f>(E4+E19+E21+E24+E25)/5</f>
        <v>92.05799999999998</v>
      </c>
      <c r="F61" s="62">
        <f>(F4+F19+F21+F24+F25)/5</f>
        <v>2</v>
      </c>
      <c r="G61" s="62">
        <f t="shared" si="145"/>
        <v>254018.55</v>
      </c>
      <c r="H61" s="62">
        <f t="shared" si="145"/>
        <v>61497.68</v>
      </c>
      <c r="I61" s="62">
        <f t="shared" si="145"/>
        <v>30323.35</v>
      </c>
      <c r="J61" s="62">
        <f t="shared" si="145"/>
        <v>0</v>
      </c>
      <c r="K61" s="62">
        <f t="shared" si="145"/>
        <v>0</v>
      </c>
      <c r="L61" s="62">
        <f t="shared" si="145"/>
        <v>0</v>
      </c>
      <c r="M61" s="62">
        <f t="shared" si="145"/>
        <v>0</v>
      </c>
      <c r="N61" s="62">
        <f t="shared" si="145"/>
        <v>0</v>
      </c>
      <c r="O61" s="62">
        <f t="shared" si="145"/>
        <v>33478.1</v>
      </c>
      <c r="P61" s="62">
        <f t="shared" si="145"/>
        <v>4168561.1500000004</v>
      </c>
      <c r="Q61" s="62">
        <f t="shared" si="145"/>
        <v>0</v>
      </c>
      <c r="R61" s="62">
        <f t="shared" si="145"/>
        <v>0</v>
      </c>
      <c r="S61" s="62">
        <f t="shared" si="145"/>
        <v>0</v>
      </c>
      <c r="T61" s="62">
        <f t="shared" si="145"/>
        <v>0</v>
      </c>
      <c r="U61" s="62">
        <f t="shared" si="145"/>
        <v>0</v>
      </c>
      <c r="V61" s="62">
        <f t="shared" si="145"/>
        <v>0</v>
      </c>
      <c r="W61" s="62">
        <f t="shared" si="145"/>
        <v>0</v>
      </c>
      <c r="X61" s="62">
        <f t="shared" si="145"/>
        <v>8500</v>
      </c>
      <c r="Y61" s="62">
        <f t="shared" si="145"/>
        <v>4556378.83</v>
      </c>
      <c r="Z61" s="62">
        <f t="shared" si="145"/>
        <v>1821278.45</v>
      </c>
      <c r="AA61" s="62">
        <f t="shared" si="145"/>
        <v>300318.7</v>
      </c>
      <c r="AB61" s="62">
        <f t="shared" si="145"/>
        <v>0</v>
      </c>
      <c r="AC61" s="62">
        <f t="shared" si="145"/>
        <v>424831.55</v>
      </c>
      <c r="AD61" s="62">
        <f t="shared" si="145"/>
        <v>0</v>
      </c>
      <c r="AE61" s="62">
        <f t="shared" si="145"/>
        <v>2546428.6999999997</v>
      </c>
      <c r="AF61" s="62">
        <f t="shared" si="145"/>
        <v>0</v>
      </c>
      <c r="AG61" s="62">
        <f t="shared" si="145"/>
        <v>56466.7</v>
      </c>
      <c r="AH61" s="62">
        <f t="shared" si="145"/>
        <v>0</v>
      </c>
      <c r="AI61" s="62">
        <f t="shared" si="145"/>
        <v>1974272.6600000001</v>
      </c>
      <c r="AJ61" s="62">
        <f t="shared" si="145"/>
        <v>-118.15</v>
      </c>
      <c r="AK61" s="62">
        <f t="shared" si="145"/>
        <v>60790.75</v>
      </c>
      <c r="AL61" s="62">
        <f t="shared" si="145"/>
        <v>0</v>
      </c>
      <c r="AM61" s="62">
        <f t="shared" si="145"/>
        <v>0</v>
      </c>
      <c r="AN61" s="62">
        <f t="shared" si="145"/>
        <v>0</v>
      </c>
      <c r="AO61" s="62">
        <f t="shared" si="145"/>
        <v>0</v>
      </c>
      <c r="AP61" s="62">
        <f t="shared" si="145"/>
        <v>0</v>
      </c>
      <c r="AQ61" s="62">
        <f t="shared" si="145"/>
        <v>0</v>
      </c>
      <c r="AR61" s="62">
        <f t="shared" si="145"/>
        <v>0</v>
      </c>
      <c r="AS61" s="62">
        <f t="shared" si="145"/>
        <v>0</v>
      </c>
      <c r="AT61" s="62">
        <f t="shared" si="145"/>
        <v>8650</v>
      </c>
      <c r="AU61" s="62">
        <f t="shared" si="145"/>
        <v>4646490.66</v>
      </c>
      <c r="AV61" s="62">
        <f t="shared" si="145"/>
        <v>220851.28</v>
      </c>
      <c r="AW61" s="62">
        <f t="shared" si="145"/>
        <v>130739.45000000001</v>
      </c>
      <c r="AX61" s="62">
        <f t="shared" si="145"/>
        <v>5.311449058353901E-10</v>
      </c>
      <c r="AY61" s="62">
        <f t="shared" si="145"/>
        <v>0</v>
      </c>
      <c r="AZ61" s="62">
        <f t="shared" si="145"/>
        <v>0</v>
      </c>
      <c r="BA61" s="62">
        <f t="shared" si="145"/>
        <v>0</v>
      </c>
      <c r="BB61" s="62">
        <f t="shared" si="145"/>
        <v>0</v>
      </c>
      <c r="BC61" s="62">
        <f t="shared" si="145"/>
        <v>0</v>
      </c>
      <c r="BD61" s="62">
        <f t="shared" si="145"/>
        <v>0</v>
      </c>
      <c r="BE61" s="62">
        <f t="shared" si="145"/>
        <v>0</v>
      </c>
      <c r="BF61" s="62">
        <f t="shared" si="145"/>
        <v>0</v>
      </c>
      <c r="BG61" s="62">
        <f t="shared" si="145"/>
        <v>0</v>
      </c>
      <c r="BH61" s="62">
        <f t="shared" si="145"/>
        <v>0</v>
      </c>
      <c r="BI61" s="62">
        <f t="shared" si="145"/>
        <v>0</v>
      </c>
      <c r="BJ61" s="62">
        <f t="shared" si="145"/>
        <v>0</v>
      </c>
      <c r="BK61" s="62">
        <f t="shared" si="145"/>
        <v>0</v>
      </c>
      <c r="BL61" s="62">
        <f t="shared" si="145"/>
        <v>0</v>
      </c>
      <c r="BM61" s="62">
        <f t="shared" si="145"/>
        <v>0</v>
      </c>
      <c r="BN61" s="62">
        <f t="shared" si="145"/>
        <v>0</v>
      </c>
      <c r="BO61" s="62">
        <f aca="true" t="shared" si="146" ref="BO61:CI61">BO4+BO19+BO21+BO24+BO25</f>
        <v>0</v>
      </c>
      <c r="BP61" s="62">
        <f t="shared" si="146"/>
        <v>0</v>
      </c>
      <c r="BQ61" s="62">
        <f t="shared" si="146"/>
        <v>0</v>
      </c>
      <c r="BR61" s="62">
        <f t="shared" si="146"/>
        <v>0</v>
      </c>
      <c r="BS61" s="62">
        <f t="shared" si="146"/>
        <v>0</v>
      </c>
      <c r="BT61" s="62">
        <f t="shared" si="146"/>
        <v>4752827.760000001</v>
      </c>
      <c r="BU61" s="62">
        <f t="shared" si="146"/>
        <v>0</v>
      </c>
      <c r="BV61" s="62">
        <f t="shared" si="146"/>
        <v>0</v>
      </c>
      <c r="BW61" s="62">
        <f t="shared" si="146"/>
        <v>274174.11</v>
      </c>
      <c r="BX61" s="62">
        <f t="shared" si="146"/>
        <v>5027001.870000001</v>
      </c>
      <c r="BY61" s="62">
        <f t="shared" si="146"/>
        <v>1829016.43</v>
      </c>
      <c r="BZ61" s="62">
        <f t="shared" si="146"/>
        <v>30000</v>
      </c>
      <c r="CA61" s="62">
        <f t="shared" si="146"/>
        <v>3167985.44</v>
      </c>
      <c r="CB61" s="62">
        <f t="shared" si="146"/>
        <v>5027001.870000001</v>
      </c>
      <c r="CC61" s="62">
        <f t="shared" si="146"/>
        <v>0</v>
      </c>
      <c r="CD61" s="62">
        <f t="shared" si="146"/>
        <v>90111.82999999999</v>
      </c>
      <c r="CE61" s="62">
        <f t="shared" si="146"/>
        <v>90111.82999999999</v>
      </c>
      <c r="CF61" s="62">
        <f t="shared" si="146"/>
        <v>0</v>
      </c>
      <c r="CG61" s="62">
        <f t="shared" si="146"/>
        <v>4637840.66</v>
      </c>
      <c r="CH61" s="62">
        <f t="shared" si="146"/>
        <v>-26143.35</v>
      </c>
      <c r="CI61" s="62">
        <f t="shared" si="146"/>
        <v>-26143.35</v>
      </c>
      <c r="CJ61" s="153" t="e">
        <f t="shared" si="116"/>
        <v>#DIV/0!</v>
      </c>
      <c r="CK61" s="153" t="e">
        <f t="shared" si="117"/>
        <v>#DIV/0!</v>
      </c>
      <c r="CL61" s="154">
        <f t="shared" si="118"/>
        <v>0.019429695111603938</v>
      </c>
      <c r="CM61" s="154">
        <f t="shared" si="119"/>
        <v>0.019429695111603938</v>
      </c>
      <c r="CN61" s="154">
        <f t="shared" si="120"/>
        <v>-0.00563696597545462</v>
      </c>
      <c r="CO61" s="154">
        <f t="shared" si="121"/>
        <v>-0.00563696597545462</v>
      </c>
      <c r="CP61" s="154" t="e">
        <f t="shared" si="122"/>
        <v>#DIV/0!</v>
      </c>
      <c r="CQ61" s="154" t="e">
        <f t="shared" si="123"/>
        <v>#DIV/0!</v>
      </c>
      <c r="CR61" s="155">
        <f t="shared" si="124"/>
        <v>32.44647600653545</v>
      </c>
      <c r="CS61" s="156">
        <f t="shared" si="125"/>
        <v>2923811.330000001</v>
      </c>
      <c r="CT61" s="156">
        <f t="shared" si="126"/>
        <v>4556378.83</v>
      </c>
      <c r="CU61" s="156">
        <f t="shared" si="127"/>
        <v>4646490.66</v>
      </c>
      <c r="CV61" s="156">
        <f t="shared" si="128"/>
        <v>90111.83000000007</v>
      </c>
      <c r="CW61" s="156">
        <f t="shared" si="129"/>
        <v>0</v>
      </c>
      <c r="CX61" s="156">
        <f t="shared" si="130"/>
        <v>90111.83000000007</v>
      </c>
      <c r="CY61" s="156">
        <f t="shared" si="131"/>
        <v>90111.83000000007</v>
      </c>
      <c r="CZ61" s="156">
        <f t="shared" si="132"/>
        <v>0</v>
      </c>
      <c r="DA61" s="156">
        <f t="shared" si="133"/>
        <v>0</v>
      </c>
      <c r="DB61" s="156">
        <f t="shared" si="134"/>
        <v>90111.83000000007</v>
      </c>
      <c r="DC61" s="156">
        <f t="shared" si="135"/>
        <v>90111.83000000007</v>
      </c>
      <c r="DD61" s="156">
        <f t="shared" si="136"/>
        <v>0</v>
      </c>
      <c r="DE61" s="156">
        <f t="shared" si="137"/>
        <v>90111.83000000007</v>
      </c>
      <c r="DF61" s="156">
        <f t="shared" si="138"/>
        <v>2121597.15</v>
      </c>
      <c r="DG61" s="156">
        <f t="shared" si="139"/>
        <v>206.38182607468067</v>
      </c>
      <c r="DH61" s="156">
        <f t="shared" si="140"/>
        <v>-1.8453695207171594</v>
      </c>
      <c r="DI61" s="156">
        <f t="shared" si="141"/>
        <v>149.75627514646715</v>
      </c>
      <c r="DJ61" s="157">
        <f t="shared" si="142"/>
        <v>0</v>
      </c>
      <c r="DK61" s="156">
        <f t="shared" si="143"/>
        <v>6.360685395637755</v>
      </c>
      <c r="DL61" s="158">
        <f t="shared" si="144"/>
        <v>2893811.33</v>
      </c>
    </row>
    <row r="62" spans="1:116" ht="12.75">
      <c r="A62" s="3" t="s">
        <v>244</v>
      </c>
      <c r="B62" s="62">
        <f>B9+B11+B22+B27</f>
        <v>11827</v>
      </c>
      <c r="C62" s="62">
        <f aca="true" t="shared" si="147" ref="C62:BN62">C9+C11+C22+C27</f>
        <v>43636147</v>
      </c>
      <c r="D62" s="62">
        <f>(D9+D11+D22+D27)/4</f>
        <v>3406.0874999999996</v>
      </c>
      <c r="E62" s="62">
        <f>(E9+E11+E22+E27)/4</f>
        <v>98.78</v>
      </c>
      <c r="F62" s="62">
        <f>(F9+F11+F22+F27)/4</f>
        <v>1.25</v>
      </c>
      <c r="G62" s="62">
        <f t="shared" si="147"/>
        <v>329127.3</v>
      </c>
      <c r="H62" s="62">
        <f t="shared" si="147"/>
        <v>73640.5</v>
      </c>
      <c r="I62" s="62">
        <f t="shared" si="147"/>
        <v>22.1</v>
      </c>
      <c r="J62" s="62">
        <f t="shared" si="147"/>
        <v>64373.29999999999</v>
      </c>
      <c r="K62" s="62">
        <f t="shared" si="147"/>
        <v>1800</v>
      </c>
      <c r="L62" s="62">
        <f t="shared" si="147"/>
        <v>0</v>
      </c>
      <c r="M62" s="62">
        <f t="shared" si="147"/>
        <v>1800</v>
      </c>
      <c r="N62" s="62">
        <f t="shared" si="147"/>
        <v>0</v>
      </c>
      <c r="O62" s="62">
        <f t="shared" si="147"/>
        <v>40702.299999999996</v>
      </c>
      <c r="P62" s="62">
        <f t="shared" si="147"/>
        <v>4533315.35</v>
      </c>
      <c r="Q62" s="62">
        <f t="shared" si="147"/>
        <v>0</v>
      </c>
      <c r="R62" s="62">
        <f t="shared" si="147"/>
        <v>0</v>
      </c>
      <c r="S62" s="62">
        <f t="shared" si="147"/>
        <v>0</v>
      </c>
      <c r="T62" s="62">
        <f t="shared" si="147"/>
        <v>0</v>
      </c>
      <c r="U62" s="62">
        <f t="shared" si="147"/>
        <v>0</v>
      </c>
      <c r="V62" s="62">
        <f t="shared" si="147"/>
        <v>0</v>
      </c>
      <c r="W62" s="62">
        <f t="shared" si="147"/>
        <v>0</v>
      </c>
      <c r="X62" s="62">
        <f t="shared" si="147"/>
        <v>0</v>
      </c>
      <c r="Y62" s="62">
        <f t="shared" si="147"/>
        <v>5042980.85</v>
      </c>
      <c r="Z62" s="62">
        <f t="shared" si="147"/>
        <v>2071906.4000000001</v>
      </c>
      <c r="AA62" s="62">
        <f t="shared" si="147"/>
        <v>200392.1</v>
      </c>
      <c r="AB62" s="62">
        <f t="shared" si="147"/>
        <v>210400.7</v>
      </c>
      <c r="AC62" s="62">
        <f t="shared" si="147"/>
        <v>188127.3</v>
      </c>
      <c r="AD62" s="62">
        <f t="shared" si="147"/>
        <v>0</v>
      </c>
      <c r="AE62" s="62">
        <f t="shared" si="147"/>
        <v>2670826.5000000005</v>
      </c>
      <c r="AF62" s="62">
        <f t="shared" si="147"/>
        <v>0</v>
      </c>
      <c r="AG62" s="62">
        <f t="shared" si="147"/>
        <v>105531.96</v>
      </c>
      <c r="AH62" s="62">
        <f t="shared" si="147"/>
        <v>20412</v>
      </c>
      <c r="AI62" s="62">
        <f t="shared" si="147"/>
        <v>1958944.95</v>
      </c>
      <c r="AJ62" s="62">
        <f t="shared" si="147"/>
        <v>0</v>
      </c>
      <c r="AK62" s="62">
        <f t="shared" si="147"/>
        <v>54748</v>
      </c>
      <c r="AL62" s="62">
        <f t="shared" si="147"/>
        <v>0</v>
      </c>
      <c r="AM62" s="62">
        <f t="shared" si="147"/>
        <v>0</v>
      </c>
      <c r="AN62" s="62">
        <f t="shared" si="147"/>
        <v>0</v>
      </c>
      <c r="AO62" s="62">
        <f t="shared" si="147"/>
        <v>0</v>
      </c>
      <c r="AP62" s="62">
        <f t="shared" si="147"/>
        <v>0</v>
      </c>
      <c r="AQ62" s="62">
        <f t="shared" si="147"/>
        <v>0</v>
      </c>
      <c r="AR62" s="62">
        <f t="shared" si="147"/>
        <v>0</v>
      </c>
      <c r="AS62" s="62">
        <f t="shared" si="147"/>
        <v>0</v>
      </c>
      <c r="AT62" s="62">
        <f t="shared" si="147"/>
        <v>0</v>
      </c>
      <c r="AU62" s="62">
        <f t="shared" si="147"/>
        <v>4790051.41</v>
      </c>
      <c r="AV62" s="62">
        <f t="shared" si="147"/>
        <v>27846</v>
      </c>
      <c r="AW62" s="62">
        <f t="shared" si="147"/>
        <v>280775.44</v>
      </c>
      <c r="AX62" s="62">
        <f t="shared" si="147"/>
        <v>-3.055902197957039E-10</v>
      </c>
      <c r="AY62" s="62">
        <f t="shared" si="147"/>
        <v>0</v>
      </c>
      <c r="AZ62" s="62">
        <f t="shared" si="147"/>
        <v>0</v>
      </c>
      <c r="BA62" s="62">
        <f t="shared" si="147"/>
        <v>0</v>
      </c>
      <c r="BB62" s="62">
        <f t="shared" si="147"/>
        <v>0</v>
      </c>
      <c r="BC62" s="62">
        <f t="shared" si="147"/>
        <v>0</v>
      </c>
      <c r="BD62" s="62">
        <f t="shared" si="147"/>
        <v>0</v>
      </c>
      <c r="BE62" s="62">
        <f t="shared" si="147"/>
        <v>0</v>
      </c>
      <c r="BF62" s="62">
        <f t="shared" si="147"/>
        <v>0</v>
      </c>
      <c r="BG62" s="62">
        <f t="shared" si="147"/>
        <v>0</v>
      </c>
      <c r="BH62" s="62">
        <f t="shared" si="147"/>
        <v>0</v>
      </c>
      <c r="BI62" s="62">
        <f t="shared" si="147"/>
        <v>0</v>
      </c>
      <c r="BJ62" s="62">
        <f t="shared" si="147"/>
        <v>0</v>
      </c>
      <c r="BK62" s="62">
        <f t="shared" si="147"/>
        <v>0</v>
      </c>
      <c r="BL62" s="62">
        <f t="shared" si="147"/>
        <v>0</v>
      </c>
      <c r="BM62" s="62">
        <f t="shared" si="147"/>
        <v>0</v>
      </c>
      <c r="BN62" s="62">
        <f t="shared" si="147"/>
        <v>0</v>
      </c>
      <c r="BO62" s="62">
        <f aca="true" t="shared" si="148" ref="BO62:CI62">BO9+BO11+BO22+BO27</f>
        <v>0</v>
      </c>
      <c r="BP62" s="62">
        <f t="shared" si="148"/>
        <v>0</v>
      </c>
      <c r="BQ62" s="62">
        <f t="shared" si="148"/>
        <v>0</v>
      </c>
      <c r="BR62" s="62">
        <f t="shared" si="148"/>
        <v>0</v>
      </c>
      <c r="BS62" s="62">
        <f t="shared" si="148"/>
        <v>0</v>
      </c>
      <c r="BT62" s="62">
        <f t="shared" si="148"/>
        <v>4757267.68</v>
      </c>
      <c r="BU62" s="62">
        <f t="shared" si="148"/>
        <v>8576</v>
      </c>
      <c r="BV62" s="62">
        <f t="shared" si="148"/>
        <v>0</v>
      </c>
      <c r="BW62" s="62">
        <f t="shared" si="148"/>
        <v>0</v>
      </c>
      <c r="BX62" s="62">
        <f t="shared" si="148"/>
        <v>4765843.68</v>
      </c>
      <c r="BY62" s="62">
        <f t="shared" si="148"/>
        <v>835815.3500000001</v>
      </c>
      <c r="BZ62" s="62">
        <f t="shared" si="148"/>
        <v>0</v>
      </c>
      <c r="CA62" s="62">
        <f t="shared" si="148"/>
        <v>3930028.3300000005</v>
      </c>
      <c r="CB62" s="62">
        <f t="shared" si="148"/>
        <v>4765843.680000001</v>
      </c>
      <c r="CC62" s="62">
        <f t="shared" si="148"/>
        <v>0</v>
      </c>
      <c r="CD62" s="62">
        <f t="shared" si="148"/>
        <v>-251129.44</v>
      </c>
      <c r="CE62" s="62">
        <f t="shared" si="148"/>
        <v>-251129.44</v>
      </c>
      <c r="CF62" s="62">
        <f t="shared" si="148"/>
        <v>0</v>
      </c>
      <c r="CG62" s="62">
        <f t="shared" si="148"/>
        <v>4790051.41</v>
      </c>
      <c r="CH62" s="62">
        <f t="shared" si="148"/>
        <v>-85097.86</v>
      </c>
      <c r="CI62" s="62">
        <f t="shared" si="148"/>
        <v>-83297.86000000002</v>
      </c>
      <c r="CJ62" s="153" t="e">
        <f t="shared" si="116"/>
        <v>#DIV/0!</v>
      </c>
      <c r="CK62" s="153" t="e">
        <f t="shared" si="117"/>
        <v>#DIV/0!</v>
      </c>
      <c r="CL62" s="154">
        <f t="shared" si="118"/>
        <v>-0.052427295347128644</v>
      </c>
      <c r="CM62" s="154">
        <f t="shared" si="119"/>
        <v>-0.052427295347128644</v>
      </c>
      <c r="CN62" s="154">
        <f t="shared" si="120"/>
        <v>-0.017765542103023065</v>
      </c>
      <c r="CO62" s="154">
        <f t="shared" si="121"/>
        <v>-0.01738976325517141</v>
      </c>
      <c r="CP62" s="154">
        <f t="shared" si="122"/>
        <v>0.17347725520431764</v>
      </c>
      <c r="CQ62" s="154">
        <f t="shared" si="123"/>
        <v>0.17347725520431764</v>
      </c>
      <c r="CR62" s="155">
        <f t="shared" si="124"/>
        <v>-15.615263308037479</v>
      </c>
      <c r="CS62" s="156">
        <f t="shared" si="125"/>
        <v>3921452.3299999996</v>
      </c>
      <c r="CT62" s="156">
        <f t="shared" si="126"/>
        <v>5041180.85</v>
      </c>
      <c r="CU62" s="156">
        <f t="shared" si="127"/>
        <v>4790051.41</v>
      </c>
      <c r="CV62" s="156">
        <f t="shared" si="128"/>
        <v>-251129.43999999948</v>
      </c>
      <c r="CW62" s="156">
        <f t="shared" si="129"/>
        <v>0</v>
      </c>
      <c r="CX62" s="156">
        <f t="shared" si="130"/>
        <v>-251129.43999999948</v>
      </c>
      <c r="CY62" s="156">
        <f t="shared" si="131"/>
        <v>-252929.43999999948</v>
      </c>
      <c r="CZ62" s="156">
        <f t="shared" si="132"/>
        <v>0</v>
      </c>
      <c r="DA62" s="156">
        <f t="shared" si="133"/>
        <v>1800</v>
      </c>
      <c r="DB62" s="156">
        <f t="shared" si="134"/>
        <v>-251129.43999999948</v>
      </c>
      <c r="DC62" s="156">
        <f t="shared" si="135"/>
        <v>-251129.43999999948</v>
      </c>
      <c r="DD62" s="156">
        <f t="shared" si="136"/>
        <v>-1800</v>
      </c>
      <c r="DE62" s="156">
        <f t="shared" si="137"/>
        <v>-252929.43999999948</v>
      </c>
      <c r="DF62" s="156">
        <f t="shared" si="138"/>
        <v>2482699.2</v>
      </c>
      <c r="DG62" s="156">
        <f t="shared" si="139"/>
        <v>331.56779656717674</v>
      </c>
      <c r="DH62" s="156">
        <f t="shared" si="140"/>
        <v>-7.195219413207068</v>
      </c>
      <c r="DI62" s="156">
        <f t="shared" si="141"/>
        <v>209.91791663143655</v>
      </c>
      <c r="DJ62" s="157">
        <f t="shared" si="142"/>
        <v>0</v>
      </c>
      <c r="DK62" s="156">
        <f t="shared" si="143"/>
        <v>-21.233570643442924</v>
      </c>
      <c r="DL62" s="158">
        <f t="shared" si="144"/>
        <v>3921452.3300000005</v>
      </c>
    </row>
    <row r="63" spans="1:116" ht="12.75">
      <c r="A63" s="3" t="s">
        <v>245</v>
      </c>
      <c r="B63" s="62">
        <f>B7+B8+B17</f>
        <v>1857</v>
      </c>
      <c r="C63" s="62">
        <f aca="true" t="shared" si="149" ref="C63:BN63">C7+C8+C17</f>
        <v>5307278</v>
      </c>
      <c r="D63" s="62">
        <f>(D7+D8+D17)/3</f>
        <v>2794.463333333333</v>
      </c>
      <c r="E63" s="62">
        <f>(E7+E8+E17)/3</f>
        <v>81.04333333333334</v>
      </c>
      <c r="F63" s="62">
        <f>(F7+F8+F17)/3</f>
        <v>4</v>
      </c>
      <c r="G63" s="62">
        <f t="shared" si="149"/>
        <v>36180.85</v>
      </c>
      <c r="H63" s="62">
        <f t="shared" si="149"/>
        <v>6562.35</v>
      </c>
      <c r="I63" s="62">
        <f t="shared" si="149"/>
        <v>0</v>
      </c>
      <c r="J63" s="62">
        <f t="shared" si="149"/>
        <v>0</v>
      </c>
      <c r="K63" s="62">
        <f t="shared" si="149"/>
        <v>0</v>
      </c>
      <c r="L63" s="62">
        <f t="shared" si="149"/>
        <v>0</v>
      </c>
      <c r="M63" s="62">
        <f t="shared" si="149"/>
        <v>0</v>
      </c>
      <c r="N63" s="62">
        <f t="shared" si="149"/>
        <v>0</v>
      </c>
      <c r="O63" s="62">
        <f t="shared" si="149"/>
        <v>2784.35</v>
      </c>
      <c r="P63" s="62">
        <f t="shared" si="149"/>
        <v>292331.14999999997</v>
      </c>
      <c r="Q63" s="62">
        <f t="shared" si="149"/>
        <v>0</v>
      </c>
      <c r="R63" s="62">
        <f t="shared" si="149"/>
        <v>0</v>
      </c>
      <c r="S63" s="62">
        <f t="shared" si="149"/>
        <v>0</v>
      </c>
      <c r="T63" s="62">
        <f t="shared" si="149"/>
        <v>0</v>
      </c>
      <c r="U63" s="62">
        <f t="shared" si="149"/>
        <v>0</v>
      </c>
      <c r="V63" s="62">
        <f t="shared" si="149"/>
        <v>0</v>
      </c>
      <c r="W63" s="62">
        <f t="shared" si="149"/>
        <v>0</v>
      </c>
      <c r="X63" s="62">
        <f t="shared" si="149"/>
        <v>0</v>
      </c>
      <c r="Y63" s="62">
        <f t="shared" si="149"/>
        <v>337858.69999999995</v>
      </c>
      <c r="Z63" s="62">
        <f t="shared" si="149"/>
        <v>230734.05</v>
      </c>
      <c r="AA63" s="62">
        <f t="shared" si="149"/>
        <v>35567.9</v>
      </c>
      <c r="AB63" s="62">
        <f t="shared" si="149"/>
        <v>0</v>
      </c>
      <c r="AC63" s="62">
        <f t="shared" si="149"/>
        <v>49230.55</v>
      </c>
      <c r="AD63" s="62">
        <f t="shared" si="149"/>
        <v>0</v>
      </c>
      <c r="AE63" s="62">
        <f t="shared" si="149"/>
        <v>315532.5</v>
      </c>
      <c r="AF63" s="62">
        <f t="shared" si="149"/>
        <v>0</v>
      </c>
      <c r="AG63" s="62">
        <f t="shared" si="149"/>
        <v>11896.7</v>
      </c>
      <c r="AH63" s="62">
        <f t="shared" si="149"/>
        <v>0</v>
      </c>
      <c r="AI63" s="62">
        <f t="shared" si="149"/>
        <v>69736.27</v>
      </c>
      <c r="AJ63" s="62">
        <f t="shared" si="149"/>
        <v>0</v>
      </c>
      <c r="AK63" s="62">
        <f t="shared" si="149"/>
        <v>2427</v>
      </c>
      <c r="AL63" s="62">
        <f t="shared" si="149"/>
        <v>0</v>
      </c>
      <c r="AM63" s="62">
        <f t="shared" si="149"/>
        <v>0</v>
      </c>
      <c r="AN63" s="62">
        <f t="shared" si="149"/>
        <v>0</v>
      </c>
      <c r="AO63" s="62">
        <f t="shared" si="149"/>
        <v>0</v>
      </c>
      <c r="AP63" s="62">
        <f t="shared" si="149"/>
        <v>0</v>
      </c>
      <c r="AQ63" s="62">
        <f t="shared" si="149"/>
        <v>0</v>
      </c>
      <c r="AR63" s="62">
        <f t="shared" si="149"/>
        <v>0</v>
      </c>
      <c r="AS63" s="62">
        <f t="shared" si="149"/>
        <v>0</v>
      </c>
      <c r="AT63" s="62">
        <f t="shared" si="149"/>
        <v>0</v>
      </c>
      <c r="AU63" s="62">
        <f t="shared" si="149"/>
        <v>399592.4700000001</v>
      </c>
      <c r="AV63" s="62">
        <f t="shared" si="149"/>
        <v>64600.12</v>
      </c>
      <c r="AW63" s="62">
        <f t="shared" si="149"/>
        <v>2866.35</v>
      </c>
      <c r="AX63" s="62">
        <f t="shared" si="149"/>
        <v>-7.412381819449365E-11</v>
      </c>
      <c r="AY63" s="62">
        <f t="shared" si="149"/>
        <v>0</v>
      </c>
      <c r="AZ63" s="62">
        <f t="shared" si="149"/>
        <v>0</v>
      </c>
      <c r="BA63" s="62">
        <f t="shared" si="149"/>
        <v>0</v>
      </c>
      <c r="BB63" s="62">
        <f t="shared" si="149"/>
        <v>0</v>
      </c>
      <c r="BC63" s="62">
        <f t="shared" si="149"/>
        <v>0</v>
      </c>
      <c r="BD63" s="62">
        <f t="shared" si="149"/>
        <v>0</v>
      </c>
      <c r="BE63" s="62">
        <f t="shared" si="149"/>
        <v>0</v>
      </c>
      <c r="BF63" s="62">
        <f t="shared" si="149"/>
        <v>0</v>
      </c>
      <c r="BG63" s="62">
        <f t="shared" si="149"/>
        <v>0</v>
      </c>
      <c r="BH63" s="62">
        <f t="shared" si="149"/>
        <v>0</v>
      </c>
      <c r="BI63" s="62">
        <f t="shared" si="149"/>
        <v>0</v>
      </c>
      <c r="BJ63" s="62">
        <f t="shared" si="149"/>
        <v>0</v>
      </c>
      <c r="BK63" s="62">
        <f t="shared" si="149"/>
        <v>0</v>
      </c>
      <c r="BL63" s="62">
        <f t="shared" si="149"/>
        <v>0</v>
      </c>
      <c r="BM63" s="62">
        <f t="shared" si="149"/>
        <v>0</v>
      </c>
      <c r="BN63" s="62">
        <f t="shared" si="149"/>
        <v>0</v>
      </c>
      <c r="BO63" s="62">
        <f aca="true" t="shared" si="150" ref="BO63:CI63">BO7+BO8+BO17</f>
        <v>0</v>
      </c>
      <c r="BP63" s="62">
        <f t="shared" si="150"/>
        <v>0</v>
      </c>
      <c r="BQ63" s="62">
        <f t="shared" si="150"/>
        <v>0</v>
      </c>
      <c r="BR63" s="62">
        <f t="shared" si="150"/>
        <v>0</v>
      </c>
      <c r="BS63" s="62">
        <f t="shared" si="150"/>
        <v>0</v>
      </c>
      <c r="BT63" s="62">
        <f t="shared" si="150"/>
        <v>746170.52</v>
      </c>
      <c r="BU63" s="62">
        <f t="shared" si="150"/>
        <v>0</v>
      </c>
      <c r="BV63" s="62">
        <f t="shared" si="150"/>
        <v>0</v>
      </c>
      <c r="BW63" s="62">
        <f t="shared" si="150"/>
        <v>0</v>
      </c>
      <c r="BX63" s="62">
        <f t="shared" si="150"/>
        <v>746170.52</v>
      </c>
      <c r="BY63" s="62">
        <f t="shared" si="150"/>
        <v>143124.85</v>
      </c>
      <c r="BZ63" s="62">
        <f t="shared" si="150"/>
        <v>0</v>
      </c>
      <c r="CA63" s="62">
        <f t="shared" si="150"/>
        <v>603045.67</v>
      </c>
      <c r="CB63" s="62">
        <f t="shared" si="150"/>
        <v>746170.52</v>
      </c>
      <c r="CC63" s="62">
        <f t="shared" si="150"/>
        <v>0</v>
      </c>
      <c r="CD63" s="62">
        <f t="shared" si="150"/>
        <v>61733.770000000004</v>
      </c>
      <c r="CE63" s="62">
        <f t="shared" si="150"/>
        <v>61733.770000000004</v>
      </c>
      <c r="CF63" s="62">
        <f t="shared" si="150"/>
        <v>0</v>
      </c>
      <c r="CG63" s="62">
        <f t="shared" si="150"/>
        <v>399592.4700000001</v>
      </c>
      <c r="CH63" s="62">
        <f t="shared" si="150"/>
        <v>-11896.7</v>
      </c>
      <c r="CI63" s="62">
        <f t="shared" si="150"/>
        <v>-11896.7</v>
      </c>
      <c r="CJ63" s="153" t="e">
        <f t="shared" si="116"/>
        <v>#DIV/0!</v>
      </c>
      <c r="CK63" s="153" t="e">
        <f t="shared" si="117"/>
        <v>#DIV/0!</v>
      </c>
      <c r="CL63" s="154">
        <f t="shared" si="118"/>
        <v>0.15449182513374185</v>
      </c>
      <c r="CM63" s="154">
        <f t="shared" si="119"/>
        <v>0.15449182513374185</v>
      </c>
      <c r="CN63" s="154">
        <f t="shared" si="120"/>
        <v>-0.029772082541995846</v>
      </c>
      <c r="CO63" s="154">
        <f t="shared" si="121"/>
        <v>-0.029772082541995846</v>
      </c>
      <c r="CP63" s="154" t="e">
        <f t="shared" si="122"/>
        <v>#DIV/0!</v>
      </c>
      <c r="CQ63" s="154" t="e">
        <f t="shared" si="123"/>
        <v>#DIV/0!</v>
      </c>
      <c r="CR63" s="155">
        <f t="shared" si="124"/>
        <v>9.76848927256508</v>
      </c>
      <c r="CS63" s="156">
        <f t="shared" si="125"/>
        <v>603045.67</v>
      </c>
      <c r="CT63" s="156">
        <f t="shared" si="126"/>
        <v>337858.69999999995</v>
      </c>
      <c r="CU63" s="156">
        <f t="shared" si="127"/>
        <v>399592.4700000001</v>
      </c>
      <c r="CV63" s="156">
        <f t="shared" si="128"/>
        <v>61733.770000000135</v>
      </c>
      <c r="CW63" s="156">
        <f t="shared" si="129"/>
        <v>0</v>
      </c>
      <c r="CX63" s="156">
        <f t="shared" si="130"/>
        <v>61733.770000000135</v>
      </c>
      <c r="CY63" s="156">
        <f t="shared" si="131"/>
        <v>61733.770000000135</v>
      </c>
      <c r="CZ63" s="156">
        <f t="shared" si="132"/>
        <v>0</v>
      </c>
      <c r="DA63" s="156">
        <f t="shared" si="133"/>
        <v>0</v>
      </c>
      <c r="DB63" s="156">
        <f t="shared" si="134"/>
        <v>61733.770000000135</v>
      </c>
      <c r="DC63" s="156">
        <f t="shared" si="135"/>
        <v>61733.770000000135</v>
      </c>
      <c r="DD63" s="156">
        <f t="shared" si="136"/>
        <v>0</v>
      </c>
      <c r="DE63" s="156">
        <f t="shared" si="137"/>
        <v>61733.770000000135</v>
      </c>
      <c r="DF63" s="156">
        <f t="shared" si="138"/>
        <v>266301.95</v>
      </c>
      <c r="DG63" s="156">
        <f t="shared" si="139"/>
        <v>324.74187937533657</v>
      </c>
      <c r="DH63" s="156">
        <f t="shared" si="140"/>
        <v>-6.406408185245019</v>
      </c>
      <c r="DI63" s="156">
        <f t="shared" si="141"/>
        <v>143.4043887991384</v>
      </c>
      <c r="DJ63" s="157">
        <f t="shared" si="142"/>
        <v>0</v>
      </c>
      <c r="DK63" s="156">
        <f t="shared" si="143"/>
        <v>33.243817985998994</v>
      </c>
      <c r="DL63" s="158">
        <f t="shared" si="144"/>
        <v>603045.67</v>
      </c>
    </row>
    <row r="64" spans="1:116" ht="12.75">
      <c r="A64" s="3" t="s">
        <v>246</v>
      </c>
      <c r="B64" s="62">
        <f>B3+B5+B6+B12+B13+B14+B15+B16+B18+B23+B28++B29+B30+B31</f>
        <v>9021</v>
      </c>
      <c r="C64" s="62">
        <f>C3+C5+C6+C12+C13+C14+C15+C16+C18+C23+C28++C29+C30+C31</f>
        <v>31798899</v>
      </c>
      <c r="D64" s="62">
        <f>(D3+D5+D6+D12+D13+D14+D15+D16+D18+D23+D28+D29+D30+D31)/14</f>
        <v>2966.777142857143</v>
      </c>
      <c r="E64" s="62">
        <f>(E3+E5+E6+E12+E13+E14+E15+E16+E18+E23+E28+E29+E30+E31)/14</f>
        <v>86.0407142857143</v>
      </c>
      <c r="F64" s="62">
        <f>(F3+F5+F6+F12+F13+F14+F15+F16+F18+F23+F28+F29+F30+F31)/14</f>
        <v>2.857142857142857</v>
      </c>
      <c r="G64" s="62">
        <f>G3+G5+G6+G12+G13+G14+G15+G16+G18+G23+G28+G29+G30+G31</f>
        <v>193824.55</v>
      </c>
      <c r="H64" s="62">
        <f aca="true" t="shared" si="151" ref="H64:BS64">H3+H5+H6+H12+H13+H14+H15+H16+H18+H23+H28+H29+H30+H31</f>
        <v>381039.45000000007</v>
      </c>
      <c r="I64" s="62">
        <f t="shared" si="151"/>
        <v>15095.2</v>
      </c>
      <c r="J64" s="62">
        <f t="shared" si="151"/>
        <v>0</v>
      </c>
      <c r="K64" s="62">
        <f t="shared" si="151"/>
        <v>5400</v>
      </c>
      <c r="L64" s="62">
        <f t="shared" si="151"/>
        <v>22600</v>
      </c>
      <c r="M64" s="62">
        <f t="shared" si="151"/>
        <v>28000</v>
      </c>
      <c r="N64" s="62">
        <f t="shared" si="151"/>
        <v>546878.9</v>
      </c>
      <c r="O64" s="62">
        <f t="shared" si="151"/>
        <v>37950.1</v>
      </c>
      <c r="P64" s="62">
        <f t="shared" si="151"/>
        <v>1380204.7000000002</v>
      </c>
      <c r="Q64" s="62">
        <f t="shared" si="151"/>
        <v>0</v>
      </c>
      <c r="R64" s="62">
        <f t="shared" si="151"/>
        <v>0</v>
      </c>
      <c r="S64" s="62">
        <f t="shared" si="151"/>
        <v>0</v>
      </c>
      <c r="T64" s="62">
        <f t="shared" si="151"/>
        <v>0</v>
      </c>
      <c r="U64" s="62">
        <f t="shared" si="151"/>
        <v>0</v>
      </c>
      <c r="V64" s="62">
        <f t="shared" si="151"/>
        <v>0</v>
      </c>
      <c r="W64" s="62">
        <f t="shared" si="151"/>
        <v>0</v>
      </c>
      <c r="X64" s="62">
        <f t="shared" si="151"/>
        <v>0</v>
      </c>
      <c r="Y64" s="62">
        <f t="shared" si="151"/>
        <v>2582992.9</v>
      </c>
      <c r="Z64" s="62">
        <f t="shared" si="151"/>
        <v>1440237.4000000001</v>
      </c>
      <c r="AA64" s="62">
        <f t="shared" si="151"/>
        <v>212237.15</v>
      </c>
      <c r="AB64" s="62">
        <f t="shared" si="151"/>
        <v>0</v>
      </c>
      <c r="AC64" s="62">
        <f t="shared" si="151"/>
        <v>252723.40000000002</v>
      </c>
      <c r="AD64" s="62">
        <f t="shared" si="151"/>
        <v>0</v>
      </c>
      <c r="AE64" s="62">
        <f t="shared" si="151"/>
        <v>1905197.9499999997</v>
      </c>
      <c r="AF64" s="62">
        <f t="shared" si="151"/>
        <v>0</v>
      </c>
      <c r="AG64" s="62">
        <f t="shared" si="151"/>
        <v>147824.25000000003</v>
      </c>
      <c r="AH64" s="62">
        <f t="shared" si="151"/>
        <v>0</v>
      </c>
      <c r="AI64" s="62">
        <f t="shared" si="151"/>
        <v>494845.44999999995</v>
      </c>
      <c r="AJ64" s="62">
        <f t="shared" si="151"/>
        <v>1252</v>
      </c>
      <c r="AK64" s="62">
        <f t="shared" si="151"/>
        <v>22652</v>
      </c>
      <c r="AL64" s="62">
        <f t="shared" si="151"/>
        <v>0</v>
      </c>
      <c r="AM64" s="62">
        <f t="shared" si="151"/>
        <v>0</v>
      </c>
      <c r="AN64" s="62">
        <f t="shared" si="151"/>
        <v>0</v>
      </c>
      <c r="AO64" s="62">
        <f t="shared" si="151"/>
        <v>0</v>
      </c>
      <c r="AP64" s="62">
        <f t="shared" si="151"/>
        <v>0</v>
      </c>
      <c r="AQ64" s="62">
        <f t="shared" si="151"/>
        <v>0</v>
      </c>
      <c r="AR64" s="62">
        <f t="shared" si="151"/>
        <v>0</v>
      </c>
      <c r="AS64" s="62">
        <f t="shared" si="151"/>
        <v>0</v>
      </c>
      <c r="AT64" s="62">
        <f t="shared" si="151"/>
        <v>0</v>
      </c>
      <c r="AU64" s="62">
        <f t="shared" si="151"/>
        <v>2571771.65</v>
      </c>
      <c r="AV64" s="62">
        <f t="shared" si="151"/>
        <v>249700.15</v>
      </c>
      <c r="AW64" s="62">
        <f t="shared" si="151"/>
        <v>260921.40000000002</v>
      </c>
      <c r="AX64" s="62">
        <f t="shared" si="151"/>
        <v>-7.867129170335829E-11</v>
      </c>
      <c r="AY64" s="62">
        <f t="shared" si="151"/>
        <v>0</v>
      </c>
      <c r="AZ64" s="62">
        <f t="shared" si="151"/>
        <v>0</v>
      </c>
      <c r="BA64" s="62">
        <f t="shared" si="151"/>
        <v>0</v>
      </c>
      <c r="BB64" s="62">
        <f t="shared" si="151"/>
        <v>0</v>
      </c>
      <c r="BC64" s="62">
        <f t="shared" si="151"/>
        <v>0</v>
      </c>
      <c r="BD64" s="62">
        <f t="shared" si="151"/>
        <v>0</v>
      </c>
      <c r="BE64" s="62">
        <f t="shared" si="151"/>
        <v>0</v>
      </c>
      <c r="BF64" s="62">
        <f t="shared" si="151"/>
        <v>0</v>
      </c>
      <c r="BG64" s="62">
        <f t="shared" si="151"/>
        <v>0</v>
      </c>
      <c r="BH64" s="62">
        <f t="shared" si="151"/>
        <v>0</v>
      </c>
      <c r="BI64" s="62">
        <f t="shared" si="151"/>
        <v>0</v>
      </c>
      <c r="BJ64" s="62">
        <f t="shared" si="151"/>
        <v>0</v>
      </c>
      <c r="BK64" s="62">
        <f t="shared" si="151"/>
        <v>0</v>
      </c>
      <c r="BL64" s="62">
        <f t="shared" si="151"/>
        <v>0</v>
      </c>
      <c r="BM64" s="62">
        <f t="shared" si="151"/>
        <v>0</v>
      </c>
      <c r="BN64" s="62">
        <f t="shared" si="151"/>
        <v>0</v>
      </c>
      <c r="BO64" s="62">
        <f t="shared" si="151"/>
        <v>0</v>
      </c>
      <c r="BP64" s="62">
        <f t="shared" si="151"/>
        <v>0</v>
      </c>
      <c r="BQ64" s="62">
        <f t="shared" si="151"/>
        <v>0</v>
      </c>
      <c r="BR64" s="62">
        <f t="shared" si="151"/>
        <v>0</v>
      </c>
      <c r="BS64" s="62">
        <f t="shared" si="151"/>
        <v>0</v>
      </c>
      <c r="BT64" s="62">
        <f aca="true" t="shared" si="152" ref="BT64:CI64">BT3+BT5+BT6+BT12+BT13+BT14+BT15+BT16+BT18+BT23+BT28+BT29+BT30+BT31</f>
        <v>4617173.210000001</v>
      </c>
      <c r="BU64" s="62">
        <f t="shared" si="152"/>
        <v>65000</v>
      </c>
      <c r="BV64" s="62">
        <f t="shared" si="152"/>
        <v>0</v>
      </c>
      <c r="BW64" s="62">
        <f t="shared" si="152"/>
        <v>0</v>
      </c>
      <c r="BX64" s="62">
        <f t="shared" si="152"/>
        <v>4682173.210000001</v>
      </c>
      <c r="BY64" s="62">
        <f t="shared" si="152"/>
        <v>1109905.9500000002</v>
      </c>
      <c r="BZ64" s="62">
        <f t="shared" si="152"/>
        <v>0</v>
      </c>
      <c r="CA64" s="62">
        <f t="shared" si="152"/>
        <v>3572267.26</v>
      </c>
      <c r="CB64" s="62">
        <f t="shared" si="152"/>
        <v>4682173.210000001</v>
      </c>
      <c r="CC64" s="62">
        <f t="shared" si="152"/>
        <v>0</v>
      </c>
      <c r="CD64" s="62">
        <f t="shared" si="152"/>
        <v>16778.749999999975</v>
      </c>
      <c r="CE64" s="62">
        <f t="shared" si="152"/>
        <v>16778.749999999975</v>
      </c>
      <c r="CF64" s="62">
        <f t="shared" si="152"/>
        <v>0</v>
      </c>
      <c r="CG64" s="62">
        <f t="shared" si="152"/>
        <v>2571771.65</v>
      </c>
      <c r="CH64" s="62">
        <f t="shared" si="152"/>
        <v>-132729.05000000005</v>
      </c>
      <c r="CI64" s="62">
        <f t="shared" si="152"/>
        <v>-127329.05000000003</v>
      </c>
      <c r="CJ64" s="153" t="e">
        <f t="shared" si="116"/>
        <v>#DIV/0!</v>
      </c>
      <c r="CK64" s="153" t="e">
        <f t="shared" si="117"/>
        <v>#DIV/0!</v>
      </c>
      <c r="CL64" s="154">
        <f t="shared" si="118"/>
        <v>0.006524198989439818</v>
      </c>
      <c r="CM64" s="154">
        <f t="shared" si="119"/>
        <v>0.006524198989439818</v>
      </c>
      <c r="CN64" s="154">
        <f t="shared" si="120"/>
        <v>-0.051609967004652244</v>
      </c>
      <c r="CO64" s="154">
        <f t="shared" si="121"/>
        <v>-0.049510247148108984</v>
      </c>
      <c r="CP64" s="154">
        <f t="shared" si="122"/>
        <v>0.3010752688172043</v>
      </c>
      <c r="CQ64" s="154">
        <f t="shared" si="123"/>
        <v>0.05806451612903226</v>
      </c>
      <c r="CR64" s="155">
        <f t="shared" si="124"/>
        <v>209.03030678685874</v>
      </c>
      <c r="CS64" s="156">
        <f t="shared" si="125"/>
        <v>3507267.2600000007</v>
      </c>
      <c r="CT64" s="156">
        <f t="shared" si="126"/>
        <v>2554992.9</v>
      </c>
      <c r="CU64" s="156">
        <f t="shared" si="127"/>
        <v>2571771.65</v>
      </c>
      <c r="CV64" s="156">
        <f t="shared" si="128"/>
        <v>16778.75</v>
      </c>
      <c r="CW64" s="156">
        <f t="shared" si="129"/>
        <v>0</v>
      </c>
      <c r="CX64" s="156">
        <f t="shared" si="130"/>
        <v>16778.75</v>
      </c>
      <c r="CY64" s="156">
        <f t="shared" si="131"/>
        <v>-11221.25</v>
      </c>
      <c r="CZ64" s="156">
        <f t="shared" si="132"/>
        <v>0</v>
      </c>
      <c r="DA64" s="156">
        <f t="shared" si="133"/>
        <v>28000</v>
      </c>
      <c r="DB64" s="156">
        <f t="shared" si="134"/>
        <v>16778.75</v>
      </c>
      <c r="DC64" s="156">
        <f t="shared" si="135"/>
        <v>16778.75</v>
      </c>
      <c r="DD64" s="156">
        <f t="shared" si="136"/>
        <v>-28000</v>
      </c>
      <c r="DE64" s="156">
        <f t="shared" si="137"/>
        <v>-11221.25</v>
      </c>
      <c r="DF64" s="156">
        <f t="shared" si="138"/>
        <v>1652474.55</v>
      </c>
      <c r="DG64" s="156">
        <f t="shared" si="139"/>
        <v>388.78918745150213</v>
      </c>
      <c r="DH64" s="156">
        <f t="shared" si="140"/>
        <v>-14.713341093005216</v>
      </c>
      <c r="DI64" s="156">
        <f t="shared" si="141"/>
        <v>183.1808613235783</v>
      </c>
      <c r="DJ64" s="157">
        <f t="shared" si="142"/>
        <v>0</v>
      </c>
      <c r="DK64" s="156">
        <f t="shared" si="143"/>
        <v>1.8599656357388317</v>
      </c>
      <c r="DL64" s="158">
        <f t="shared" si="144"/>
        <v>3507267.26</v>
      </c>
    </row>
    <row r="65" spans="1:116" ht="12.75">
      <c r="A65" s="3" t="s">
        <v>236</v>
      </c>
      <c r="B65" s="62">
        <f>SUM(B60:B64)</f>
        <v>38305</v>
      </c>
      <c r="C65" s="62">
        <f aca="true" t="shared" si="153" ref="C65:BN65">SUM(C60:C64)</f>
        <v>132077817</v>
      </c>
      <c r="D65" s="62">
        <f>MEDIAN(D60:D64)</f>
        <v>2966.777142857143</v>
      </c>
      <c r="E65" s="62">
        <f>MEDIAN(E60:E64)</f>
        <v>86.0407142857143</v>
      </c>
      <c r="F65" s="62">
        <f>MEDIAN(F60:F64)</f>
        <v>2.857142857142857</v>
      </c>
      <c r="G65" s="62">
        <f t="shared" si="153"/>
        <v>831926.2999999998</v>
      </c>
      <c r="H65" s="62">
        <f t="shared" si="153"/>
        <v>537743.41</v>
      </c>
      <c r="I65" s="62">
        <f t="shared" si="153"/>
        <v>46335.55</v>
      </c>
      <c r="J65" s="62">
        <f t="shared" si="153"/>
        <v>64373.29999999999</v>
      </c>
      <c r="K65" s="62">
        <f t="shared" si="153"/>
        <v>7200</v>
      </c>
      <c r="L65" s="62">
        <f t="shared" si="153"/>
        <v>22600</v>
      </c>
      <c r="M65" s="62">
        <f t="shared" si="153"/>
        <v>29800</v>
      </c>
      <c r="N65" s="62">
        <f t="shared" si="153"/>
        <v>546878.9</v>
      </c>
      <c r="O65" s="62">
        <f t="shared" si="153"/>
        <v>122081.79999999999</v>
      </c>
      <c r="P65" s="62">
        <f t="shared" si="153"/>
        <v>10834965.600000001</v>
      </c>
      <c r="Q65" s="62">
        <f t="shared" si="153"/>
        <v>0</v>
      </c>
      <c r="R65" s="62">
        <f t="shared" si="153"/>
        <v>0</v>
      </c>
      <c r="S65" s="62">
        <f t="shared" si="153"/>
        <v>0</v>
      </c>
      <c r="T65" s="62">
        <f t="shared" si="153"/>
        <v>0</v>
      </c>
      <c r="U65" s="62">
        <f t="shared" si="153"/>
        <v>0</v>
      </c>
      <c r="V65" s="62">
        <f t="shared" si="153"/>
        <v>0</v>
      </c>
      <c r="W65" s="62">
        <f t="shared" si="153"/>
        <v>0</v>
      </c>
      <c r="X65" s="62">
        <f t="shared" si="153"/>
        <v>8500</v>
      </c>
      <c r="Y65" s="62">
        <f t="shared" si="153"/>
        <v>13022604.86</v>
      </c>
      <c r="Z65" s="62">
        <f t="shared" si="153"/>
        <v>5737213.100000001</v>
      </c>
      <c r="AA65" s="62">
        <f t="shared" si="153"/>
        <v>768256.55</v>
      </c>
      <c r="AB65" s="62">
        <f t="shared" si="153"/>
        <v>210400.7</v>
      </c>
      <c r="AC65" s="62">
        <f t="shared" si="153"/>
        <v>963199.8</v>
      </c>
      <c r="AD65" s="62">
        <f t="shared" si="153"/>
        <v>0</v>
      </c>
      <c r="AE65" s="62">
        <f t="shared" si="153"/>
        <v>7679070.15</v>
      </c>
      <c r="AF65" s="62">
        <f t="shared" si="153"/>
        <v>0</v>
      </c>
      <c r="AG65" s="62">
        <f t="shared" si="153"/>
        <v>344865.16000000003</v>
      </c>
      <c r="AH65" s="62">
        <f t="shared" si="153"/>
        <v>20412</v>
      </c>
      <c r="AI65" s="62">
        <f t="shared" si="153"/>
        <v>4728635.92</v>
      </c>
      <c r="AJ65" s="62">
        <f t="shared" si="153"/>
        <v>3551.85</v>
      </c>
      <c r="AK65" s="62">
        <f t="shared" si="153"/>
        <v>143853.75</v>
      </c>
      <c r="AL65" s="62">
        <f t="shared" si="153"/>
        <v>0</v>
      </c>
      <c r="AM65" s="62">
        <f t="shared" si="153"/>
        <v>0</v>
      </c>
      <c r="AN65" s="62">
        <f t="shared" si="153"/>
        <v>0</v>
      </c>
      <c r="AO65" s="62">
        <f t="shared" si="153"/>
        <v>0</v>
      </c>
      <c r="AP65" s="62">
        <f t="shared" si="153"/>
        <v>0</v>
      </c>
      <c r="AQ65" s="62">
        <f t="shared" si="153"/>
        <v>0</v>
      </c>
      <c r="AR65" s="62">
        <f t="shared" si="153"/>
        <v>0</v>
      </c>
      <c r="AS65" s="62">
        <f t="shared" si="153"/>
        <v>0</v>
      </c>
      <c r="AT65" s="62">
        <f t="shared" si="153"/>
        <v>8650</v>
      </c>
      <c r="AU65" s="62">
        <f t="shared" si="153"/>
        <v>12908626.830000002</v>
      </c>
      <c r="AV65" s="62">
        <f t="shared" si="153"/>
        <v>587232.19</v>
      </c>
      <c r="AW65" s="62">
        <f t="shared" si="153"/>
        <v>701210.22</v>
      </c>
      <c r="AX65" s="62">
        <f t="shared" si="153"/>
        <v>5.820766091346741E-11</v>
      </c>
      <c r="AY65" s="62">
        <f t="shared" si="153"/>
        <v>1148.85</v>
      </c>
      <c r="AZ65" s="62">
        <f t="shared" si="153"/>
        <v>0</v>
      </c>
      <c r="BA65" s="62">
        <f t="shared" si="153"/>
        <v>0</v>
      </c>
      <c r="BB65" s="62">
        <f t="shared" si="153"/>
        <v>0</v>
      </c>
      <c r="BC65" s="62">
        <f t="shared" si="153"/>
        <v>0</v>
      </c>
      <c r="BD65" s="62">
        <f t="shared" si="153"/>
        <v>0</v>
      </c>
      <c r="BE65" s="62">
        <f t="shared" si="153"/>
        <v>0</v>
      </c>
      <c r="BF65" s="62">
        <f t="shared" si="153"/>
        <v>0</v>
      </c>
      <c r="BG65" s="62">
        <f t="shared" si="153"/>
        <v>0</v>
      </c>
      <c r="BH65" s="62">
        <f t="shared" si="153"/>
        <v>0</v>
      </c>
      <c r="BI65" s="62">
        <f t="shared" si="153"/>
        <v>0</v>
      </c>
      <c r="BJ65" s="62">
        <f t="shared" si="153"/>
        <v>0</v>
      </c>
      <c r="BK65" s="62">
        <f t="shared" si="153"/>
        <v>0</v>
      </c>
      <c r="BL65" s="62">
        <f t="shared" si="153"/>
        <v>0</v>
      </c>
      <c r="BM65" s="62">
        <f t="shared" si="153"/>
        <v>0</v>
      </c>
      <c r="BN65" s="62">
        <f t="shared" si="153"/>
        <v>0</v>
      </c>
      <c r="BO65" s="62">
        <f aca="true" t="shared" si="154" ref="BO65:CI65">SUM(BO60:BO64)</f>
        <v>0</v>
      </c>
      <c r="BP65" s="62">
        <f t="shared" si="154"/>
        <v>0</v>
      </c>
      <c r="BQ65" s="62">
        <f t="shared" si="154"/>
        <v>0</v>
      </c>
      <c r="BR65" s="62">
        <f t="shared" si="154"/>
        <v>0</v>
      </c>
      <c r="BS65" s="62">
        <f t="shared" si="154"/>
        <v>0</v>
      </c>
      <c r="BT65" s="62">
        <f t="shared" si="154"/>
        <v>15628243.280000001</v>
      </c>
      <c r="BU65" s="62">
        <f t="shared" si="154"/>
        <v>73576</v>
      </c>
      <c r="BV65" s="62">
        <f t="shared" si="154"/>
        <v>0</v>
      </c>
      <c r="BW65" s="62">
        <f t="shared" si="154"/>
        <v>274174.11</v>
      </c>
      <c r="BX65" s="62">
        <f t="shared" si="154"/>
        <v>15975993.39</v>
      </c>
      <c r="BY65" s="62">
        <f t="shared" si="154"/>
        <v>4145250.8800000004</v>
      </c>
      <c r="BZ65" s="62">
        <f t="shared" si="154"/>
        <v>30000</v>
      </c>
      <c r="CA65" s="62">
        <f t="shared" si="154"/>
        <v>11800742.51</v>
      </c>
      <c r="CB65" s="62">
        <f t="shared" si="154"/>
        <v>15975993.390000002</v>
      </c>
      <c r="CC65" s="62">
        <f t="shared" si="154"/>
        <v>0</v>
      </c>
      <c r="CD65" s="62">
        <f t="shared" si="154"/>
        <v>-84178.03000000004</v>
      </c>
      <c r="CE65" s="62">
        <f t="shared" si="154"/>
        <v>-84178.03000000004</v>
      </c>
      <c r="CF65" s="62">
        <f t="shared" si="154"/>
        <v>0</v>
      </c>
      <c r="CG65" s="62">
        <f t="shared" si="154"/>
        <v>12899976.830000002</v>
      </c>
      <c r="CH65" s="62">
        <f t="shared" si="154"/>
        <v>-276968.76000000007</v>
      </c>
      <c r="CI65" s="62">
        <f t="shared" si="154"/>
        <v>-269768.76000000007</v>
      </c>
      <c r="CJ65" s="153" t="e">
        <f t="shared" si="116"/>
        <v>#DIV/0!</v>
      </c>
      <c r="CK65" s="153" t="e">
        <f t="shared" si="117"/>
        <v>#DIV/0!</v>
      </c>
      <c r="CL65" s="154">
        <f t="shared" si="118"/>
        <v>-0.006525440402670865</v>
      </c>
      <c r="CM65" s="154">
        <f t="shared" si="119"/>
        <v>-0.006525440402670865</v>
      </c>
      <c r="CN65" s="154">
        <f t="shared" si="120"/>
        <v>-0.02147048507528211</v>
      </c>
      <c r="CO65" s="154">
        <f t="shared" si="121"/>
        <v>-0.02091234453790876</v>
      </c>
      <c r="CP65" s="154">
        <f t="shared" si="122"/>
        <v>0.2882680699582108</v>
      </c>
      <c r="CQ65" s="154">
        <f t="shared" si="123"/>
        <v>0.06964866119795697</v>
      </c>
      <c r="CR65" s="155">
        <f t="shared" si="124"/>
        <v>-136.4131757419364</v>
      </c>
      <c r="CS65" s="156">
        <f t="shared" si="125"/>
        <v>11482992.4</v>
      </c>
      <c r="CT65" s="156">
        <f t="shared" si="126"/>
        <v>12992804.86</v>
      </c>
      <c r="CU65" s="156">
        <f t="shared" si="127"/>
        <v>12908626.830000002</v>
      </c>
      <c r="CV65" s="156">
        <f t="shared" si="128"/>
        <v>-84178.02999999747</v>
      </c>
      <c r="CW65" s="156">
        <f t="shared" si="129"/>
        <v>0</v>
      </c>
      <c r="CX65" s="156">
        <f t="shared" si="130"/>
        <v>-84178.02999999747</v>
      </c>
      <c r="CY65" s="156">
        <f t="shared" si="131"/>
        <v>-113978.02999999747</v>
      </c>
      <c r="CZ65" s="156">
        <f t="shared" si="132"/>
        <v>0</v>
      </c>
      <c r="DA65" s="156">
        <f t="shared" si="133"/>
        <v>29800</v>
      </c>
      <c r="DB65" s="156">
        <f t="shared" si="134"/>
        <v>-84178.02999999747</v>
      </c>
      <c r="DC65" s="156">
        <f t="shared" si="135"/>
        <v>-84178.02999999747</v>
      </c>
      <c r="DD65" s="156">
        <f t="shared" si="136"/>
        <v>-29800</v>
      </c>
      <c r="DE65" s="156">
        <f t="shared" si="137"/>
        <v>-113978.02999999747</v>
      </c>
      <c r="DF65" s="156">
        <f t="shared" si="138"/>
        <v>6715870.350000001</v>
      </c>
      <c r="DG65" s="156">
        <f t="shared" si="139"/>
        <v>299.77789844667797</v>
      </c>
      <c r="DH65" s="156">
        <f t="shared" si="140"/>
        <v>-7.230616368620287</v>
      </c>
      <c r="DI65" s="156">
        <f t="shared" si="141"/>
        <v>175.3262067615194</v>
      </c>
      <c r="DJ65" s="157">
        <f t="shared" si="142"/>
        <v>0</v>
      </c>
      <c r="DK65" s="156">
        <f t="shared" si="143"/>
        <v>-2.1975729017098935</v>
      </c>
      <c r="DL65" s="158">
        <f t="shared" si="144"/>
        <v>11452992.4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2000</oddHeader>
    <oddFooter>&amp;L&amp;8BHP Bern&amp;R&amp;8&amp;F/&amp;A/&amp;Pvon &amp;N</oddFooter>
  </headerFooter>
  <colBreaks count="2" manualBreakCount="2">
    <brk id="71" max="65535" man="1"/>
    <brk id="8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11"/>
  <dimension ref="A1:DO65"/>
  <sheetViews>
    <sheetView workbookViewId="0" topLeftCell="A1">
      <pane xSplit="6" ySplit="2" topLeftCell="DA3" activePane="bottomRight" state="frozen"/>
      <selection pane="topLeft" activeCell="N5" sqref="N5"/>
      <selection pane="topRight" activeCell="N5" sqref="N5"/>
      <selection pane="bottomLeft" activeCell="N5" sqref="N5"/>
      <selection pane="bottomRight" activeCell="DC2" sqref="DC2:DC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48"/>
      <c r="B1" s="23" t="s">
        <v>73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137</v>
      </c>
      <c r="BG1" s="21"/>
      <c r="BH1" s="21"/>
      <c r="BI1" s="21"/>
      <c r="BJ1" s="21"/>
      <c r="BK1" s="21"/>
      <c r="BL1" s="21" t="s">
        <v>137</v>
      </c>
      <c r="BM1" s="21"/>
      <c r="BN1" s="21"/>
      <c r="BO1" s="21"/>
      <c r="BP1" s="21"/>
      <c r="BQ1" s="21" t="s">
        <v>137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</row>
    <row r="2" spans="1:118" s="1" customFormat="1" ht="89.25" customHeight="1">
      <c r="A2" s="49"/>
      <c r="B2" s="45" t="s">
        <v>74</v>
      </c>
      <c r="C2" s="20" t="s">
        <v>37</v>
      </c>
      <c r="D2" s="56" t="s">
        <v>68</v>
      </c>
      <c r="E2" s="20" t="s">
        <v>52</v>
      </c>
      <c r="F2" s="133" t="s">
        <v>248</v>
      </c>
      <c r="G2" s="128" t="s">
        <v>75</v>
      </c>
      <c r="H2" s="54" t="s">
        <v>76</v>
      </c>
      <c r="I2" s="54" t="s">
        <v>77</v>
      </c>
      <c r="J2" s="54" t="s">
        <v>78</v>
      </c>
      <c r="K2" s="54" t="s">
        <v>79</v>
      </c>
      <c r="L2" s="54" t="s">
        <v>80</v>
      </c>
      <c r="M2" s="54" t="s">
        <v>81</v>
      </c>
      <c r="N2" s="54" t="s">
        <v>82</v>
      </c>
      <c r="O2" s="54" t="s">
        <v>83</v>
      </c>
      <c r="P2" s="54" t="s">
        <v>84</v>
      </c>
      <c r="Q2" s="54" t="s">
        <v>85</v>
      </c>
      <c r="R2" s="54" t="s">
        <v>86</v>
      </c>
      <c r="S2" s="54" t="s">
        <v>87</v>
      </c>
      <c r="T2" s="54" t="s">
        <v>88</v>
      </c>
      <c r="U2" s="54" t="s">
        <v>89</v>
      </c>
      <c r="V2" s="54" t="s">
        <v>90</v>
      </c>
      <c r="W2" s="54" t="s">
        <v>91</v>
      </c>
      <c r="X2" s="54" t="s">
        <v>92</v>
      </c>
      <c r="Y2" s="54" t="s">
        <v>93</v>
      </c>
      <c r="Z2" s="54" t="s">
        <v>94</v>
      </c>
      <c r="AA2" s="54" t="s">
        <v>95</v>
      </c>
      <c r="AB2" s="54" t="s">
        <v>96</v>
      </c>
      <c r="AC2" s="54" t="s">
        <v>213</v>
      </c>
      <c r="AD2" s="54" t="s">
        <v>97</v>
      </c>
      <c r="AE2" s="54" t="s">
        <v>98</v>
      </c>
      <c r="AF2" s="54" t="s">
        <v>99</v>
      </c>
      <c r="AG2" s="54" t="s">
        <v>100</v>
      </c>
      <c r="AH2" s="54" t="s">
        <v>101</v>
      </c>
      <c r="AI2" s="54" t="s">
        <v>102</v>
      </c>
      <c r="AJ2" s="54" t="s">
        <v>103</v>
      </c>
      <c r="AK2" s="54" t="s">
        <v>104</v>
      </c>
      <c r="AL2" s="54" t="s">
        <v>105</v>
      </c>
      <c r="AM2" s="54" t="s">
        <v>106</v>
      </c>
      <c r="AN2" s="36" t="s">
        <v>107</v>
      </c>
      <c r="AO2" s="36" t="s">
        <v>108</v>
      </c>
      <c r="AP2" s="36" t="s">
        <v>109</v>
      </c>
      <c r="AQ2" s="36" t="s">
        <v>110</v>
      </c>
      <c r="AR2" s="36" t="s">
        <v>111</v>
      </c>
      <c r="AS2" s="36" t="s">
        <v>112</v>
      </c>
      <c r="AT2" s="36" t="s">
        <v>113</v>
      </c>
      <c r="AU2" s="36" t="s">
        <v>114</v>
      </c>
      <c r="AV2" s="36" t="s">
        <v>115</v>
      </c>
      <c r="AW2" s="36" t="s">
        <v>116</v>
      </c>
      <c r="AX2" s="36" t="s">
        <v>117</v>
      </c>
      <c r="AY2" s="54" t="s">
        <v>138</v>
      </c>
      <c r="AZ2" s="54" t="s">
        <v>118</v>
      </c>
      <c r="BA2" s="54" t="s">
        <v>119</v>
      </c>
      <c r="BB2" s="54" t="s">
        <v>120</v>
      </c>
      <c r="BC2" s="54" t="s">
        <v>121</v>
      </c>
      <c r="BD2" s="54" t="s">
        <v>122</v>
      </c>
      <c r="BE2" s="54" t="s">
        <v>123</v>
      </c>
      <c r="BF2" s="54" t="s">
        <v>124</v>
      </c>
      <c r="BG2" s="54" t="s">
        <v>125</v>
      </c>
      <c r="BH2" s="54" t="s">
        <v>126</v>
      </c>
      <c r="BI2" s="54" t="s">
        <v>127</v>
      </c>
      <c r="BJ2" s="54" t="s">
        <v>128</v>
      </c>
      <c r="BK2" s="54" t="s">
        <v>129</v>
      </c>
      <c r="BL2" s="54" t="s">
        <v>131</v>
      </c>
      <c r="BM2" s="54" t="s">
        <v>130</v>
      </c>
      <c r="BN2" s="54" t="s">
        <v>132</v>
      </c>
      <c r="BO2" s="54" t="s">
        <v>133</v>
      </c>
      <c r="BP2" s="54" t="s">
        <v>134</v>
      </c>
      <c r="BQ2" s="54" t="s">
        <v>135</v>
      </c>
      <c r="BR2" s="54" t="s">
        <v>136</v>
      </c>
      <c r="BS2" s="54" t="s">
        <v>117</v>
      </c>
      <c r="BT2" s="36" t="s">
        <v>139</v>
      </c>
      <c r="BU2" s="36" t="s">
        <v>140</v>
      </c>
      <c r="BV2" s="36" t="s">
        <v>145</v>
      </c>
      <c r="BW2" s="36" t="s">
        <v>141</v>
      </c>
      <c r="BX2" s="36" t="s">
        <v>142</v>
      </c>
      <c r="BY2" s="36" t="s">
        <v>143</v>
      </c>
      <c r="BZ2" s="36" t="s">
        <v>144</v>
      </c>
      <c r="CA2" s="36" t="s">
        <v>146</v>
      </c>
      <c r="CB2" s="36" t="s">
        <v>147</v>
      </c>
      <c r="CC2" s="36" t="s">
        <v>117</v>
      </c>
      <c r="CD2" s="129" t="s">
        <v>148</v>
      </c>
      <c r="CE2" s="129" t="s">
        <v>149</v>
      </c>
      <c r="CF2" s="129" t="s">
        <v>60</v>
      </c>
      <c r="CG2" s="129" t="s">
        <v>150</v>
      </c>
      <c r="CH2" s="129" t="s">
        <v>151</v>
      </c>
      <c r="CI2" s="129" t="s">
        <v>152</v>
      </c>
      <c r="CJ2" s="129" t="s">
        <v>46</v>
      </c>
      <c r="CK2" s="129" t="s">
        <v>237</v>
      </c>
      <c r="CL2" s="129" t="s">
        <v>45</v>
      </c>
      <c r="CM2" s="129" t="s">
        <v>69</v>
      </c>
      <c r="CN2" s="129" t="s">
        <v>43</v>
      </c>
      <c r="CO2" s="129" t="s">
        <v>44</v>
      </c>
      <c r="CP2" s="129" t="s">
        <v>153</v>
      </c>
      <c r="CQ2" s="129" t="s">
        <v>155</v>
      </c>
      <c r="CR2" s="129" t="s">
        <v>154</v>
      </c>
      <c r="CS2" s="129" t="s">
        <v>160</v>
      </c>
      <c r="CT2" s="129" t="s">
        <v>163</v>
      </c>
      <c r="CU2" s="129" t="s">
        <v>164</v>
      </c>
      <c r="CV2" s="129" t="s">
        <v>162</v>
      </c>
      <c r="CW2" s="129" t="s">
        <v>166</v>
      </c>
      <c r="CX2" s="129" t="s">
        <v>148</v>
      </c>
      <c r="CY2" s="129" t="s">
        <v>167</v>
      </c>
      <c r="CZ2" s="129" t="s">
        <v>172</v>
      </c>
      <c r="DA2" s="129" t="s">
        <v>177</v>
      </c>
      <c r="DB2" s="129" t="s">
        <v>178</v>
      </c>
      <c r="DC2" s="129" t="s">
        <v>251</v>
      </c>
      <c r="DD2" s="129" t="s">
        <v>180</v>
      </c>
      <c r="DE2" s="129" t="s">
        <v>183</v>
      </c>
      <c r="DF2" s="129" t="s">
        <v>189</v>
      </c>
      <c r="DG2" s="129" t="s">
        <v>197</v>
      </c>
      <c r="DH2" s="129" t="s">
        <v>193</v>
      </c>
      <c r="DI2" s="129" t="s">
        <v>194</v>
      </c>
      <c r="DJ2" s="129" t="s">
        <v>195</v>
      </c>
      <c r="DK2" s="129" t="s">
        <v>198</v>
      </c>
      <c r="DL2" s="129" t="s">
        <v>239</v>
      </c>
      <c r="DM2" s="129"/>
      <c r="DN2" s="130"/>
    </row>
    <row r="3" spans="1:118" s="5" customFormat="1" ht="12.75" customHeight="1">
      <c r="A3" s="50" t="s">
        <v>38</v>
      </c>
      <c r="B3" s="41">
        <v>172</v>
      </c>
      <c r="C3" s="6">
        <v>392011</v>
      </c>
      <c r="D3" s="63">
        <v>2279.13</v>
      </c>
      <c r="E3" s="63">
        <v>68.71</v>
      </c>
      <c r="F3" s="125">
        <v>2</v>
      </c>
      <c r="G3" s="131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f aca="true" t="shared" si="0" ref="M3:M31">SUM(K3:L3)</f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0</v>
      </c>
      <c r="X3" s="43">
        <v>0</v>
      </c>
      <c r="Y3" s="43">
        <f aca="true" t="shared" si="2" ref="Y3:Y14">SUM(G3:X3)-M3-W3</f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f aca="true" t="shared" si="3" ref="AE3:AE14">SUM(Z3:AD3)</f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3">
        <v>0</v>
      </c>
      <c r="AZ3" s="43">
        <v>0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0</v>
      </c>
      <c r="BG3" s="43">
        <v>0</v>
      </c>
      <c r="BH3" s="43">
        <v>0</v>
      </c>
      <c r="BI3" s="43">
        <v>0</v>
      </c>
      <c r="BJ3" s="43">
        <v>0</v>
      </c>
      <c r="BK3" s="43">
        <v>0</v>
      </c>
      <c r="BL3" s="43">
        <v>0</v>
      </c>
      <c r="BM3" s="43">
        <v>0</v>
      </c>
      <c r="BN3" s="43">
        <v>0</v>
      </c>
      <c r="BO3" s="43">
        <f aca="true" t="shared" si="8" ref="BO3:BO14">SUM(BG3:BN3)</f>
        <v>0</v>
      </c>
      <c r="BP3" s="43">
        <v>0</v>
      </c>
      <c r="BQ3" s="43">
        <v>0</v>
      </c>
      <c r="BR3" s="43">
        <v>0</v>
      </c>
      <c r="BS3" s="43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74">
        <f aca="true" t="shared" si="13" ref="CD3:CD14">K3+L3+AV3-AW3</f>
        <v>0</v>
      </c>
      <c r="CE3" s="76">
        <f aca="true" t="shared" si="14" ref="CE3:CE14">CD3+W3-AS3</f>
        <v>0</v>
      </c>
      <c r="CF3" s="76">
        <f aca="true" t="shared" si="15" ref="CF3:CF14">BR3-BP3</f>
        <v>0</v>
      </c>
      <c r="CG3" s="76">
        <f aca="true" t="shared" si="16" ref="CG3:CG10">AU3-AM3-AT3-AS3</f>
        <v>0</v>
      </c>
      <c r="CH3" s="76">
        <f aca="true" t="shared" si="17" ref="CH3:CH14">I3-AG3+AY3+AH3+BQ3</f>
        <v>0</v>
      </c>
      <c r="CI3" s="37">
        <f aca="true" t="shared" si="18" ref="CI3:CI14">CH3+K3</f>
        <v>0</v>
      </c>
      <c r="CJ3" s="59" t="str">
        <f>IF(CF3=0,"-",(CD3/CF3))</f>
        <v>-</v>
      </c>
      <c r="CK3" s="59" t="str">
        <f>IF(CF3=0,"-",(CE3/CF3))</f>
        <v>-</v>
      </c>
      <c r="CL3" s="141" t="str">
        <f>IF(CG3=0,"-",(CD3/CG3*1))</f>
        <v>-</v>
      </c>
      <c r="CM3" s="141" t="str">
        <f>IF(CE3=0,"-",(CE3/CG3))</f>
        <v>-</v>
      </c>
      <c r="CN3" s="141" t="str">
        <f>IF(CG3=0,"-",(CH3/CG3))</f>
        <v>-</v>
      </c>
      <c r="CO3" s="141" t="str">
        <f>IF(CG3=0,"-",(CI3/CG3))</f>
        <v>-</v>
      </c>
      <c r="CP3" s="141" t="str">
        <f>IF(BU3+K3+L3=0,"-",((K3+L3)/(BU3+K3+L3)))</f>
        <v>-</v>
      </c>
      <c r="CQ3" s="141" t="str">
        <f>IF(BU3+K3+L3=0,"-",((K3)/(BU3+K3+L3)))</f>
        <v>-</v>
      </c>
      <c r="CR3" s="142" t="str">
        <f>IF(CE3=0,"-",(CS3/CE3))</f>
        <v>-</v>
      </c>
      <c r="CS3" s="76">
        <f>BT3-BY3</f>
        <v>0</v>
      </c>
      <c r="CT3" s="80">
        <f aca="true" t="shared" si="19" ref="CT3:CT14">Y3-K3-L3-V3</f>
        <v>0</v>
      </c>
      <c r="CU3" s="80">
        <f aca="true" t="shared" si="20" ref="CU3:CU14">AU3-AR3</f>
        <v>0</v>
      </c>
      <c r="CV3" s="80">
        <f aca="true" t="shared" si="21" ref="CV3:CV14">CU3-CT3</f>
        <v>0</v>
      </c>
      <c r="CW3" s="80">
        <f aca="true" t="shared" si="22" ref="CW3:CW14">-V3+AR3</f>
        <v>0</v>
      </c>
      <c r="CX3" s="80">
        <f aca="true" t="shared" si="23" ref="CX3:CX14">CV3+CW3</f>
        <v>0</v>
      </c>
      <c r="CY3" s="80">
        <f aca="true" t="shared" si="24" ref="CY3:CY14">CX3-K3-L3</f>
        <v>0</v>
      </c>
      <c r="CZ3" s="80">
        <f aca="true" t="shared" si="25" ref="CZ3:CZ14">BR3-BP3</f>
        <v>0</v>
      </c>
      <c r="DA3" s="80">
        <f aca="true" t="shared" si="26" ref="DA3:DA14">K3+L3</f>
        <v>0</v>
      </c>
      <c r="DB3" s="80">
        <f aca="true" t="shared" si="27" ref="DB3:DB14">-CZ3+DA3+CY3</f>
        <v>0</v>
      </c>
      <c r="DC3" s="80">
        <f>-CZ3+DA3+CY3+W3-AS3</f>
        <v>0</v>
      </c>
      <c r="DD3" s="80">
        <f aca="true" t="shared" si="28" ref="DD3:DD14">-BP3-DA3</f>
        <v>0</v>
      </c>
      <c r="DE3" s="80">
        <f aca="true" t="shared" si="29" ref="DE3:DE14">DB3+DD3+BR3</f>
        <v>0</v>
      </c>
      <c r="DF3" s="80">
        <f aca="true" t="shared" si="30" ref="DF3:DF14">Z3+AA3+AB3</f>
        <v>0</v>
      </c>
      <c r="DG3" s="80">
        <f aca="true" t="shared" si="31" ref="DG3:DG14">CS3/B3</f>
        <v>0</v>
      </c>
      <c r="DH3" s="80">
        <f aca="true" t="shared" si="32" ref="DH3:DH14">CH3/B3</f>
        <v>0</v>
      </c>
      <c r="DI3" s="80">
        <f aca="true" t="shared" si="33" ref="DI3:DI14">DF3/B3</f>
        <v>0</v>
      </c>
      <c r="DJ3" s="81">
        <f aca="true" t="shared" si="34" ref="DJ3:DJ14">CZ3/B3</f>
        <v>0</v>
      </c>
      <c r="DK3" s="76">
        <f aca="true" t="shared" si="35" ref="DK3:DK14">DB3/B3</f>
        <v>0</v>
      </c>
      <c r="DL3" s="145">
        <f>CA3-BW3-BU3</f>
        <v>0</v>
      </c>
      <c r="DM3" s="64"/>
      <c r="DN3" s="65"/>
    </row>
    <row r="4" spans="1:118" ht="12.75">
      <c r="A4" s="51" t="s">
        <v>0</v>
      </c>
      <c r="B4" s="46">
        <v>1925</v>
      </c>
      <c r="C4" s="38">
        <v>4676221</v>
      </c>
      <c r="D4" s="66">
        <v>2429.21</v>
      </c>
      <c r="E4" s="66">
        <v>73.24</v>
      </c>
      <c r="F4" s="126">
        <v>0</v>
      </c>
      <c r="G4" s="13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3">
        <f t="shared" si="0"/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0</v>
      </c>
      <c r="X4" s="42">
        <v>0</v>
      </c>
      <c r="Y4" s="43">
        <f t="shared" si="2"/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3">
        <f t="shared" si="3"/>
        <v>0</v>
      </c>
      <c r="AF4" s="42">
        <v>0</v>
      </c>
      <c r="AG4" s="42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0</v>
      </c>
      <c r="AT4" s="38">
        <v>0</v>
      </c>
      <c r="AU4" s="4">
        <f t="shared" si="5"/>
        <v>0</v>
      </c>
      <c r="AV4" s="38">
        <v>0</v>
      </c>
      <c r="AW4" s="38">
        <v>0</v>
      </c>
      <c r="AX4" s="4">
        <f t="shared" si="6"/>
        <v>0</v>
      </c>
      <c r="AY4" s="42">
        <v>0</v>
      </c>
      <c r="AZ4" s="42">
        <v>0</v>
      </c>
      <c r="BA4" s="42">
        <v>0</v>
      </c>
      <c r="BB4" s="42">
        <v>0</v>
      </c>
      <c r="BC4" s="42">
        <v>0</v>
      </c>
      <c r="BD4" s="42">
        <v>0</v>
      </c>
      <c r="BE4" s="42">
        <v>0</v>
      </c>
      <c r="BF4" s="43">
        <f t="shared" si="7"/>
        <v>0</v>
      </c>
      <c r="BG4" s="42">
        <v>0</v>
      </c>
      <c r="BH4" s="42">
        <v>0</v>
      </c>
      <c r="BI4" s="42">
        <v>0</v>
      </c>
      <c r="BJ4" s="42">
        <v>0</v>
      </c>
      <c r="BK4" s="42">
        <v>0</v>
      </c>
      <c r="BL4" s="42">
        <v>0</v>
      </c>
      <c r="BM4" s="42">
        <v>0</v>
      </c>
      <c r="BN4" s="42">
        <v>0</v>
      </c>
      <c r="BO4" s="43">
        <f t="shared" si="8"/>
        <v>0</v>
      </c>
      <c r="BP4" s="42">
        <v>0</v>
      </c>
      <c r="BQ4" s="42">
        <v>0</v>
      </c>
      <c r="BR4" s="42">
        <v>0</v>
      </c>
      <c r="BS4" s="43">
        <f t="shared" si="9"/>
        <v>0</v>
      </c>
      <c r="BT4" s="38">
        <v>0</v>
      </c>
      <c r="BU4" s="38">
        <v>0</v>
      </c>
      <c r="BV4" s="38">
        <v>0</v>
      </c>
      <c r="BW4" s="38">
        <v>0</v>
      </c>
      <c r="BX4" s="4">
        <f t="shared" si="10"/>
        <v>0</v>
      </c>
      <c r="BY4" s="38">
        <v>0</v>
      </c>
      <c r="BZ4" s="38">
        <v>0</v>
      </c>
      <c r="CA4" s="38">
        <v>0</v>
      </c>
      <c r="CB4" s="4">
        <f t="shared" si="11"/>
        <v>0</v>
      </c>
      <c r="CC4" s="4">
        <f t="shared" si="12"/>
        <v>0</v>
      </c>
      <c r="CD4" s="74">
        <f t="shared" si="13"/>
        <v>0</v>
      </c>
      <c r="CE4" s="76">
        <f t="shared" si="14"/>
        <v>0</v>
      </c>
      <c r="CF4" s="76">
        <f t="shared" si="15"/>
        <v>0</v>
      </c>
      <c r="CG4" s="76">
        <f t="shared" si="16"/>
        <v>0</v>
      </c>
      <c r="CH4" s="76">
        <f t="shared" si="17"/>
        <v>0</v>
      </c>
      <c r="CI4" s="37">
        <f t="shared" si="18"/>
        <v>0</v>
      </c>
      <c r="CJ4" s="59" t="str">
        <f aca="true" t="shared" si="36" ref="CJ4:CJ31">IF(CF4=0,"-",(CD4/CF4))</f>
        <v>-</v>
      </c>
      <c r="CK4" s="59" t="str">
        <f aca="true" t="shared" si="37" ref="CK4:CK31">IF(CF4=0,"-",(CE4/CF4))</f>
        <v>-</v>
      </c>
      <c r="CL4" s="141" t="str">
        <f aca="true" t="shared" si="38" ref="CL4:CL31">IF(CG4=0,"-",(CD4/CG4*1))</f>
        <v>-</v>
      </c>
      <c r="CM4" s="141" t="str">
        <f aca="true" t="shared" si="39" ref="CM4:CM31">IF(CE4=0,"-",(CE4/CG4))</f>
        <v>-</v>
      </c>
      <c r="CN4" s="141" t="str">
        <f aca="true" t="shared" si="40" ref="CN4:CN31">IF(CG4=0,"-",(CH4/CG4))</f>
        <v>-</v>
      </c>
      <c r="CO4" s="141" t="str">
        <f aca="true" t="shared" si="41" ref="CO4:CO31">IF(CG4=0,"-",(CI4/CG4))</f>
        <v>-</v>
      </c>
      <c r="CP4" s="141" t="str">
        <f aca="true" t="shared" si="42" ref="CP4:CP31">IF(BU4+K4+L4=0,"-",((K4+L4)/(BU4+K4+L4)))</f>
        <v>-</v>
      </c>
      <c r="CQ4" s="141" t="str">
        <f aca="true" t="shared" si="43" ref="CQ4:CQ31">IF(BU4+K4+L4=0,"-",((K4)/(BU4+K4+L4)))</f>
        <v>-</v>
      </c>
      <c r="CR4" s="142" t="str">
        <f aca="true" t="shared" si="44" ref="CR4:CR31">IF(CE4=0,"-",(CS4/CE4))</f>
        <v>-</v>
      </c>
      <c r="CS4" s="76">
        <f aca="true" t="shared" si="45" ref="CS4:CS31">BT4-BY4</f>
        <v>0</v>
      </c>
      <c r="CT4" s="80">
        <f t="shared" si="19"/>
        <v>0</v>
      </c>
      <c r="CU4" s="80">
        <f t="shared" si="20"/>
        <v>0</v>
      </c>
      <c r="CV4" s="80">
        <f t="shared" si="21"/>
        <v>0</v>
      </c>
      <c r="CW4" s="80">
        <f t="shared" si="22"/>
        <v>0</v>
      </c>
      <c r="CX4" s="80">
        <f t="shared" si="23"/>
        <v>0</v>
      </c>
      <c r="CY4" s="80">
        <f t="shared" si="24"/>
        <v>0</v>
      </c>
      <c r="CZ4" s="80">
        <f t="shared" si="25"/>
        <v>0</v>
      </c>
      <c r="DA4" s="80">
        <f t="shared" si="26"/>
        <v>0</v>
      </c>
      <c r="DB4" s="80">
        <f t="shared" si="27"/>
        <v>0</v>
      </c>
      <c r="DC4" s="80">
        <f aca="true" t="shared" si="46" ref="DC4:DC31">-CZ4+DA4+CY4+W4-AS4</f>
        <v>0</v>
      </c>
      <c r="DD4" s="80">
        <f t="shared" si="28"/>
        <v>0</v>
      </c>
      <c r="DE4" s="80">
        <f t="shared" si="29"/>
        <v>0</v>
      </c>
      <c r="DF4" s="80">
        <f t="shared" si="30"/>
        <v>0</v>
      </c>
      <c r="DG4" s="80">
        <f t="shared" si="31"/>
        <v>0</v>
      </c>
      <c r="DH4" s="80">
        <f t="shared" si="32"/>
        <v>0</v>
      </c>
      <c r="DI4" s="80">
        <f t="shared" si="33"/>
        <v>0</v>
      </c>
      <c r="DJ4" s="81">
        <f t="shared" si="34"/>
        <v>0</v>
      </c>
      <c r="DK4" s="76">
        <f t="shared" si="35"/>
        <v>0</v>
      </c>
      <c r="DL4" s="145">
        <f>CA4-BW4-BU4</f>
        <v>0</v>
      </c>
      <c r="DM4" s="67"/>
      <c r="DN4" s="68"/>
    </row>
    <row r="5" spans="1:118" ht="12.75">
      <c r="A5" s="52" t="s">
        <v>32</v>
      </c>
      <c r="B5" s="41">
        <v>456</v>
      </c>
      <c r="C5" s="4">
        <v>1363362</v>
      </c>
      <c r="D5" s="69">
        <v>2989.83</v>
      </c>
      <c r="E5" s="69">
        <v>90.14</v>
      </c>
      <c r="F5" s="8">
        <v>2</v>
      </c>
      <c r="G5" s="131">
        <f>(G42/($B$5+$B$28)*$B$5)</f>
        <v>9042.246153846152</v>
      </c>
      <c r="H5" s="131">
        <f aca="true" t="shared" si="47" ref="H5:BU5">(H42/($B$5+$B$28)*$B$5)</f>
        <v>4925.892976588629</v>
      </c>
      <c r="I5" s="131">
        <f t="shared" si="47"/>
        <v>0</v>
      </c>
      <c r="J5" s="131">
        <f t="shared" si="47"/>
        <v>0</v>
      </c>
      <c r="K5" s="131">
        <f t="shared" si="47"/>
        <v>0</v>
      </c>
      <c r="L5" s="131">
        <f t="shared" si="47"/>
        <v>0</v>
      </c>
      <c r="M5" s="43">
        <f t="shared" si="0"/>
        <v>0</v>
      </c>
      <c r="N5" s="131">
        <f t="shared" si="47"/>
        <v>0</v>
      </c>
      <c r="O5" s="131">
        <f t="shared" si="47"/>
        <v>0</v>
      </c>
      <c r="P5" s="131">
        <f t="shared" si="47"/>
        <v>179632.4307692308</v>
      </c>
      <c r="Q5" s="131">
        <f t="shared" si="47"/>
        <v>0</v>
      </c>
      <c r="R5" s="131">
        <f t="shared" si="47"/>
        <v>0</v>
      </c>
      <c r="S5" s="131">
        <f t="shared" si="47"/>
        <v>0</v>
      </c>
      <c r="T5" s="131">
        <f t="shared" si="47"/>
        <v>0</v>
      </c>
      <c r="U5" s="131">
        <f t="shared" si="47"/>
        <v>0</v>
      </c>
      <c r="V5" s="131">
        <f t="shared" si="47"/>
        <v>0</v>
      </c>
      <c r="W5" s="43">
        <f t="shared" si="1"/>
        <v>0</v>
      </c>
      <c r="X5" s="131">
        <f t="shared" si="47"/>
        <v>0</v>
      </c>
      <c r="Y5" s="43">
        <f t="shared" si="2"/>
        <v>193600.56989966557</v>
      </c>
      <c r="Z5" s="131">
        <f t="shared" si="47"/>
        <v>62847.780602006686</v>
      </c>
      <c r="AA5" s="131">
        <f t="shared" si="47"/>
        <v>0</v>
      </c>
      <c r="AB5" s="131">
        <f t="shared" si="47"/>
        <v>0</v>
      </c>
      <c r="AC5" s="131">
        <f t="shared" si="47"/>
        <v>7489.07558528428</v>
      </c>
      <c r="AD5" s="131">
        <f t="shared" si="47"/>
        <v>0</v>
      </c>
      <c r="AE5" s="43">
        <f t="shared" si="3"/>
        <v>70336.85618729096</v>
      </c>
      <c r="AF5" s="131">
        <f t="shared" si="47"/>
        <v>0</v>
      </c>
      <c r="AG5" s="131">
        <f t="shared" si="47"/>
        <v>32959.67491638796</v>
      </c>
      <c r="AH5" s="131">
        <f t="shared" si="47"/>
        <v>0</v>
      </c>
      <c r="AI5" s="131">
        <f t="shared" si="47"/>
        <v>44766.10969899665</v>
      </c>
      <c r="AJ5" s="131">
        <f t="shared" si="47"/>
        <v>0</v>
      </c>
      <c r="AK5" s="131">
        <f t="shared" si="47"/>
        <v>3431.438127090301</v>
      </c>
      <c r="AL5" s="131">
        <f t="shared" si="47"/>
        <v>0</v>
      </c>
      <c r="AM5" s="131">
        <f t="shared" si="47"/>
        <v>0</v>
      </c>
      <c r="AN5" s="131">
        <f t="shared" si="47"/>
        <v>0</v>
      </c>
      <c r="AO5" s="131">
        <f t="shared" si="47"/>
        <v>0</v>
      </c>
      <c r="AP5" s="131">
        <f t="shared" si="47"/>
        <v>0</v>
      </c>
      <c r="AQ5" s="131">
        <f t="shared" si="47"/>
        <v>0</v>
      </c>
      <c r="AR5" s="131">
        <f t="shared" si="47"/>
        <v>0</v>
      </c>
      <c r="AS5" s="4">
        <f t="shared" si="4"/>
        <v>0</v>
      </c>
      <c r="AT5" s="131">
        <f t="shared" si="47"/>
        <v>0</v>
      </c>
      <c r="AU5" s="4">
        <f t="shared" si="5"/>
        <v>151494.0789297659</v>
      </c>
      <c r="AV5" s="131">
        <f t="shared" si="47"/>
        <v>0</v>
      </c>
      <c r="AW5" s="131">
        <f t="shared" si="47"/>
        <v>42106.49096989966</v>
      </c>
      <c r="AX5" s="4">
        <f t="shared" si="6"/>
        <v>0</v>
      </c>
      <c r="AY5" s="131">
        <f t="shared" si="47"/>
        <v>0</v>
      </c>
      <c r="AZ5" s="131">
        <f t="shared" si="47"/>
        <v>0</v>
      </c>
      <c r="BA5" s="131">
        <f t="shared" si="47"/>
        <v>0</v>
      </c>
      <c r="BB5" s="131">
        <f t="shared" si="47"/>
        <v>0</v>
      </c>
      <c r="BC5" s="131">
        <f t="shared" si="47"/>
        <v>0</v>
      </c>
      <c r="BD5" s="131">
        <f t="shared" si="47"/>
        <v>0</v>
      </c>
      <c r="BE5" s="131">
        <f t="shared" si="47"/>
        <v>0</v>
      </c>
      <c r="BF5" s="43">
        <f t="shared" si="7"/>
        <v>0</v>
      </c>
      <c r="BG5" s="131">
        <f t="shared" si="47"/>
        <v>0</v>
      </c>
      <c r="BH5" s="131">
        <f t="shared" si="47"/>
        <v>0</v>
      </c>
      <c r="BI5" s="131">
        <f t="shared" si="47"/>
        <v>0</v>
      </c>
      <c r="BJ5" s="131">
        <f t="shared" si="47"/>
        <v>0</v>
      </c>
      <c r="BK5" s="131">
        <f t="shared" si="47"/>
        <v>0</v>
      </c>
      <c r="BL5" s="131">
        <f t="shared" si="47"/>
        <v>0</v>
      </c>
      <c r="BM5" s="131">
        <f t="shared" si="47"/>
        <v>0</v>
      </c>
      <c r="BN5" s="131">
        <f t="shared" si="47"/>
        <v>0</v>
      </c>
      <c r="BO5" s="43">
        <f t="shared" si="8"/>
        <v>0</v>
      </c>
      <c r="BP5" s="131">
        <f t="shared" si="47"/>
        <v>0</v>
      </c>
      <c r="BQ5" s="131">
        <f t="shared" si="47"/>
        <v>0</v>
      </c>
      <c r="BR5" s="131">
        <f t="shared" si="47"/>
        <v>0</v>
      </c>
      <c r="BS5" s="43">
        <f t="shared" si="9"/>
        <v>0</v>
      </c>
      <c r="BT5" s="131">
        <f t="shared" si="47"/>
        <v>194481.71237458196</v>
      </c>
      <c r="BU5" s="131">
        <f t="shared" si="47"/>
        <v>0</v>
      </c>
      <c r="BV5" s="131">
        <f aca="true" t="shared" si="48" ref="BV5:CA5">(BV42/($B$5+$B$28)*$B$5)</f>
        <v>0</v>
      </c>
      <c r="BW5" s="131">
        <f t="shared" si="48"/>
        <v>0</v>
      </c>
      <c r="BX5" s="4">
        <f t="shared" si="10"/>
        <v>194481.71237458196</v>
      </c>
      <c r="BY5" s="131">
        <f t="shared" si="48"/>
        <v>36397.365886287625</v>
      </c>
      <c r="BZ5" s="131">
        <f t="shared" si="48"/>
        <v>0</v>
      </c>
      <c r="CA5" s="131">
        <f t="shared" si="48"/>
        <v>158084.3464882943</v>
      </c>
      <c r="CB5" s="4">
        <f t="shared" si="11"/>
        <v>194481.71237458193</v>
      </c>
      <c r="CC5" s="4">
        <f t="shared" si="12"/>
        <v>0</v>
      </c>
      <c r="CD5" s="74">
        <f t="shared" si="13"/>
        <v>-42106.49096989966</v>
      </c>
      <c r="CE5" s="76">
        <f t="shared" si="14"/>
        <v>-42106.49096989966</v>
      </c>
      <c r="CF5" s="76">
        <f t="shared" si="15"/>
        <v>0</v>
      </c>
      <c r="CG5" s="76">
        <f t="shared" si="16"/>
        <v>151494.0789297659</v>
      </c>
      <c r="CH5" s="76">
        <f t="shared" si="17"/>
        <v>-32959.67491638796</v>
      </c>
      <c r="CI5" s="37">
        <f t="shared" si="18"/>
        <v>-32959.67491638796</v>
      </c>
      <c r="CJ5" s="59" t="str">
        <f t="shared" si="36"/>
        <v>-</v>
      </c>
      <c r="CK5" s="59" t="str">
        <f t="shared" si="37"/>
        <v>-</v>
      </c>
      <c r="CL5" s="141">
        <f t="shared" si="38"/>
        <v>-0.27794149624435577</v>
      </c>
      <c r="CM5" s="141">
        <f t="shared" si="39"/>
        <v>-0.27794149624435577</v>
      </c>
      <c r="CN5" s="141">
        <f t="shared" si="40"/>
        <v>-0.21756411306126608</v>
      </c>
      <c r="CO5" s="141">
        <f t="shared" si="41"/>
        <v>-0.21756411306126608</v>
      </c>
      <c r="CP5" s="141" t="str">
        <f t="shared" si="42"/>
        <v>-</v>
      </c>
      <c r="CQ5" s="141" t="str">
        <f t="shared" si="43"/>
        <v>-</v>
      </c>
      <c r="CR5" s="142">
        <f t="shared" si="44"/>
        <v>-3.7543937489662307</v>
      </c>
      <c r="CS5" s="76">
        <f t="shared" si="45"/>
        <v>158084.34648829434</v>
      </c>
      <c r="CT5" s="80">
        <f t="shared" si="19"/>
        <v>193600.56989966557</v>
      </c>
      <c r="CU5" s="80">
        <f t="shared" si="20"/>
        <v>151494.0789297659</v>
      </c>
      <c r="CV5" s="80">
        <f t="shared" si="21"/>
        <v>-42106.49096989966</v>
      </c>
      <c r="CW5" s="80">
        <f t="shared" si="22"/>
        <v>0</v>
      </c>
      <c r="CX5" s="80">
        <f t="shared" si="23"/>
        <v>-42106.49096989966</v>
      </c>
      <c r="CY5" s="80">
        <f t="shared" si="24"/>
        <v>-42106.49096989966</v>
      </c>
      <c r="CZ5" s="80">
        <f t="shared" si="25"/>
        <v>0</v>
      </c>
      <c r="DA5" s="80">
        <f t="shared" si="26"/>
        <v>0</v>
      </c>
      <c r="DB5" s="80">
        <f t="shared" si="27"/>
        <v>-42106.49096989966</v>
      </c>
      <c r="DC5" s="80">
        <f t="shared" si="46"/>
        <v>-42106.49096989966</v>
      </c>
      <c r="DD5" s="80">
        <f t="shared" si="28"/>
        <v>0</v>
      </c>
      <c r="DE5" s="80">
        <f t="shared" si="29"/>
        <v>-42106.49096989966</v>
      </c>
      <c r="DF5" s="80">
        <f t="shared" si="30"/>
        <v>62847.780602006686</v>
      </c>
      <c r="DG5" s="80">
        <f t="shared" si="31"/>
        <v>346.67619843924194</v>
      </c>
      <c r="DH5" s="80">
        <f t="shared" si="32"/>
        <v>-72.27998885172798</v>
      </c>
      <c r="DI5" s="80">
        <f t="shared" si="33"/>
        <v>137.82408026755851</v>
      </c>
      <c r="DJ5" s="81">
        <f t="shared" si="34"/>
        <v>0</v>
      </c>
      <c r="DK5" s="76">
        <f t="shared" si="35"/>
        <v>-92.33879598662207</v>
      </c>
      <c r="DL5" s="145">
        <f aca="true" t="shared" si="49" ref="DL5:DL31">CA5-BW5-BU5</f>
        <v>158084.3464882943</v>
      </c>
      <c r="DM5" s="64"/>
      <c r="DN5" s="65"/>
    </row>
    <row r="6" spans="1:118" ht="12.75">
      <c r="A6" s="51" t="s">
        <v>1</v>
      </c>
      <c r="B6" s="46">
        <v>257</v>
      </c>
      <c r="C6" s="38">
        <v>666076</v>
      </c>
      <c r="D6" s="66">
        <v>2591.73</v>
      </c>
      <c r="E6" s="73">
        <v>78.14</v>
      </c>
      <c r="F6" s="126">
        <v>4</v>
      </c>
      <c r="G6" s="13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3">
        <f t="shared" si="0"/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0</v>
      </c>
      <c r="X6" s="42">
        <v>0</v>
      </c>
      <c r="Y6" s="43">
        <f t="shared" si="2"/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3">
        <f t="shared" si="3"/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0</v>
      </c>
      <c r="AT6" s="38">
        <v>0</v>
      </c>
      <c r="AU6" s="4">
        <f t="shared" si="5"/>
        <v>0</v>
      </c>
      <c r="AV6" s="38">
        <v>0</v>
      </c>
      <c r="AW6" s="38">
        <v>0</v>
      </c>
      <c r="AX6" s="4">
        <f t="shared" si="6"/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3">
        <f t="shared" si="7"/>
        <v>0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3">
        <f t="shared" si="8"/>
        <v>0</v>
      </c>
      <c r="BP6" s="42">
        <v>0</v>
      </c>
      <c r="BQ6" s="42">
        <v>0</v>
      </c>
      <c r="BR6" s="42">
        <v>0</v>
      </c>
      <c r="BS6" s="43">
        <f t="shared" si="9"/>
        <v>0</v>
      </c>
      <c r="BT6" s="38">
        <v>0</v>
      </c>
      <c r="BU6" s="38">
        <v>0</v>
      </c>
      <c r="BV6" s="38">
        <v>0</v>
      </c>
      <c r="BW6" s="38">
        <v>0</v>
      </c>
      <c r="BX6" s="4">
        <f t="shared" si="10"/>
        <v>0</v>
      </c>
      <c r="BY6" s="38">
        <v>0</v>
      </c>
      <c r="BZ6" s="38">
        <v>0</v>
      </c>
      <c r="CA6" s="38">
        <v>0</v>
      </c>
      <c r="CB6" s="4">
        <f t="shared" si="11"/>
        <v>0</v>
      </c>
      <c r="CC6" s="4">
        <f t="shared" si="12"/>
        <v>0</v>
      </c>
      <c r="CD6" s="74">
        <f t="shared" si="13"/>
        <v>0</v>
      </c>
      <c r="CE6" s="76">
        <f t="shared" si="14"/>
        <v>0</v>
      </c>
      <c r="CF6" s="76">
        <f t="shared" si="15"/>
        <v>0</v>
      </c>
      <c r="CG6" s="76">
        <f t="shared" si="16"/>
        <v>0</v>
      </c>
      <c r="CH6" s="76">
        <f t="shared" si="17"/>
        <v>0</v>
      </c>
      <c r="CI6" s="37">
        <f t="shared" si="18"/>
        <v>0</v>
      </c>
      <c r="CJ6" s="59" t="str">
        <f t="shared" si="36"/>
        <v>-</v>
      </c>
      <c r="CK6" s="59" t="str">
        <f t="shared" si="37"/>
        <v>-</v>
      </c>
      <c r="CL6" s="141" t="str">
        <f t="shared" si="38"/>
        <v>-</v>
      </c>
      <c r="CM6" s="141" t="str">
        <f t="shared" si="39"/>
        <v>-</v>
      </c>
      <c r="CN6" s="141" t="str">
        <f t="shared" si="40"/>
        <v>-</v>
      </c>
      <c r="CO6" s="141" t="str">
        <f t="shared" si="41"/>
        <v>-</v>
      </c>
      <c r="CP6" s="141" t="str">
        <f t="shared" si="42"/>
        <v>-</v>
      </c>
      <c r="CQ6" s="141" t="str">
        <f t="shared" si="43"/>
        <v>-</v>
      </c>
      <c r="CR6" s="142" t="str">
        <f t="shared" si="44"/>
        <v>-</v>
      </c>
      <c r="CS6" s="76">
        <f t="shared" si="45"/>
        <v>0</v>
      </c>
      <c r="CT6" s="80">
        <f t="shared" si="19"/>
        <v>0</v>
      </c>
      <c r="CU6" s="80">
        <f t="shared" si="20"/>
        <v>0</v>
      </c>
      <c r="CV6" s="80">
        <f t="shared" si="21"/>
        <v>0</v>
      </c>
      <c r="CW6" s="80">
        <f t="shared" si="22"/>
        <v>0</v>
      </c>
      <c r="CX6" s="80">
        <f t="shared" si="23"/>
        <v>0</v>
      </c>
      <c r="CY6" s="80">
        <f t="shared" si="24"/>
        <v>0</v>
      </c>
      <c r="CZ6" s="80">
        <f t="shared" si="25"/>
        <v>0</v>
      </c>
      <c r="DA6" s="80">
        <f t="shared" si="26"/>
        <v>0</v>
      </c>
      <c r="DB6" s="80">
        <f t="shared" si="27"/>
        <v>0</v>
      </c>
      <c r="DC6" s="80">
        <f t="shared" si="46"/>
        <v>0</v>
      </c>
      <c r="DD6" s="80">
        <f t="shared" si="28"/>
        <v>0</v>
      </c>
      <c r="DE6" s="80">
        <f t="shared" si="29"/>
        <v>0</v>
      </c>
      <c r="DF6" s="80">
        <f t="shared" si="30"/>
        <v>0</v>
      </c>
      <c r="DG6" s="80">
        <f t="shared" si="31"/>
        <v>0</v>
      </c>
      <c r="DH6" s="80">
        <f t="shared" si="32"/>
        <v>0</v>
      </c>
      <c r="DI6" s="80">
        <f t="shared" si="33"/>
        <v>0</v>
      </c>
      <c r="DJ6" s="81">
        <f t="shared" si="34"/>
        <v>0</v>
      </c>
      <c r="DK6" s="76">
        <f t="shared" si="35"/>
        <v>0</v>
      </c>
      <c r="DL6" s="145">
        <f t="shared" si="49"/>
        <v>0</v>
      </c>
      <c r="DM6" s="67"/>
      <c r="DN6" s="68"/>
    </row>
    <row r="7" spans="1:118" ht="12.75">
      <c r="A7" s="52" t="s">
        <v>2</v>
      </c>
      <c r="B7" s="41">
        <v>746</v>
      </c>
      <c r="C7" s="4">
        <v>1745012</v>
      </c>
      <c r="D7" s="69">
        <v>2339.16</v>
      </c>
      <c r="E7" s="69">
        <v>70.52</v>
      </c>
      <c r="F7" s="8">
        <v>4</v>
      </c>
      <c r="G7" s="131">
        <v>13223</v>
      </c>
      <c r="H7" s="43">
        <v>3970.1</v>
      </c>
      <c r="I7" s="43">
        <v>0</v>
      </c>
      <c r="J7" s="43">
        <v>0</v>
      </c>
      <c r="K7" s="43">
        <v>0</v>
      </c>
      <c r="L7" s="43">
        <v>0</v>
      </c>
      <c r="M7" s="43">
        <f t="shared" si="0"/>
        <v>0</v>
      </c>
      <c r="N7" s="43">
        <v>0</v>
      </c>
      <c r="O7" s="43">
        <v>1000</v>
      </c>
      <c r="P7" s="43">
        <v>135372.35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f t="shared" si="1"/>
        <v>0</v>
      </c>
      <c r="X7" s="43">
        <v>0</v>
      </c>
      <c r="Y7" s="43">
        <f t="shared" si="2"/>
        <v>153565.45</v>
      </c>
      <c r="Z7" s="43">
        <v>85913.25</v>
      </c>
      <c r="AA7" s="43">
        <v>15243.15</v>
      </c>
      <c r="AB7" s="43">
        <v>0</v>
      </c>
      <c r="AC7" s="43">
        <v>12251.9</v>
      </c>
      <c r="AD7" s="43">
        <v>0</v>
      </c>
      <c r="AE7" s="43">
        <f t="shared" si="3"/>
        <v>113408.29999999999</v>
      </c>
      <c r="AF7" s="43">
        <v>0</v>
      </c>
      <c r="AG7" s="43">
        <v>1960.55</v>
      </c>
      <c r="AH7" s="43">
        <v>0</v>
      </c>
      <c r="AI7" s="43">
        <v>7200</v>
      </c>
      <c r="AJ7" s="43">
        <v>0</v>
      </c>
      <c r="AK7" s="43">
        <v>0</v>
      </c>
      <c r="AL7" s="43">
        <v>0</v>
      </c>
      <c r="AM7" s="43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122568.84999999998</v>
      </c>
      <c r="AV7" s="4">
        <v>0</v>
      </c>
      <c r="AW7" s="4">
        <v>30996.6</v>
      </c>
      <c r="AX7" s="4">
        <f t="shared" si="6"/>
        <v>3.637978807091713E-11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0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f t="shared" si="8"/>
        <v>0</v>
      </c>
      <c r="BP7" s="43">
        <v>0</v>
      </c>
      <c r="BQ7" s="43">
        <v>0</v>
      </c>
      <c r="BR7" s="43">
        <v>0</v>
      </c>
      <c r="BS7" s="43">
        <f t="shared" si="9"/>
        <v>0</v>
      </c>
      <c r="BT7" s="4">
        <v>347881.15</v>
      </c>
      <c r="BU7" s="4">
        <v>0</v>
      </c>
      <c r="BV7" s="4">
        <v>0</v>
      </c>
      <c r="BW7" s="4">
        <v>0</v>
      </c>
      <c r="BX7" s="4">
        <f t="shared" si="10"/>
        <v>347881.15</v>
      </c>
      <c r="BY7" s="4">
        <v>84778.6</v>
      </c>
      <c r="BZ7" s="4">
        <v>0</v>
      </c>
      <c r="CA7" s="4">
        <v>263102.55</v>
      </c>
      <c r="CB7" s="4">
        <f t="shared" si="11"/>
        <v>347881.15</v>
      </c>
      <c r="CC7" s="4">
        <f t="shared" si="12"/>
        <v>0</v>
      </c>
      <c r="CD7" s="74">
        <f t="shared" si="13"/>
        <v>-30996.6</v>
      </c>
      <c r="CE7" s="76">
        <f t="shared" si="14"/>
        <v>-30996.6</v>
      </c>
      <c r="CF7" s="76">
        <f t="shared" si="15"/>
        <v>0</v>
      </c>
      <c r="CG7" s="76">
        <f t="shared" si="16"/>
        <v>122568.84999999998</v>
      </c>
      <c r="CH7" s="76">
        <f t="shared" si="17"/>
        <v>-1960.55</v>
      </c>
      <c r="CI7" s="37">
        <f t="shared" si="18"/>
        <v>-1960.55</v>
      </c>
      <c r="CJ7" s="59" t="str">
        <f t="shared" si="36"/>
        <v>-</v>
      </c>
      <c r="CK7" s="59" t="str">
        <f t="shared" si="37"/>
        <v>-</v>
      </c>
      <c r="CL7" s="141">
        <f t="shared" si="38"/>
        <v>-0.2528913341358755</v>
      </c>
      <c r="CM7" s="141">
        <f t="shared" si="39"/>
        <v>-0.2528913341358755</v>
      </c>
      <c r="CN7" s="141">
        <f t="shared" si="40"/>
        <v>-0.015995499672225043</v>
      </c>
      <c r="CO7" s="141">
        <f t="shared" si="41"/>
        <v>-0.015995499672225043</v>
      </c>
      <c r="CP7" s="141" t="str">
        <f t="shared" si="42"/>
        <v>-</v>
      </c>
      <c r="CQ7" s="141" t="str">
        <f t="shared" si="43"/>
        <v>-</v>
      </c>
      <c r="CR7" s="142">
        <f t="shared" si="44"/>
        <v>-8.488109986256559</v>
      </c>
      <c r="CS7" s="76">
        <f t="shared" si="45"/>
        <v>263102.55000000005</v>
      </c>
      <c r="CT7" s="80">
        <f t="shared" si="19"/>
        <v>153565.45</v>
      </c>
      <c r="CU7" s="80">
        <f t="shared" si="20"/>
        <v>122568.84999999998</v>
      </c>
      <c r="CV7" s="80">
        <f t="shared" si="21"/>
        <v>-30996.600000000035</v>
      </c>
      <c r="CW7" s="80">
        <f t="shared" si="22"/>
        <v>0</v>
      </c>
      <c r="CX7" s="80">
        <f t="shared" si="23"/>
        <v>-30996.600000000035</v>
      </c>
      <c r="CY7" s="80">
        <f t="shared" si="24"/>
        <v>-30996.600000000035</v>
      </c>
      <c r="CZ7" s="80">
        <f t="shared" si="25"/>
        <v>0</v>
      </c>
      <c r="DA7" s="80">
        <f t="shared" si="26"/>
        <v>0</v>
      </c>
      <c r="DB7" s="80">
        <f t="shared" si="27"/>
        <v>-30996.600000000035</v>
      </c>
      <c r="DC7" s="80">
        <f t="shared" si="46"/>
        <v>-30996.600000000035</v>
      </c>
      <c r="DD7" s="80">
        <f t="shared" si="28"/>
        <v>0</v>
      </c>
      <c r="DE7" s="80">
        <f t="shared" si="29"/>
        <v>-30996.600000000035</v>
      </c>
      <c r="DF7" s="80">
        <f t="shared" si="30"/>
        <v>101156.4</v>
      </c>
      <c r="DG7" s="80">
        <f t="shared" si="31"/>
        <v>352.68438337801615</v>
      </c>
      <c r="DH7" s="80">
        <f t="shared" si="32"/>
        <v>-2.628083109919571</v>
      </c>
      <c r="DI7" s="80">
        <f t="shared" si="33"/>
        <v>135.59839142091153</v>
      </c>
      <c r="DJ7" s="81">
        <f t="shared" si="34"/>
        <v>0</v>
      </c>
      <c r="DK7" s="76">
        <f t="shared" si="35"/>
        <v>-41.550402144772164</v>
      </c>
      <c r="DL7" s="145">
        <f t="shared" si="49"/>
        <v>263102.55</v>
      </c>
      <c r="DM7" s="64"/>
      <c r="DN7" s="65"/>
    </row>
    <row r="8" spans="1:118" ht="12.75">
      <c r="A8" s="51" t="s">
        <v>3</v>
      </c>
      <c r="B8" s="46">
        <v>659</v>
      </c>
      <c r="C8" s="38">
        <v>1714109</v>
      </c>
      <c r="D8" s="66">
        <v>2601.08</v>
      </c>
      <c r="E8" s="66">
        <v>78.42</v>
      </c>
      <c r="F8" s="126">
        <v>4</v>
      </c>
      <c r="G8" s="132">
        <f>440+5500+900+223.15+64.9+10525+580.2+500</f>
        <v>18733.25</v>
      </c>
      <c r="H8" s="42">
        <f>444.7+410+198+1936.15+300+250+701</f>
        <v>4239.85</v>
      </c>
      <c r="I8" s="42">
        <v>0</v>
      </c>
      <c r="J8" s="42">
        <v>0</v>
      </c>
      <c r="K8" s="42">
        <v>0</v>
      </c>
      <c r="L8" s="42">
        <v>0</v>
      </c>
      <c r="M8" s="43">
        <f t="shared" si="0"/>
        <v>0</v>
      </c>
      <c r="N8" s="42">
        <v>0</v>
      </c>
      <c r="O8" s="42">
        <v>0</v>
      </c>
      <c r="P8" s="42">
        <f>5755.25+13110+920.85+710+49579.2+150+450+556+1042.5+29372.65+16787.95+9718.65+15538</f>
        <v>143691.05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0</v>
      </c>
      <c r="X8" s="42">
        <v>0</v>
      </c>
      <c r="Y8" s="43">
        <f t="shared" si="2"/>
        <v>166664.15</v>
      </c>
      <c r="Z8" s="42">
        <f>40622.75+68658.3+318.55</f>
        <v>109599.6</v>
      </c>
      <c r="AA8" s="42">
        <f>6952.35+4972.7</f>
        <v>11925.05</v>
      </c>
      <c r="AB8" s="42">
        <v>0</v>
      </c>
      <c r="AC8" s="42">
        <f>10823.15</f>
        <v>10823.15</v>
      </c>
      <c r="AD8" s="42">
        <v>0</v>
      </c>
      <c r="AE8" s="43">
        <f t="shared" si="3"/>
        <v>132347.80000000002</v>
      </c>
      <c r="AF8" s="42">
        <v>0</v>
      </c>
      <c r="AG8" s="42">
        <f>2918.25+4817.25+980.7</f>
        <v>8716.2</v>
      </c>
      <c r="AH8" s="42">
        <v>0</v>
      </c>
      <c r="AI8" s="42">
        <f>17070.55+9517+19940</f>
        <v>46527.55</v>
      </c>
      <c r="AJ8" s="42">
        <f>2533</f>
        <v>2533</v>
      </c>
      <c r="AK8" s="42">
        <f>3000</f>
        <v>3000</v>
      </c>
      <c r="AL8" s="42">
        <v>0</v>
      </c>
      <c r="AM8" s="42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0</v>
      </c>
      <c r="AT8" s="38">
        <v>0</v>
      </c>
      <c r="AU8" s="4">
        <f t="shared" si="5"/>
        <v>193124.55000000002</v>
      </c>
      <c r="AV8" s="38">
        <f>26460.4</f>
        <v>26460.4</v>
      </c>
      <c r="AW8" s="38">
        <v>0</v>
      </c>
      <c r="AX8" s="4">
        <f t="shared" si="6"/>
        <v>-2.1827872842550278E-11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3">
        <f t="shared" si="7"/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f t="shared" si="8"/>
        <v>0</v>
      </c>
      <c r="BP8" s="42">
        <v>0</v>
      </c>
      <c r="BQ8" s="42">
        <v>0</v>
      </c>
      <c r="BR8" s="42">
        <v>0</v>
      </c>
      <c r="BS8" s="43">
        <f t="shared" si="9"/>
        <v>0</v>
      </c>
      <c r="BT8" s="38">
        <v>444236.32</v>
      </c>
      <c r="BU8" s="38">
        <v>0</v>
      </c>
      <c r="BV8" s="38">
        <v>0</v>
      </c>
      <c r="BW8" s="38">
        <v>0</v>
      </c>
      <c r="BX8" s="4">
        <f t="shared" si="10"/>
        <v>444236.32</v>
      </c>
      <c r="BY8" s="38">
        <v>137515.25</v>
      </c>
      <c r="BZ8" s="38">
        <v>0</v>
      </c>
      <c r="CA8" s="38">
        <f>280260.67+26460.4</f>
        <v>306721.07</v>
      </c>
      <c r="CB8" s="4">
        <f t="shared" si="11"/>
        <v>444236.32</v>
      </c>
      <c r="CC8" s="4">
        <f t="shared" si="12"/>
        <v>0</v>
      </c>
      <c r="CD8" s="74">
        <f t="shared" si="13"/>
        <v>26460.4</v>
      </c>
      <c r="CE8" s="76">
        <f t="shared" si="14"/>
        <v>26460.4</v>
      </c>
      <c r="CF8" s="76">
        <f t="shared" si="15"/>
        <v>0</v>
      </c>
      <c r="CG8" s="76">
        <f t="shared" si="16"/>
        <v>193124.55000000002</v>
      </c>
      <c r="CH8" s="76">
        <f t="shared" si="17"/>
        <v>-8716.2</v>
      </c>
      <c r="CI8" s="37">
        <f t="shared" si="18"/>
        <v>-8716.2</v>
      </c>
      <c r="CJ8" s="59" t="str">
        <f t="shared" si="36"/>
        <v>-</v>
      </c>
      <c r="CK8" s="59" t="str">
        <f t="shared" si="37"/>
        <v>-</v>
      </c>
      <c r="CL8" s="141">
        <f t="shared" si="38"/>
        <v>0.13701209918676832</v>
      </c>
      <c r="CM8" s="141">
        <f t="shared" si="39"/>
        <v>0.13701209918676832</v>
      </c>
      <c r="CN8" s="141">
        <f t="shared" si="40"/>
        <v>-0.04513253234764819</v>
      </c>
      <c r="CO8" s="141">
        <f t="shared" si="41"/>
        <v>-0.04513253234764819</v>
      </c>
      <c r="CP8" s="141" t="str">
        <f t="shared" si="42"/>
        <v>-</v>
      </c>
      <c r="CQ8" s="141" t="str">
        <f t="shared" si="43"/>
        <v>-</v>
      </c>
      <c r="CR8" s="142">
        <f t="shared" si="44"/>
        <v>11.591701939502048</v>
      </c>
      <c r="CS8" s="76">
        <f t="shared" si="45"/>
        <v>306721.07</v>
      </c>
      <c r="CT8" s="80">
        <f t="shared" si="19"/>
        <v>166664.15</v>
      </c>
      <c r="CU8" s="80">
        <f t="shared" si="20"/>
        <v>193124.55000000002</v>
      </c>
      <c r="CV8" s="80">
        <f t="shared" si="21"/>
        <v>26460.400000000023</v>
      </c>
      <c r="CW8" s="80">
        <f t="shared" si="22"/>
        <v>0</v>
      </c>
      <c r="CX8" s="80">
        <f t="shared" si="23"/>
        <v>26460.400000000023</v>
      </c>
      <c r="CY8" s="80">
        <f t="shared" si="24"/>
        <v>26460.400000000023</v>
      </c>
      <c r="CZ8" s="80">
        <f t="shared" si="25"/>
        <v>0</v>
      </c>
      <c r="DA8" s="80">
        <f t="shared" si="26"/>
        <v>0</v>
      </c>
      <c r="DB8" s="80">
        <f t="shared" si="27"/>
        <v>26460.400000000023</v>
      </c>
      <c r="DC8" s="80">
        <f t="shared" si="46"/>
        <v>26460.400000000023</v>
      </c>
      <c r="DD8" s="80">
        <f t="shared" si="28"/>
        <v>0</v>
      </c>
      <c r="DE8" s="80">
        <f t="shared" si="29"/>
        <v>26460.400000000023</v>
      </c>
      <c r="DF8" s="80">
        <f t="shared" si="30"/>
        <v>121524.65000000001</v>
      </c>
      <c r="DG8" s="80">
        <f t="shared" si="31"/>
        <v>465.4340971168437</v>
      </c>
      <c r="DH8" s="80">
        <f t="shared" si="32"/>
        <v>-13.22640364188164</v>
      </c>
      <c r="DI8" s="80">
        <f t="shared" si="33"/>
        <v>184.40766312594843</v>
      </c>
      <c r="DJ8" s="81">
        <f t="shared" si="34"/>
        <v>0</v>
      </c>
      <c r="DK8" s="76">
        <f t="shared" si="35"/>
        <v>40.152352048558456</v>
      </c>
      <c r="DL8" s="145">
        <f t="shared" si="49"/>
        <v>306721.07</v>
      </c>
      <c r="DM8" s="67"/>
      <c r="DN8" s="68"/>
    </row>
    <row r="9" spans="1:118" ht="12.75">
      <c r="A9" s="52" t="s">
        <v>4</v>
      </c>
      <c r="B9" s="41">
        <v>2792</v>
      </c>
      <c r="C9" s="4">
        <v>10012131</v>
      </c>
      <c r="D9" s="69">
        <v>3586.01</v>
      </c>
      <c r="E9" s="69">
        <v>108.11</v>
      </c>
      <c r="F9" s="8">
        <v>0</v>
      </c>
      <c r="G9" s="131">
        <v>31000.85</v>
      </c>
      <c r="H9" s="43">
        <v>16927.75</v>
      </c>
      <c r="I9" s="43">
        <v>12.25</v>
      </c>
      <c r="J9" s="43">
        <v>0</v>
      </c>
      <c r="K9" s="43">
        <v>0</v>
      </c>
      <c r="L9" s="43">
        <v>0</v>
      </c>
      <c r="M9" s="43">
        <f t="shared" si="0"/>
        <v>0</v>
      </c>
      <c r="N9" s="43">
        <v>0</v>
      </c>
      <c r="O9" s="43">
        <v>12618.55</v>
      </c>
      <c r="P9" s="43">
        <v>886062.85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f t="shared" si="1"/>
        <v>0</v>
      </c>
      <c r="X9" s="43">
        <v>0</v>
      </c>
      <c r="Y9" s="43">
        <f t="shared" si="2"/>
        <v>946622.25</v>
      </c>
      <c r="Z9" s="43">
        <v>320295.35</v>
      </c>
      <c r="AA9" s="43">
        <v>32408.35</v>
      </c>
      <c r="AB9" s="43">
        <v>0</v>
      </c>
      <c r="AC9" s="43">
        <v>45854.45</v>
      </c>
      <c r="AD9" s="43">
        <v>0</v>
      </c>
      <c r="AE9" s="43">
        <f t="shared" si="3"/>
        <v>398558.14999999997</v>
      </c>
      <c r="AF9" s="43">
        <v>0</v>
      </c>
      <c r="AG9" s="43">
        <v>20986.9</v>
      </c>
      <c r="AH9" s="43">
        <v>0</v>
      </c>
      <c r="AI9" s="43">
        <v>363625.8</v>
      </c>
      <c r="AJ9" s="43">
        <v>0</v>
      </c>
      <c r="AK9" s="43">
        <v>22000</v>
      </c>
      <c r="AL9" s="43">
        <v>0</v>
      </c>
      <c r="AM9" s="43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805170.8500000001</v>
      </c>
      <c r="AV9" s="4">
        <v>0</v>
      </c>
      <c r="AW9" s="4">
        <v>141451.4</v>
      </c>
      <c r="AX9" s="4">
        <f>Y9-AU9+AV9-AW9</f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f t="shared" si="7"/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f t="shared" si="8"/>
        <v>0</v>
      </c>
      <c r="BP9" s="43">
        <v>0</v>
      </c>
      <c r="BQ9" s="43">
        <v>0</v>
      </c>
      <c r="BR9" s="43">
        <v>0</v>
      </c>
      <c r="BS9" s="43">
        <f t="shared" si="9"/>
        <v>0</v>
      </c>
      <c r="BT9" s="4">
        <v>835106.75</v>
      </c>
      <c r="BU9" s="4">
        <v>1</v>
      </c>
      <c r="BV9" s="4">
        <v>0</v>
      </c>
      <c r="BW9" s="4">
        <v>0</v>
      </c>
      <c r="BX9" s="4">
        <f t="shared" si="10"/>
        <v>835107.75</v>
      </c>
      <c r="BY9" s="4">
        <v>167591.05</v>
      </c>
      <c r="BZ9" s="4">
        <v>0</v>
      </c>
      <c r="CA9" s="4">
        <v>667516.7</v>
      </c>
      <c r="CB9" s="4">
        <f t="shared" si="11"/>
        <v>835107.75</v>
      </c>
      <c r="CC9" s="4">
        <f t="shared" si="12"/>
        <v>0</v>
      </c>
      <c r="CD9" s="74">
        <f t="shared" si="13"/>
        <v>-141451.4</v>
      </c>
      <c r="CE9" s="76">
        <f t="shared" si="14"/>
        <v>-141451.4</v>
      </c>
      <c r="CF9" s="76">
        <f t="shared" si="15"/>
        <v>0</v>
      </c>
      <c r="CG9" s="76">
        <f t="shared" si="16"/>
        <v>805170.8500000001</v>
      </c>
      <c r="CH9" s="76">
        <f t="shared" si="17"/>
        <v>-20974.65</v>
      </c>
      <c r="CI9" s="37">
        <f t="shared" si="18"/>
        <v>-20974.65</v>
      </c>
      <c r="CJ9" s="59" t="str">
        <f t="shared" si="36"/>
        <v>-</v>
      </c>
      <c r="CK9" s="59" t="str">
        <f t="shared" si="37"/>
        <v>-</v>
      </c>
      <c r="CL9" s="141">
        <f t="shared" si="38"/>
        <v>-0.17567873948740192</v>
      </c>
      <c r="CM9" s="141">
        <f t="shared" si="39"/>
        <v>-0.17567873948740192</v>
      </c>
      <c r="CN9" s="141">
        <f t="shared" si="40"/>
        <v>-0.026049937103411032</v>
      </c>
      <c r="CO9" s="141">
        <f t="shared" si="41"/>
        <v>-0.026049937103411032</v>
      </c>
      <c r="CP9" s="141">
        <f t="shared" si="42"/>
        <v>0</v>
      </c>
      <c r="CQ9" s="141">
        <f t="shared" si="43"/>
        <v>0</v>
      </c>
      <c r="CR9" s="142">
        <f t="shared" si="44"/>
        <v>-4.71904625899779</v>
      </c>
      <c r="CS9" s="76">
        <f t="shared" si="45"/>
        <v>667515.7</v>
      </c>
      <c r="CT9" s="80">
        <f t="shared" si="19"/>
        <v>946622.25</v>
      </c>
      <c r="CU9" s="80">
        <f t="shared" si="20"/>
        <v>805170.8500000001</v>
      </c>
      <c r="CV9" s="80">
        <f t="shared" si="21"/>
        <v>-141451.3999999999</v>
      </c>
      <c r="CW9" s="80">
        <f t="shared" si="22"/>
        <v>0</v>
      </c>
      <c r="CX9" s="80">
        <f t="shared" si="23"/>
        <v>-141451.3999999999</v>
      </c>
      <c r="CY9" s="80">
        <f t="shared" si="24"/>
        <v>-141451.3999999999</v>
      </c>
      <c r="CZ9" s="80">
        <f t="shared" si="25"/>
        <v>0</v>
      </c>
      <c r="DA9" s="80">
        <f t="shared" si="26"/>
        <v>0</v>
      </c>
      <c r="DB9" s="80">
        <f t="shared" si="27"/>
        <v>-141451.3999999999</v>
      </c>
      <c r="DC9" s="80">
        <f t="shared" si="46"/>
        <v>-141451.3999999999</v>
      </c>
      <c r="DD9" s="80">
        <f t="shared" si="28"/>
        <v>0</v>
      </c>
      <c r="DE9" s="80">
        <f t="shared" si="29"/>
        <v>-141451.3999999999</v>
      </c>
      <c r="DF9" s="80">
        <f t="shared" si="30"/>
        <v>352703.69999999995</v>
      </c>
      <c r="DG9" s="80">
        <f t="shared" si="31"/>
        <v>239.08155444126072</v>
      </c>
      <c r="DH9" s="80">
        <f t="shared" si="32"/>
        <v>-7.512410458452723</v>
      </c>
      <c r="DI9" s="80">
        <f t="shared" si="33"/>
        <v>126.32654011461317</v>
      </c>
      <c r="DJ9" s="81">
        <f t="shared" si="34"/>
        <v>0</v>
      </c>
      <c r="DK9" s="76">
        <f t="shared" si="35"/>
        <v>-50.663108882521456</v>
      </c>
      <c r="DL9" s="145">
        <f t="shared" si="49"/>
        <v>667515.7</v>
      </c>
      <c r="DM9" s="64"/>
      <c r="DN9" s="65"/>
    </row>
    <row r="10" spans="1:118" ht="12.75">
      <c r="A10" s="51" t="s">
        <v>5</v>
      </c>
      <c r="B10" s="46">
        <v>529</v>
      </c>
      <c r="C10" s="38">
        <v>1124605</v>
      </c>
      <c r="D10" s="66">
        <v>2125.91</v>
      </c>
      <c r="E10" s="66">
        <v>64.09</v>
      </c>
      <c r="F10" s="126">
        <v>4</v>
      </c>
      <c r="G10" s="132">
        <v>6247.2</v>
      </c>
      <c r="H10" s="42">
        <v>54680.95</v>
      </c>
      <c r="I10" s="42">
        <v>1225.8</v>
      </c>
      <c r="J10" s="42">
        <v>0</v>
      </c>
      <c r="K10" s="42">
        <v>0</v>
      </c>
      <c r="L10" s="42">
        <v>0</v>
      </c>
      <c r="M10" s="43">
        <f t="shared" si="0"/>
        <v>0</v>
      </c>
      <c r="N10" s="42">
        <v>0</v>
      </c>
      <c r="O10" s="42">
        <v>0</v>
      </c>
      <c r="P10" s="42">
        <v>133781.25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3">
        <f t="shared" si="1"/>
        <v>0</v>
      </c>
      <c r="X10" s="42">
        <v>0</v>
      </c>
      <c r="Y10" s="43">
        <f t="shared" si="2"/>
        <v>195935.2</v>
      </c>
      <c r="Z10" s="42">
        <v>57924.8</v>
      </c>
      <c r="AA10" s="42">
        <v>8908.9</v>
      </c>
      <c r="AB10" s="42">
        <v>0</v>
      </c>
      <c r="AC10" s="42">
        <v>8688.05</v>
      </c>
      <c r="AD10" s="42">
        <v>0</v>
      </c>
      <c r="AE10" s="43">
        <f t="shared" si="3"/>
        <v>75521.75</v>
      </c>
      <c r="AF10" s="42">
        <v>0</v>
      </c>
      <c r="AG10" s="42">
        <v>9851.35</v>
      </c>
      <c r="AH10" s="42">
        <v>0</v>
      </c>
      <c r="AI10" s="42">
        <v>84289.85</v>
      </c>
      <c r="AJ10" s="42">
        <v>0</v>
      </c>
      <c r="AK10" s="42">
        <v>0</v>
      </c>
      <c r="AL10" s="42">
        <v>0</v>
      </c>
      <c r="AM10" s="42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4">
        <f t="shared" si="4"/>
        <v>0</v>
      </c>
      <c r="AT10" s="38">
        <v>0</v>
      </c>
      <c r="AU10" s="4">
        <f t="shared" si="5"/>
        <v>169662.95</v>
      </c>
      <c r="AV10" s="38">
        <v>0</v>
      </c>
      <c r="AW10" s="38">
        <v>26272.25</v>
      </c>
      <c r="AX10" s="4">
        <f t="shared" si="6"/>
        <v>0</v>
      </c>
      <c r="AY10" s="42">
        <v>46153.05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3">
        <f t="shared" si="7"/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8"/>
        <v>0</v>
      </c>
      <c r="BP10" s="42">
        <v>0</v>
      </c>
      <c r="BQ10" s="42">
        <v>0</v>
      </c>
      <c r="BR10" s="42">
        <v>0</v>
      </c>
      <c r="BS10" s="43">
        <f t="shared" si="9"/>
        <v>0</v>
      </c>
      <c r="BT10" s="38">
        <v>302526.87</v>
      </c>
      <c r="BU10" s="38">
        <v>0</v>
      </c>
      <c r="BV10" s="38">
        <v>0</v>
      </c>
      <c r="BW10" s="38">
        <v>0</v>
      </c>
      <c r="BX10" s="4">
        <f t="shared" si="10"/>
        <v>302526.87</v>
      </c>
      <c r="BY10" s="38">
        <v>65863.3</v>
      </c>
      <c r="BZ10" s="38">
        <v>0</v>
      </c>
      <c r="CA10" s="38">
        <v>236663.57</v>
      </c>
      <c r="CB10" s="4">
        <f t="shared" si="11"/>
        <v>302526.87</v>
      </c>
      <c r="CC10" s="4">
        <f t="shared" si="12"/>
        <v>0</v>
      </c>
      <c r="CD10" s="74">
        <f t="shared" si="13"/>
        <v>-26272.25</v>
      </c>
      <c r="CE10" s="76">
        <f t="shared" si="14"/>
        <v>-26272.25</v>
      </c>
      <c r="CF10" s="76">
        <f t="shared" si="15"/>
        <v>0</v>
      </c>
      <c r="CG10" s="76">
        <f t="shared" si="16"/>
        <v>169662.95</v>
      </c>
      <c r="CH10" s="76">
        <f t="shared" si="17"/>
        <v>37527.5</v>
      </c>
      <c r="CI10" s="37">
        <f t="shared" si="18"/>
        <v>37527.5</v>
      </c>
      <c r="CJ10" s="59" t="str">
        <f t="shared" si="36"/>
        <v>-</v>
      </c>
      <c r="CK10" s="59" t="str">
        <f t="shared" si="37"/>
        <v>-</v>
      </c>
      <c r="CL10" s="141">
        <f t="shared" si="38"/>
        <v>-0.15484965928035554</v>
      </c>
      <c r="CM10" s="141">
        <f t="shared" si="39"/>
        <v>-0.15484965928035554</v>
      </c>
      <c r="CN10" s="141">
        <f t="shared" si="40"/>
        <v>0.221188538805909</v>
      </c>
      <c r="CO10" s="141">
        <f t="shared" si="41"/>
        <v>0.221188538805909</v>
      </c>
      <c r="CP10" s="141" t="str">
        <f t="shared" si="42"/>
        <v>-</v>
      </c>
      <c r="CQ10" s="141" t="str">
        <f t="shared" si="43"/>
        <v>-</v>
      </c>
      <c r="CR10" s="142">
        <f t="shared" si="44"/>
        <v>-9.008119593868056</v>
      </c>
      <c r="CS10" s="76">
        <f t="shared" si="45"/>
        <v>236663.57</v>
      </c>
      <c r="CT10" s="80">
        <f t="shared" si="19"/>
        <v>195935.2</v>
      </c>
      <c r="CU10" s="80">
        <f t="shared" si="20"/>
        <v>169662.95</v>
      </c>
      <c r="CV10" s="80">
        <f t="shared" si="21"/>
        <v>-26272.25</v>
      </c>
      <c r="CW10" s="80">
        <f t="shared" si="22"/>
        <v>0</v>
      </c>
      <c r="CX10" s="80">
        <f t="shared" si="23"/>
        <v>-26272.25</v>
      </c>
      <c r="CY10" s="80">
        <f t="shared" si="24"/>
        <v>-26272.25</v>
      </c>
      <c r="CZ10" s="80">
        <f t="shared" si="25"/>
        <v>0</v>
      </c>
      <c r="DA10" s="80">
        <f t="shared" si="26"/>
        <v>0</v>
      </c>
      <c r="DB10" s="80">
        <f t="shared" si="27"/>
        <v>-26272.25</v>
      </c>
      <c r="DC10" s="80">
        <f t="shared" si="46"/>
        <v>-26272.25</v>
      </c>
      <c r="DD10" s="80">
        <f t="shared" si="28"/>
        <v>0</v>
      </c>
      <c r="DE10" s="80">
        <f t="shared" si="29"/>
        <v>-26272.25</v>
      </c>
      <c r="DF10" s="80">
        <f t="shared" si="30"/>
        <v>66833.7</v>
      </c>
      <c r="DG10" s="80">
        <f t="shared" si="31"/>
        <v>447.3791493383743</v>
      </c>
      <c r="DH10" s="80">
        <f t="shared" si="32"/>
        <v>70.94045368620039</v>
      </c>
      <c r="DI10" s="80">
        <f t="shared" si="33"/>
        <v>126.33969754253307</v>
      </c>
      <c r="DJ10" s="81">
        <f t="shared" si="34"/>
        <v>0</v>
      </c>
      <c r="DK10" s="76">
        <f t="shared" si="35"/>
        <v>-49.66398865784499</v>
      </c>
      <c r="DL10" s="145">
        <f t="shared" si="49"/>
        <v>236663.57</v>
      </c>
      <c r="DM10" s="67"/>
      <c r="DN10" s="68"/>
    </row>
    <row r="11" spans="1:118" ht="12.75">
      <c r="A11" s="52" t="s">
        <v>6</v>
      </c>
      <c r="B11" s="41">
        <v>5737</v>
      </c>
      <c r="C11" s="4">
        <v>22294501</v>
      </c>
      <c r="D11" s="69">
        <v>3886.09</v>
      </c>
      <c r="E11" s="69">
        <v>117.16</v>
      </c>
      <c r="F11" s="8">
        <v>2</v>
      </c>
      <c r="G11" s="131">
        <f>(G40/($B$11+$B$27)*$B$11)</f>
        <v>248629.95045712483</v>
      </c>
      <c r="H11" s="131">
        <f aca="true" t="shared" si="50" ref="H11:AD11">(H40/($B$11+$B$27)*$B$11)</f>
        <v>37099.41738650693</v>
      </c>
      <c r="I11" s="131">
        <f t="shared" si="50"/>
        <v>0</v>
      </c>
      <c r="J11" s="131">
        <f t="shared" si="50"/>
        <v>17182.061790668347</v>
      </c>
      <c r="K11" s="131">
        <f t="shared" si="50"/>
        <v>1220.830706179067</v>
      </c>
      <c r="L11" s="131">
        <f t="shared" si="50"/>
        <v>0</v>
      </c>
      <c r="M11" s="43">
        <f t="shared" si="0"/>
        <v>1220.830706179067</v>
      </c>
      <c r="N11" s="131">
        <f t="shared" si="50"/>
        <v>0</v>
      </c>
      <c r="O11" s="131">
        <f t="shared" si="50"/>
        <v>746.5605848045398</v>
      </c>
      <c r="P11" s="131">
        <f t="shared" si="50"/>
        <v>2463982.854910151</v>
      </c>
      <c r="Q11" s="131">
        <f t="shared" si="50"/>
        <v>0</v>
      </c>
      <c r="R11" s="131">
        <f t="shared" si="50"/>
        <v>0</v>
      </c>
      <c r="S11" s="131">
        <f t="shared" si="50"/>
        <v>0</v>
      </c>
      <c r="T11" s="131">
        <f t="shared" si="50"/>
        <v>0</v>
      </c>
      <c r="U11" s="131">
        <f t="shared" si="50"/>
        <v>0</v>
      </c>
      <c r="V11" s="131">
        <f t="shared" si="50"/>
        <v>0</v>
      </c>
      <c r="W11" s="43">
        <f t="shared" si="1"/>
        <v>0</v>
      </c>
      <c r="X11" s="131">
        <f t="shared" si="50"/>
        <v>5938.391850567466</v>
      </c>
      <c r="Y11" s="43">
        <f t="shared" si="2"/>
        <v>2774800.0676860022</v>
      </c>
      <c r="Z11" s="131">
        <f t="shared" si="50"/>
        <v>1107873.2998738964</v>
      </c>
      <c r="AA11" s="131">
        <f t="shared" si="50"/>
        <v>0</v>
      </c>
      <c r="AB11" s="131">
        <f t="shared" si="50"/>
        <v>0</v>
      </c>
      <c r="AC11" s="131">
        <f t="shared" si="50"/>
        <v>94221.76961696091</v>
      </c>
      <c r="AD11" s="131">
        <f t="shared" si="50"/>
        <v>0</v>
      </c>
      <c r="AE11" s="43">
        <f t="shared" si="3"/>
        <v>1202095.0694908574</v>
      </c>
      <c r="AF11" s="131">
        <f>(AF40/($B$11+$B$27)*$B$11)</f>
        <v>0</v>
      </c>
      <c r="AG11" s="131">
        <f aca="true" t="shared" si="51" ref="AG11:CA11">(AG40/($B$11+$B$27)*$B$11)</f>
        <v>60575.946650378304</v>
      </c>
      <c r="AH11" s="131">
        <f t="shared" si="51"/>
        <v>0</v>
      </c>
      <c r="AI11" s="131">
        <f t="shared" si="51"/>
        <v>1005674.7128546658</v>
      </c>
      <c r="AJ11" s="131">
        <f t="shared" si="51"/>
        <v>0</v>
      </c>
      <c r="AK11" s="131">
        <f t="shared" si="51"/>
        <v>14577.622950819672</v>
      </c>
      <c r="AL11" s="131">
        <f t="shared" si="51"/>
        <v>0</v>
      </c>
      <c r="AM11" s="131">
        <f t="shared" si="51"/>
        <v>0</v>
      </c>
      <c r="AN11" s="131">
        <f t="shared" si="51"/>
        <v>0</v>
      </c>
      <c r="AO11" s="131">
        <f t="shared" si="51"/>
        <v>0</v>
      </c>
      <c r="AP11" s="131">
        <f t="shared" si="51"/>
        <v>0</v>
      </c>
      <c r="AQ11" s="131">
        <f t="shared" si="51"/>
        <v>0</v>
      </c>
      <c r="AR11" s="131">
        <f t="shared" si="51"/>
        <v>0</v>
      </c>
      <c r="AS11" s="4">
        <f t="shared" si="4"/>
        <v>0</v>
      </c>
      <c r="AT11" s="131">
        <f t="shared" si="51"/>
        <v>5938.391850567466</v>
      </c>
      <c r="AU11" s="4">
        <f t="shared" si="5"/>
        <v>2288861.7437972887</v>
      </c>
      <c r="AV11" s="131">
        <f t="shared" si="51"/>
        <v>0</v>
      </c>
      <c r="AW11" s="131">
        <f t="shared" si="51"/>
        <v>485938.3238887137</v>
      </c>
      <c r="AX11" s="4">
        <f t="shared" si="6"/>
        <v>0</v>
      </c>
      <c r="AY11" s="131">
        <f t="shared" si="51"/>
        <v>0</v>
      </c>
      <c r="AZ11" s="131">
        <f t="shared" si="51"/>
        <v>0</v>
      </c>
      <c r="BA11" s="131">
        <f t="shared" si="51"/>
        <v>0</v>
      </c>
      <c r="BB11" s="131">
        <f t="shared" si="51"/>
        <v>0</v>
      </c>
      <c r="BC11" s="131">
        <f t="shared" si="51"/>
        <v>0</v>
      </c>
      <c r="BD11" s="131">
        <f t="shared" si="51"/>
        <v>0</v>
      </c>
      <c r="BE11" s="131">
        <f t="shared" si="51"/>
        <v>0</v>
      </c>
      <c r="BF11" s="43">
        <f t="shared" si="7"/>
        <v>0</v>
      </c>
      <c r="BG11" s="131">
        <f t="shared" si="51"/>
        <v>0</v>
      </c>
      <c r="BH11" s="131">
        <f t="shared" si="51"/>
        <v>0</v>
      </c>
      <c r="BI11" s="131">
        <f t="shared" si="51"/>
        <v>0</v>
      </c>
      <c r="BJ11" s="131">
        <f t="shared" si="51"/>
        <v>0</v>
      </c>
      <c r="BK11" s="131">
        <f t="shared" si="51"/>
        <v>0</v>
      </c>
      <c r="BL11" s="131">
        <f t="shared" si="51"/>
        <v>0</v>
      </c>
      <c r="BM11" s="131">
        <f t="shared" si="51"/>
        <v>0</v>
      </c>
      <c r="BN11" s="131">
        <f t="shared" si="51"/>
        <v>0</v>
      </c>
      <c r="BO11" s="43">
        <f t="shared" si="8"/>
        <v>0</v>
      </c>
      <c r="BP11" s="131">
        <f t="shared" si="51"/>
        <v>0</v>
      </c>
      <c r="BQ11" s="131">
        <f t="shared" si="51"/>
        <v>0</v>
      </c>
      <c r="BR11" s="131">
        <f t="shared" si="51"/>
        <v>0</v>
      </c>
      <c r="BS11" s="43">
        <f t="shared" si="9"/>
        <v>0</v>
      </c>
      <c r="BT11" s="131">
        <f t="shared" si="51"/>
        <v>2090958.3853215638</v>
      </c>
      <c r="BU11" s="131">
        <f t="shared" si="51"/>
        <v>4905.026481715006</v>
      </c>
      <c r="BV11" s="131">
        <f t="shared" si="51"/>
        <v>0</v>
      </c>
      <c r="BW11" s="131">
        <f t="shared" si="51"/>
        <v>0</v>
      </c>
      <c r="BX11" s="4">
        <f t="shared" si="10"/>
        <v>2095863.4118032788</v>
      </c>
      <c r="BY11" s="131">
        <f t="shared" si="51"/>
        <v>518324.2043505674</v>
      </c>
      <c r="BZ11" s="131">
        <f t="shared" si="51"/>
        <v>0</v>
      </c>
      <c r="CA11" s="131">
        <f t="shared" si="51"/>
        <v>1577539.2074527112</v>
      </c>
      <c r="CB11" s="4">
        <f t="shared" si="11"/>
        <v>2095863.4118032786</v>
      </c>
      <c r="CC11" s="4">
        <f t="shared" si="12"/>
        <v>0</v>
      </c>
      <c r="CD11" s="74">
        <f t="shared" si="13"/>
        <v>-484717.49318253464</v>
      </c>
      <c r="CE11" s="76">
        <f t="shared" si="14"/>
        <v>-484717.49318253464</v>
      </c>
      <c r="CF11" s="76">
        <f t="shared" si="15"/>
        <v>0</v>
      </c>
      <c r="CG11" s="76">
        <f>AU11-AM11-AT11-AS11</f>
        <v>2282923.3519467213</v>
      </c>
      <c r="CH11" s="76">
        <f t="shared" si="17"/>
        <v>-60575.946650378304</v>
      </c>
      <c r="CI11" s="37">
        <f t="shared" si="18"/>
        <v>-59355.115944199235</v>
      </c>
      <c r="CJ11" s="59" t="str">
        <f t="shared" si="36"/>
        <v>-</v>
      </c>
      <c r="CK11" s="59" t="str">
        <f t="shared" si="37"/>
        <v>-</v>
      </c>
      <c r="CL11" s="141">
        <f t="shared" si="38"/>
        <v>-0.21232315695978168</v>
      </c>
      <c r="CM11" s="141">
        <f t="shared" si="39"/>
        <v>-0.21232315695978168</v>
      </c>
      <c r="CN11" s="141">
        <f t="shared" si="40"/>
        <v>-0.02653437602218369</v>
      </c>
      <c r="CO11" s="141">
        <f t="shared" si="41"/>
        <v>-0.025999609620526786</v>
      </c>
      <c r="CP11" s="141">
        <f t="shared" si="42"/>
        <v>0.19929140832595219</v>
      </c>
      <c r="CQ11" s="141">
        <f t="shared" si="43"/>
        <v>0.19929140832595219</v>
      </c>
      <c r="CR11" s="142">
        <f t="shared" si="44"/>
        <v>-3.2444345481436434</v>
      </c>
      <c r="CS11" s="76">
        <f t="shared" si="45"/>
        <v>1572634.1809709964</v>
      </c>
      <c r="CT11" s="80">
        <f t="shared" si="19"/>
        <v>2773579.236979823</v>
      </c>
      <c r="CU11" s="80">
        <f t="shared" si="20"/>
        <v>2288861.7437972887</v>
      </c>
      <c r="CV11" s="80">
        <f t="shared" si="21"/>
        <v>-484717.49318253435</v>
      </c>
      <c r="CW11" s="80">
        <f t="shared" si="22"/>
        <v>0</v>
      </c>
      <c r="CX11" s="80">
        <f t="shared" si="23"/>
        <v>-484717.49318253435</v>
      </c>
      <c r="CY11" s="80">
        <f t="shared" si="24"/>
        <v>-485938.32388871344</v>
      </c>
      <c r="CZ11" s="80">
        <f t="shared" si="25"/>
        <v>0</v>
      </c>
      <c r="DA11" s="80">
        <f t="shared" si="26"/>
        <v>1220.830706179067</v>
      </c>
      <c r="DB11" s="80">
        <f t="shared" si="27"/>
        <v>-484717.49318253435</v>
      </c>
      <c r="DC11" s="80">
        <f t="shared" si="46"/>
        <v>-484717.49318253435</v>
      </c>
      <c r="DD11" s="80">
        <f t="shared" si="28"/>
        <v>-1220.830706179067</v>
      </c>
      <c r="DE11" s="80">
        <f t="shared" si="29"/>
        <v>-485938.32388871344</v>
      </c>
      <c r="DF11" s="80">
        <f t="shared" si="30"/>
        <v>1107873.2998738964</v>
      </c>
      <c r="DG11" s="80">
        <f t="shared" si="31"/>
        <v>274.1213493064313</v>
      </c>
      <c r="DH11" s="80">
        <f t="shared" si="32"/>
        <v>-10.558819356872634</v>
      </c>
      <c r="DI11" s="80">
        <f t="shared" si="33"/>
        <v>193.1102143757881</v>
      </c>
      <c r="DJ11" s="81">
        <f t="shared" si="34"/>
        <v>0</v>
      </c>
      <c r="DK11" s="76">
        <f t="shared" si="35"/>
        <v>-84.4897146910466</v>
      </c>
      <c r="DL11" s="145">
        <f t="shared" si="49"/>
        <v>1572634.1809709962</v>
      </c>
      <c r="DM11" s="64"/>
      <c r="DN11" s="65"/>
    </row>
    <row r="12" spans="1:118" ht="12.75">
      <c r="A12" s="51" t="s">
        <v>7</v>
      </c>
      <c r="B12" s="46">
        <v>633</v>
      </c>
      <c r="C12" s="38">
        <v>1416528</v>
      </c>
      <c r="D12" s="66">
        <v>2237.8</v>
      </c>
      <c r="E12" s="66">
        <v>67.47</v>
      </c>
      <c r="F12" s="126">
        <v>2</v>
      </c>
      <c r="G12" s="132">
        <f>(G41/($B$12+$B$14+$B$23)*$B$12)</f>
        <v>18451.71380597015</v>
      </c>
      <c r="H12" s="132">
        <f aca="true" t="shared" si="52" ref="H12:BU12">(H41/($B$12+$B$14+$B$23)*$B$12)</f>
        <v>5856.430970149254</v>
      </c>
      <c r="I12" s="132">
        <f t="shared" si="52"/>
        <v>0</v>
      </c>
      <c r="J12" s="132">
        <f t="shared" si="52"/>
        <v>0</v>
      </c>
      <c r="K12" s="132">
        <f t="shared" si="52"/>
        <v>0</v>
      </c>
      <c r="L12" s="132">
        <f t="shared" si="52"/>
        <v>0</v>
      </c>
      <c r="M12" s="43">
        <f t="shared" si="0"/>
        <v>0</v>
      </c>
      <c r="N12" s="132">
        <f t="shared" si="52"/>
        <v>0</v>
      </c>
      <c r="O12" s="132">
        <f t="shared" si="52"/>
        <v>65.63241604477612</v>
      </c>
      <c r="P12" s="132">
        <f t="shared" si="52"/>
        <v>164356.3242537313</v>
      </c>
      <c r="Q12" s="132">
        <f t="shared" si="52"/>
        <v>0</v>
      </c>
      <c r="R12" s="132">
        <f t="shared" si="52"/>
        <v>0</v>
      </c>
      <c r="S12" s="132">
        <f t="shared" si="52"/>
        <v>0</v>
      </c>
      <c r="T12" s="132">
        <f t="shared" si="52"/>
        <v>0</v>
      </c>
      <c r="U12" s="132">
        <f t="shared" si="52"/>
        <v>0</v>
      </c>
      <c r="V12" s="132">
        <f t="shared" si="52"/>
        <v>0</v>
      </c>
      <c r="W12" s="43">
        <f t="shared" si="1"/>
        <v>0</v>
      </c>
      <c r="X12" s="132">
        <f t="shared" si="52"/>
        <v>0</v>
      </c>
      <c r="Y12" s="43">
        <f t="shared" si="2"/>
        <v>188730.10144589547</v>
      </c>
      <c r="Z12" s="132">
        <f t="shared" si="52"/>
        <v>68912.26539179105</v>
      </c>
      <c r="AA12" s="132">
        <f t="shared" si="52"/>
        <v>486.73684701492533</v>
      </c>
      <c r="AB12" s="132">
        <f t="shared" si="52"/>
        <v>0</v>
      </c>
      <c r="AC12" s="132">
        <f t="shared" si="52"/>
        <v>10396.080223880597</v>
      </c>
      <c r="AD12" s="132">
        <f t="shared" si="52"/>
        <v>0</v>
      </c>
      <c r="AE12" s="43">
        <f t="shared" si="3"/>
        <v>79795.08246268657</v>
      </c>
      <c r="AF12" s="132">
        <f t="shared" si="52"/>
        <v>0</v>
      </c>
      <c r="AG12" s="132">
        <f t="shared" si="52"/>
        <v>20117.76744402985</v>
      </c>
      <c r="AH12" s="132">
        <f t="shared" si="52"/>
        <v>0</v>
      </c>
      <c r="AI12" s="132">
        <f t="shared" si="52"/>
        <v>45470.126026119404</v>
      </c>
      <c r="AJ12" s="132">
        <f t="shared" si="52"/>
        <v>0</v>
      </c>
      <c r="AK12" s="132">
        <f t="shared" si="52"/>
        <v>0</v>
      </c>
      <c r="AL12" s="132">
        <f t="shared" si="52"/>
        <v>1817.0701958955226</v>
      </c>
      <c r="AM12" s="132">
        <f t="shared" si="52"/>
        <v>0</v>
      </c>
      <c r="AN12" s="132">
        <f t="shared" si="52"/>
        <v>0</v>
      </c>
      <c r="AO12" s="132">
        <f t="shared" si="52"/>
        <v>0</v>
      </c>
      <c r="AP12" s="132">
        <f t="shared" si="52"/>
        <v>0</v>
      </c>
      <c r="AQ12" s="132">
        <f t="shared" si="52"/>
        <v>0</v>
      </c>
      <c r="AR12" s="132">
        <f t="shared" si="52"/>
        <v>0</v>
      </c>
      <c r="AS12" s="4">
        <f t="shared" si="4"/>
        <v>0</v>
      </c>
      <c r="AT12" s="132">
        <f t="shared" si="52"/>
        <v>0</v>
      </c>
      <c r="AU12" s="4">
        <f>SUM(Z12:AT12)-AE12-AH12-AS12</f>
        <v>147200.04612873134</v>
      </c>
      <c r="AV12" s="132">
        <f t="shared" si="52"/>
        <v>0</v>
      </c>
      <c r="AW12" s="132">
        <f t="shared" si="52"/>
        <v>41530.05531716418</v>
      </c>
      <c r="AX12" s="4">
        <f t="shared" si="6"/>
        <v>0</v>
      </c>
      <c r="AY12" s="132">
        <f t="shared" si="52"/>
        <v>0</v>
      </c>
      <c r="AZ12" s="132">
        <f t="shared" si="52"/>
        <v>0</v>
      </c>
      <c r="BA12" s="132">
        <f t="shared" si="52"/>
        <v>0</v>
      </c>
      <c r="BB12" s="132">
        <f t="shared" si="52"/>
        <v>0</v>
      </c>
      <c r="BC12" s="132">
        <f t="shared" si="52"/>
        <v>0</v>
      </c>
      <c r="BD12" s="132">
        <f t="shared" si="52"/>
        <v>0</v>
      </c>
      <c r="BE12" s="132">
        <f t="shared" si="52"/>
        <v>0</v>
      </c>
      <c r="BF12" s="43">
        <f t="shared" si="7"/>
        <v>0</v>
      </c>
      <c r="BG12" s="132">
        <f t="shared" si="52"/>
        <v>0</v>
      </c>
      <c r="BH12" s="132">
        <f t="shared" si="52"/>
        <v>0</v>
      </c>
      <c r="BI12" s="132">
        <f t="shared" si="52"/>
        <v>0</v>
      </c>
      <c r="BJ12" s="132">
        <f t="shared" si="52"/>
        <v>0</v>
      </c>
      <c r="BK12" s="132">
        <f t="shared" si="52"/>
        <v>0</v>
      </c>
      <c r="BL12" s="132">
        <f t="shared" si="52"/>
        <v>0</v>
      </c>
      <c r="BM12" s="132">
        <f t="shared" si="52"/>
        <v>0</v>
      </c>
      <c r="BN12" s="132">
        <f t="shared" si="52"/>
        <v>0</v>
      </c>
      <c r="BO12" s="43">
        <f t="shared" si="8"/>
        <v>0</v>
      </c>
      <c r="BP12" s="132">
        <f t="shared" si="52"/>
        <v>0</v>
      </c>
      <c r="BQ12" s="132">
        <f t="shared" si="52"/>
        <v>0</v>
      </c>
      <c r="BR12" s="132">
        <f t="shared" si="52"/>
        <v>0</v>
      </c>
      <c r="BS12" s="43">
        <f t="shared" si="9"/>
        <v>0</v>
      </c>
      <c r="BT12" s="132">
        <f t="shared" si="52"/>
        <v>682108.7718190299</v>
      </c>
      <c r="BU12" s="132">
        <f t="shared" si="52"/>
        <v>0.5904850746268656</v>
      </c>
      <c r="BV12" s="132">
        <f aca="true" t="shared" si="53" ref="BV12:CA12">(BV41/($B$12+$B$14+$B$23)*$B$12)</f>
        <v>0</v>
      </c>
      <c r="BW12" s="132">
        <f t="shared" si="53"/>
        <v>0</v>
      </c>
      <c r="BX12" s="4">
        <f t="shared" si="10"/>
        <v>682109.3623041046</v>
      </c>
      <c r="BY12" s="132">
        <f t="shared" si="53"/>
        <v>64218.29286380597</v>
      </c>
      <c r="BZ12" s="132">
        <f t="shared" si="53"/>
        <v>0</v>
      </c>
      <c r="CA12" s="132">
        <f t="shared" si="53"/>
        <v>617891.0694402985</v>
      </c>
      <c r="CB12" s="4">
        <f t="shared" si="11"/>
        <v>682109.3623041045</v>
      </c>
      <c r="CC12" s="4">
        <f t="shared" si="12"/>
        <v>0</v>
      </c>
      <c r="CD12" s="74">
        <f t="shared" si="13"/>
        <v>-41530.05531716418</v>
      </c>
      <c r="CE12" s="76">
        <f t="shared" si="14"/>
        <v>-41530.05531716418</v>
      </c>
      <c r="CF12" s="76">
        <f t="shared" si="15"/>
        <v>0</v>
      </c>
      <c r="CG12" s="76">
        <f aca="true" t="shared" si="54" ref="CG12:CG31">AU12-AM12-AT12-AS12</f>
        <v>147200.04612873134</v>
      </c>
      <c r="CH12" s="76">
        <f>I12-AG12+AY12+AH12+BQ12</f>
        <v>-20117.76744402985</v>
      </c>
      <c r="CI12" s="37">
        <f t="shared" si="18"/>
        <v>-20117.76744402985</v>
      </c>
      <c r="CJ12" s="59" t="str">
        <f t="shared" si="36"/>
        <v>-</v>
      </c>
      <c r="CK12" s="59" t="str">
        <f t="shared" si="37"/>
        <v>-</v>
      </c>
      <c r="CL12" s="141">
        <f t="shared" si="38"/>
        <v>-0.28213343955643033</v>
      </c>
      <c r="CM12" s="141">
        <f t="shared" si="39"/>
        <v>-0.28213343955643033</v>
      </c>
      <c r="CN12" s="141">
        <f t="shared" si="40"/>
        <v>-0.1366695729594826</v>
      </c>
      <c r="CO12" s="141">
        <f t="shared" si="41"/>
        <v>-0.1366695729594826</v>
      </c>
      <c r="CP12" s="141">
        <f t="shared" si="42"/>
        <v>0</v>
      </c>
      <c r="CQ12" s="141">
        <f t="shared" si="43"/>
        <v>0</v>
      </c>
      <c r="CR12" s="142">
        <f t="shared" si="44"/>
        <v>-14.878152081339815</v>
      </c>
      <c r="CS12" s="76">
        <f t="shared" si="45"/>
        <v>617890.4789552239</v>
      </c>
      <c r="CT12" s="80">
        <f t="shared" si="19"/>
        <v>188730.10144589547</v>
      </c>
      <c r="CU12" s="80">
        <f t="shared" si="20"/>
        <v>147200.04612873134</v>
      </c>
      <c r="CV12" s="80">
        <f t="shared" si="21"/>
        <v>-41530.05531716414</v>
      </c>
      <c r="CW12" s="80">
        <f t="shared" si="22"/>
        <v>0</v>
      </c>
      <c r="CX12" s="80">
        <f t="shared" si="23"/>
        <v>-41530.05531716414</v>
      </c>
      <c r="CY12" s="80">
        <f t="shared" si="24"/>
        <v>-41530.05531716414</v>
      </c>
      <c r="CZ12" s="80">
        <f t="shared" si="25"/>
        <v>0</v>
      </c>
      <c r="DA12" s="80">
        <f t="shared" si="26"/>
        <v>0</v>
      </c>
      <c r="DB12" s="80">
        <f t="shared" si="27"/>
        <v>-41530.05531716414</v>
      </c>
      <c r="DC12" s="80">
        <f t="shared" si="46"/>
        <v>-41530.05531716414</v>
      </c>
      <c r="DD12" s="80">
        <f t="shared" si="28"/>
        <v>0</v>
      </c>
      <c r="DE12" s="80">
        <f t="shared" si="29"/>
        <v>-41530.05531716414</v>
      </c>
      <c r="DF12" s="80">
        <f t="shared" si="30"/>
        <v>69399.00223880597</v>
      </c>
      <c r="DG12" s="80">
        <f t="shared" si="31"/>
        <v>976.1302985074627</v>
      </c>
      <c r="DH12" s="80">
        <f t="shared" si="32"/>
        <v>-31.78162313432836</v>
      </c>
      <c r="DI12" s="80">
        <f t="shared" si="33"/>
        <v>109.63507462686567</v>
      </c>
      <c r="DJ12" s="81">
        <f t="shared" si="34"/>
        <v>0</v>
      </c>
      <c r="DK12" s="76">
        <f t="shared" si="35"/>
        <v>-65.6083022388059</v>
      </c>
      <c r="DL12" s="145">
        <f t="shared" si="49"/>
        <v>617890.4789552238</v>
      </c>
      <c r="DM12" s="67"/>
      <c r="DN12" s="68"/>
    </row>
    <row r="13" spans="1:118" ht="12.75">
      <c r="A13" s="52" t="s">
        <v>8</v>
      </c>
      <c r="B13" s="41">
        <v>339</v>
      </c>
      <c r="C13" s="4">
        <v>719249</v>
      </c>
      <c r="D13" s="69">
        <v>2121.68</v>
      </c>
      <c r="E13" s="69">
        <v>63.97</v>
      </c>
      <c r="F13" s="8">
        <v>4</v>
      </c>
      <c r="G13" s="131">
        <f>494.95+7589.2+514.25</f>
        <v>8598.4</v>
      </c>
      <c r="H13" s="43">
        <f>316.8+153.4+74+706.8</f>
        <v>1251</v>
      </c>
      <c r="I13" s="43">
        <v>0</v>
      </c>
      <c r="J13" s="43">
        <v>0</v>
      </c>
      <c r="K13" s="43">
        <v>0</v>
      </c>
      <c r="L13" s="43">
        <v>0</v>
      </c>
      <c r="M13" s="43">
        <f t="shared" si="0"/>
        <v>0</v>
      </c>
      <c r="N13" s="43">
        <v>0</v>
      </c>
      <c r="O13" s="43">
        <v>0</v>
      </c>
      <c r="P13" s="43">
        <f>3113.3+1041.45+600+357+390+1603.9+28035.45+200+23119.3+316.1+18370</f>
        <v>77146.5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0</v>
      </c>
      <c r="X13" s="43">
        <v>0</v>
      </c>
      <c r="Y13" s="43">
        <f t="shared" si="2"/>
        <v>86995.9</v>
      </c>
      <c r="Z13" s="43">
        <f>21469.4+33530.2+257.2</f>
        <v>55256.799999999996</v>
      </c>
      <c r="AA13" s="43">
        <v>0</v>
      </c>
      <c r="AB13" s="43">
        <v>0</v>
      </c>
      <c r="AC13" s="43">
        <f>5567.55</f>
        <v>5567.55</v>
      </c>
      <c r="AD13" s="43">
        <v>0</v>
      </c>
      <c r="AE13" s="43">
        <f t="shared" si="3"/>
        <v>60824.35</v>
      </c>
      <c r="AF13" s="43">
        <v>0</v>
      </c>
      <c r="AG13" s="43">
        <f>705.65+1300</f>
        <v>2005.65</v>
      </c>
      <c r="AH13" s="43">
        <v>0</v>
      </c>
      <c r="AI13" s="43">
        <v>0</v>
      </c>
      <c r="AJ13" s="43">
        <v>0</v>
      </c>
      <c r="AK13" s="43">
        <v>0</v>
      </c>
      <c r="AL13" s="43">
        <f>11999</f>
        <v>11999</v>
      </c>
      <c r="AM13" s="43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74828.99999999997</v>
      </c>
      <c r="AV13" s="4">
        <v>0</v>
      </c>
      <c r="AW13" s="4">
        <f>12166.9</f>
        <v>12166.9</v>
      </c>
      <c r="AX13" s="4">
        <f t="shared" si="6"/>
        <v>2.3646862246096134E-11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f t="shared" si="7"/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f t="shared" si="8"/>
        <v>0</v>
      </c>
      <c r="BP13" s="43">
        <v>0</v>
      </c>
      <c r="BQ13" s="43">
        <v>0</v>
      </c>
      <c r="BR13" s="43">
        <v>0</v>
      </c>
      <c r="BS13" s="43">
        <f t="shared" si="9"/>
        <v>0</v>
      </c>
      <c r="BT13" s="4">
        <f>118218.18</f>
        <v>118218.18</v>
      </c>
      <c r="BU13" s="4">
        <v>0</v>
      </c>
      <c r="BV13" s="4">
        <v>0</v>
      </c>
      <c r="BW13" s="4">
        <v>0</v>
      </c>
      <c r="BX13" s="4">
        <f t="shared" si="10"/>
        <v>118218.18</v>
      </c>
      <c r="BY13" s="4">
        <f>30678.15</f>
        <v>30678.15</v>
      </c>
      <c r="BZ13" s="4">
        <v>0</v>
      </c>
      <c r="CA13" s="4">
        <v>87540.03</v>
      </c>
      <c r="CB13" s="4">
        <f t="shared" si="11"/>
        <v>118218.18</v>
      </c>
      <c r="CC13" s="4">
        <f t="shared" si="12"/>
        <v>0</v>
      </c>
      <c r="CD13" s="74">
        <f t="shared" si="13"/>
        <v>-12166.9</v>
      </c>
      <c r="CE13" s="76">
        <f t="shared" si="14"/>
        <v>-12166.9</v>
      </c>
      <c r="CF13" s="76">
        <f t="shared" si="15"/>
        <v>0</v>
      </c>
      <c r="CG13" s="76">
        <f t="shared" si="54"/>
        <v>74828.99999999997</v>
      </c>
      <c r="CH13" s="76">
        <f t="shared" si="17"/>
        <v>-2005.65</v>
      </c>
      <c r="CI13" s="37">
        <f t="shared" si="18"/>
        <v>-2005.65</v>
      </c>
      <c r="CJ13" s="59" t="str">
        <f t="shared" si="36"/>
        <v>-</v>
      </c>
      <c r="CK13" s="59" t="str">
        <f t="shared" si="37"/>
        <v>-</v>
      </c>
      <c r="CL13" s="141">
        <f t="shared" si="38"/>
        <v>-0.16259605233265184</v>
      </c>
      <c r="CM13" s="141">
        <f t="shared" si="39"/>
        <v>-0.16259605233265184</v>
      </c>
      <c r="CN13" s="141">
        <f t="shared" si="40"/>
        <v>-0.02680311109329272</v>
      </c>
      <c r="CO13" s="141">
        <f t="shared" si="41"/>
        <v>-0.02680311109329272</v>
      </c>
      <c r="CP13" s="141" t="str">
        <f t="shared" si="42"/>
        <v>-</v>
      </c>
      <c r="CQ13" s="141" t="str">
        <f t="shared" si="43"/>
        <v>-</v>
      </c>
      <c r="CR13" s="142">
        <f t="shared" si="44"/>
        <v>-7.194932973888172</v>
      </c>
      <c r="CS13" s="76">
        <f t="shared" si="45"/>
        <v>87540.03</v>
      </c>
      <c r="CT13" s="80">
        <f t="shared" si="19"/>
        <v>86995.9</v>
      </c>
      <c r="CU13" s="80">
        <f t="shared" si="20"/>
        <v>74828.99999999997</v>
      </c>
      <c r="CV13" s="80">
        <f t="shared" si="21"/>
        <v>-12166.900000000023</v>
      </c>
      <c r="CW13" s="80">
        <f t="shared" si="22"/>
        <v>0</v>
      </c>
      <c r="CX13" s="80">
        <f t="shared" si="23"/>
        <v>-12166.900000000023</v>
      </c>
      <c r="CY13" s="80">
        <f t="shared" si="24"/>
        <v>-12166.900000000023</v>
      </c>
      <c r="CZ13" s="80">
        <f t="shared" si="25"/>
        <v>0</v>
      </c>
      <c r="DA13" s="80">
        <f t="shared" si="26"/>
        <v>0</v>
      </c>
      <c r="DB13" s="80">
        <f t="shared" si="27"/>
        <v>-12166.900000000023</v>
      </c>
      <c r="DC13" s="80">
        <f t="shared" si="46"/>
        <v>-12166.900000000023</v>
      </c>
      <c r="DD13" s="80">
        <f t="shared" si="28"/>
        <v>0</v>
      </c>
      <c r="DE13" s="80">
        <f t="shared" si="29"/>
        <v>-12166.900000000023</v>
      </c>
      <c r="DF13" s="80">
        <f t="shared" si="30"/>
        <v>55256.799999999996</v>
      </c>
      <c r="DG13" s="80">
        <f t="shared" si="31"/>
        <v>258.2301769911504</v>
      </c>
      <c r="DH13" s="80">
        <f t="shared" si="32"/>
        <v>-5.91637168141593</v>
      </c>
      <c r="DI13" s="80">
        <f t="shared" si="33"/>
        <v>162.9994100294985</v>
      </c>
      <c r="DJ13" s="81">
        <f t="shared" si="34"/>
        <v>0</v>
      </c>
      <c r="DK13" s="76">
        <f t="shared" si="35"/>
        <v>-35.89056047197647</v>
      </c>
      <c r="DL13" s="145">
        <f t="shared" si="49"/>
        <v>87540.03</v>
      </c>
      <c r="DM13" s="64"/>
      <c r="DN13" s="65"/>
    </row>
    <row r="14" spans="1:118" ht="12.75">
      <c r="A14" s="51" t="s">
        <v>33</v>
      </c>
      <c r="B14" s="46">
        <v>184</v>
      </c>
      <c r="C14" s="38">
        <v>500939</v>
      </c>
      <c r="D14" s="66">
        <v>2722.5</v>
      </c>
      <c r="E14" s="66">
        <v>82.08</v>
      </c>
      <c r="F14" s="126">
        <v>4</v>
      </c>
      <c r="G14" s="132">
        <f>(G41/($B$12+$B$14+$B$23)*$B$14)</f>
        <v>5363.531343283582</v>
      </c>
      <c r="H14" s="132">
        <f aca="true" t="shared" si="55" ref="H14:BU14">(H41/($B$12+$B$14+$B$23)*$B$14)</f>
        <v>1702.3432835820897</v>
      </c>
      <c r="I14" s="132">
        <f t="shared" si="55"/>
        <v>0</v>
      </c>
      <c r="J14" s="132">
        <f t="shared" si="55"/>
        <v>0</v>
      </c>
      <c r="K14" s="132">
        <f t="shared" si="55"/>
        <v>0</v>
      </c>
      <c r="L14" s="132">
        <f t="shared" si="55"/>
        <v>0</v>
      </c>
      <c r="M14" s="43">
        <f t="shared" si="0"/>
        <v>0</v>
      </c>
      <c r="N14" s="132">
        <f t="shared" si="55"/>
        <v>0</v>
      </c>
      <c r="O14" s="132">
        <f t="shared" si="55"/>
        <v>19.077985074626866</v>
      </c>
      <c r="P14" s="132">
        <f t="shared" si="55"/>
        <v>47774.98208955223</v>
      </c>
      <c r="Q14" s="132">
        <f t="shared" si="55"/>
        <v>0</v>
      </c>
      <c r="R14" s="132">
        <f t="shared" si="55"/>
        <v>0</v>
      </c>
      <c r="S14" s="132">
        <f t="shared" si="55"/>
        <v>0</v>
      </c>
      <c r="T14" s="132">
        <f t="shared" si="55"/>
        <v>0</v>
      </c>
      <c r="U14" s="132">
        <f t="shared" si="55"/>
        <v>0</v>
      </c>
      <c r="V14" s="132">
        <f t="shared" si="55"/>
        <v>0</v>
      </c>
      <c r="W14" s="43">
        <f t="shared" si="1"/>
        <v>0</v>
      </c>
      <c r="X14" s="132">
        <f t="shared" si="55"/>
        <v>0</v>
      </c>
      <c r="Y14" s="43">
        <f t="shared" si="2"/>
        <v>54859.93470149253</v>
      </c>
      <c r="Z14" s="132">
        <f t="shared" si="55"/>
        <v>20031.369402985078</v>
      </c>
      <c r="AA14" s="132">
        <f t="shared" si="55"/>
        <v>141.48432835820893</v>
      </c>
      <c r="AB14" s="132">
        <f t="shared" si="55"/>
        <v>0</v>
      </c>
      <c r="AC14" s="132">
        <f t="shared" si="55"/>
        <v>3021.9253731343288</v>
      </c>
      <c r="AD14" s="132">
        <f t="shared" si="55"/>
        <v>0</v>
      </c>
      <c r="AE14" s="43">
        <f t="shared" si="3"/>
        <v>23194.779104477617</v>
      </c>
      <c r="AF14" s="132">
        <f t="shared" si="55"/>
        <v>0</v>
      </c>
      <c r="AG14" s="132">
        <f t="shared" si="55"/>
        <v>5847.818656716418</v>
      </c>
      <c r="AH14" s="132">
        <f t="shared" si="55"/>
        <v>0</v>
      </c>
      <c r="AI14" s="132">
        <f t="shared" si="55"/>
        <v>13217.224626865673</v>
      </c>
      <c r="AJ14" s="132">
        <f t="shared" si="55"/>
        <v>0</v>
      </c>
      <c r="AK14" s="132">
        <f t="shared" si="55"/>
        <v>0</v>
      </c>
      <c r="AL14" s="132">
        <f t="shared" si="55"/>
        <v>528.1847014925373</v>
      </c>
      <c r="AM14" s="132">
        <f t="shared" si="55"/>
        <v>0</v>
      </c>
      <c r="AN14" s="132">
        <f t="shared" si="55"/>
        <v>0</v>
      </c>
      <c r="AO14" s="132">
        <f t="shared" si="55"/>
        <v>0</v>
      </c>
      <c r="AP14" s="132">
        <f t="shared" si="55"/>
        <v>0</v>
      </c>
      <c r="AQ14" s="132">
        <f t="shared" si="55"/>
        <v>0</v>
      </c>
      <c r="AR14" s="132">
        <f t="shared" si="55"/>
        <v>0</v>
      </c>
      <c r="AS14" s="4">
        <f t="shared" si="4"/>
        <v>0</v>
      </c>
      <c r="AT14" s="132">
        <f t="shared" si="55"/>
        <v>0</v>
      </c>
      <c r="AU14" s="4">
        <f t="shared" si="5"/>
        <v>42788.007089552244</v>
      </c>
      <c r="AV14" s="132">
        <f t="shared" si="55"/>
        <v>0</v>
      </c>
      <c r="AW14" s="132">
        <f t="shared" si="55"/>
        <v>12071.9276119403</v>
      </c>
      <c r="AX14" s="4">
        <f t="shared" si="6"/>
        <v>-1.4551915228366852E-11</v>
      </c>
      <c r="AY14" s="132">
        <f t="shared" si="55"/>
        <v>0</v>
      </c>
      <c r="AZ14" s="132">
        <f t="shared" si="55"/>
        <v>0</v>
      </c>
      <c r="BA14" s="132">
        <f t="shared" si="55"/>
        <v>0</v>
      </c>
      <c r="BB14" s="132">
        <f t="shared" si="55"/>
        <v>0</v>
      </c>
      <c r="BC14" s="132">
        <f t="shared" si="55"/>
        <v>0</v>
      </c>
      <c r="BD14" s="132">
        <f t="shared" si="55"/>
        <v>0</v>
      </c>
      <c r="BE14" s="132">
        <f t="shared" si="55"/>
        <v>0</v>
      </c>
      <c r="BF14" s="43">
        <f t="shared" si="7"/>
        <v>0</v>
      </c>
      <c r="BG14" s="132">
        <f t="shared" si="55"/>
        <v>0</v>
      </c>
      <c r="BH14" s="132">
        <f t="shared" si="55"/>
        <v>0</v>
      </c>
      <c r="BI14" s="132">
        <f t="shared" si="55"/>
        <v>0</v>
      </c>
      <c r="BJ14" s="132">
        <f t="shared" si="55"/>
        <v>0</v>
      </c>
      <c r="BK14" s="132">
        <f t="shared" si="55"/>
        <v>0</v>
      </c>
      <c r="BL14" s="132">
        <f t="shared" si="55"/>
        <v>0</v>
      </c>
      <c r="BM14" s="132">
        <f t="shared" si="55"/>
        <v>0</v>
      </c>
      <c r="BN14" s="132">
        <f t="shared" si="55"/>
        <v>0</v>
      </c>
      <c r="BO14" s="43">
        <f t="shared" si="8"/>
        <v>0</v>
      </c>
      <c r="BP14" s="132">
        <f t="shared" si="55"/>
        <v>0</v>
      </c>
      <c r="BQ14" s="132">
        <f t="shared" si="55"/>
        <v>0</v>
      </c>
      <c r="BR14" s="132">
        <f t="shared" si="55"/>
        <v>0</v>
      </c>
      <c r="BS14" s="43">
        <f t="shared" si="9"/>
        <v>0</v>
      </c>
      <c r="BT14" s="132">
        <f t="shared" si="55"/>
        <v>198274.90365671643</v>
      </c>
      <c r="BU14" s="132">
        <f t="shared" si="55"/>
        <v>0.17164179104477612</v>
      </c>
      <c r="BV14" s="132">
        <f aca="true" t="shared" si="56" ref="BV14:CA14">(BV41/($B$12+$B$14+$B$23)*$B$14)</f>
        <v>0</v>
      </c>
      <c r="BW14" s="132">
        <f t="shared" si="56"/>
        <v>0</v>
      </c>
      <c r="BX14" s="4">
        <f t="shared" si="10"/>
        <v>198275.07529850747</v>
      </c>
      <c r="BY14" s="132">
        <f t="shared" si="56"/>
        <v>18666.928731343283</v>
      </c>
      <c r="BZ14" s="132">
        <f t="shared" si="56"/>
        <v>0</v>
      </c>
      <c r="CA14" s="132">
        <f t="shared" si="56"/>
        <v>179608.1465671642</v>
      </c>
      <c r="CB14" s="4">
        <f t="shared" si="11"/>
        <v>198275.07529850747</v>
      </c>
      <c r="CC14" s="4">
        <f t="shared" si="12"/>
        <v>0</v>
      </c>
      <c r="CD14" s="74">
        <f t="shared" si="13"/>
        <v>-12071.9276119403</v>
      </c>
      <c r="CE14" s="76">
        <f t="shared" si="14"/>
        <v>-12071.9276119403</v>
      </c>
      <c r="CF14" s="76">
        <f t="shared" si="15"/>
        <v>0</v>
      </c>
      <c r="CG14" s="76">
        <f t="shared" si="54"/>
        <v>42788.007089552244</v>
      </c>
      <c r="CH14" s="76">
        <f t="shared" si="17"/>
        <v>-5847.818656716418</v>
      </c>
      <c r="CI14" s="37">
        <f t="shared" si="18"/>
        <v>-5847.818656716418</v>
      </c>
      <c r="CJ14" s="59" t="str">
        <f t="shared" si="36"/>
        <v>-</v>
      </c>
      <c r="CK14" s="59" t="str">
        <f t="shared" si="37"/>
        <v>-</v>
      </c>
      <c r="CL14" s="141">
        <f t="shared" si="38"/>
        <v>-0.28213343955643033</v>
      </c>
      <c r="CM14" s="141">
        <f t="shared" si="39"/>
        <v>-0.28213343955643033</v>
      </c>
      <c r="CN14" s="141">
        <f t="shared" si="40"/>
        <v>-0.1366695729594826</v>
      </c>
      <c r="CO14" s="141">
        <f t="shared" si="41"/>
        <v>-0.1366695729594826</v>
      </c>
      <c r="CP14" s="141">
        <f t="shared" si="42"/>
        <v>0</v>
      </c>
      <c r="CQ14" s="141">
        <f t="shared" si="43"/>
        <v>0</v>
      </c>
      <c r="CR14" s="142">
        <f t="shared" si="44"/>
        <v>-14.878152081339815</v>
      </c>
      <c r="CS14" s="76">
        <f t="shared" si="45"/>
        <v>179607.97492537316</v>
      </c>
      <c r="CT14" s="80">
        <f t="shared" si="19"/>
        <v>54859.93470149253</v>
      </c>
      <c r="CU14" s="80">
        <f t="shared" si="20"/>
        <v>42788.007089552244</v>
      </c>
      <c r="CV14" s="80">
        <f t="shared" si="21"/>
        <v>-12071.927611940286</v>
      </c>
      <c r="CW14" s="80">
        <f t="shared" si="22"/>
        <v>0</v>
      </c>
      <c r="CX14" s="80">
        <f t="shared" si="23"/>
        <v>-12071.927611940286</v>
      </c>
      <c r="CY14" s="80">
        <f t="shared" si="24"/>
        <v>-12071.927611940286</v>
      </c>
      <c r="CZ14" s="80">
        <f t="shared" si="25"/>
        <v>0</v>
      </c>
      <c r="DA14" s="80">
        <f t="shared" si="26"/>
        <v>0</v>
      </c>
      <c r="DB14" s="80">
        <f t="shared" si="27"/>
        <v>-12071.927611940286</v>
      </c>
      <c r="DC14" s="80">
        <f t="shared" si="46"/>
        <v>-12071.927611940286</v>
      </c>
      <c r="DD14" s="80">
        <f t="shared" si="28"/>
        <v>0</v>
      </c>
      <c r="DE14" s="80">
        <f t="shared" si="29"/>
        <v>-12071.927611940286</v>
      </c>
      <c r="DF14" s="80">
        <f t="shared" si="30"/>
        <v>20172.853731343286</v>
      </c>
      <c r="DG14" s="80">
        <f t="shared" si="31"/>
        <v>976.1302985074628</v>
      </c>
      <c r="DH14" s="80">
        <f t="shared" si="32"/>
        <v>-31.78162313432836</v>
      </c>
      <c r="DI14" s="80">
        <f t="shared" si="33"/>
        <v>109.63507462686569</v>
      </c>
      <c r="DJ14" s="81">
        <f t="shared" si="34"/>
        <v>0</v>
      </c>
      <c r="DK14" s="76">
        <f t="shared" si="35"/>
        <v>-65.6083022388059</v>
      </c>
      <c r="DL14" s="145">
        <f t="shared" si="49"/>
        <v>179607.97492537316</v>
      </c>
      <c r="DM14" s="67"/>
      <c r="DN14" s="68"/>
    </row>
    <row r="15" spans="1:118" ht="12.75">
      <c r="A15" s="52" t="s">
        <v>9</v>
      </c>
      <c r="B15" s="41">
        <v>1201</v>
      </c>
      <c r="C15" s="4">
        <v>3218183</v>
      </c>
      <c r="D15" s="69">
        <v>2679.59</v>
      </c>
      <c r="E15" s="69">
        <v>80.79</v>
      </c>
      <c r="F15" s="8">
        <v>6</v>
      </c>
      <c r="G15" s="131">
        <v>20982.05</v>
      </c>
      <c r="H15" s="43">
        <v>12195.1</v>
      </c>
      <c r="I15" s="43">
        <v>4850</v>
      </c>
      <c r="J15" s="43">
        <v>0</v>
      </c>
      <c r="K15" s="43">
        <v>0</v>
      </c>
      <c r="L15" s="43">
        <v>0</v>
      </c>
      <c r="M15" s="43">
        <f t="shared" si="0"/>
        <v>0</v>
      </c>
      <c r="N15" s="43">
        <v>0</v>
      </c>
      <c r="O15" s="43">
        <v>10577.55</v>
      </c>
      <c r="P15" s="43">
        <v>285102.25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f>SUM(R15:V15)</f>
        <v>0</v>
      </c>
      <c r="X15" s="43">
        <v>0</v>
      </c>
      <c r="Y15" s="43">
        <f>SUM(G15:X15)-M15-W15</f>
        <v>333706.95</v>
      </c>
      <c r="Z15" s="43">
        <v>227596.3</v>
      </c>
      <c r="AA15" s="43">
        <v>61811.5</v>
      </c>
      <c r="AB15" s="43">
        <v>0</v>
      </c>
      <c r="AC15" s="43">
        <v>19724.65</v>
      </c>
      <c r="AD15" s="43">
        <v>0</v>
      </c>
      <c r="AE15" s="43">
        <f>SUM(Z15:AD15)</f>
        <v>309132.45</v>
      </c>
      <c r="AF15" s="43">
        <v>0</v>
      </c>
      <c r="AG15" s="43">
        <v>11767.15</v>
      </c>
      <c r="AH15" s="43">
        <v>0</v>
      </c>
      <c r="AI15" s="43">
        <v>78137.15</v>
      </c>
      <c r="AJ15" s="43">
        <v>0</v>
      </c>
      <c r="AK15" s="43">
        <v>1500</v>
      </c>
      <c r="AL15" s="43">
        <v>0</v>
      </c>
      <c r="AM15" s="43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f>SUM(AN15:AR15)</f>
        <v>0</v>
      </c>
      <c r="AT15" s="4">
        <v>0</v>
      </c>
      <c r="AU15" s="4">
        <f>SUM(Z15:AT15)-AE15-AH15-AS15</f>
        <v>400536.75000000006</v>
      </c>
      <c r="AV15" s="4">
        <v>66829.8</v>
      </c>
      <c r="AW15" s="4">
        <v>0</v>
      </c>
      <c r="AX15" s="4">
        <f>Y15-AU15+AV15-AW15</f>
        <v>-4.3655745685100555E-11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f>SUM(AZ15:BE15)</f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f>SUM(BG15:BN15)</f>
        <v>0</v>
      </c>
      <c r="BP15" s="43">
        <v>0</v>
      </c>
      <c r="BQ15" s="43">
        <v>0</v>
      </c>
      <c r="BR15" s="43">
        <v>0</v>
      </c>
      <c r="BS15" s="43">
        <f>+BF15-BO15+BP15+BQ15-BR15</f>
        <v>0</v>
      </c>
      <c r="BT15" s="4">
        <v>656006</v>
      </c>
      <c r="BU15" s="4">
        <v>0</v>
      </c>
      <c r="BV15" s="4">
        <v>0</v>
      </c>
      <c r="BW15" s="4">
        <v>0</v>
      </c>
      <c r="BX15" s="4">
        <f>SUM(BT15:BW15)</f>
        <v>656006</v>
      </c>
      <c r="BY15" s="4">
        <v>288940.45</v>
      </c>
      <c r="BZ15" s="4">
        <v>0</v>
      </c>
      <c r="CA15" s="4">
        <v>367065.55</v>
      </c>
      <c r="CB15" s="4">
        <f>SUM(BY15:CA15)</f>
        <v>656006</v>
      </c>
      <c r="CC15" s="4">
        <f>BX15-CB15</f>
        <v>0</v>
      </c>
      <c r="CD15" s="74">
        <f>K15+L15+AV15-AW15</f>
        <v>66829.8</v>
      </c>
      <c r="CE15" s="76">
        <f>CD15+W15-AS15</f>
        <v>66829.8</v>
      </c>
      <c r="CF15" s="76">
        <f>BR15-BP15</f>
        <v>0</v>
      </c>
      <c r="CG15" s="76">
        <f t="shared" si="54"/>
        <v>400536.75000000006</v>
      </c>
      <c r="CH15" s="76">
        <f>I15-AG15+AY15+AH15+BQ15</f>
        <v>-6917.15</v>
      </c>
      <c r="CI15" s="37">
        <f>CH15+K15</f>
        <v>-6917.15</v>
      </c>
      <c r="CJ15" s="59" t="str">
        <f t="shared" si="36"/>
        <v>-</v>
      </c>
      <c r="CK15" s="59" t="str">
        <f t="shared" si="37"/>
        <v>-</v>
      </c>
      <c r="CL15" s="141">
        <f t="shared" si="38"/>
        <v>0.1668506073412739</v>
      </c>
      <c r="CM15" s="141">
        <f t="shared" si="39"/>
        <v>0.1668506073412739</v>
      </c>
      <c r="CN15" s="141">
        <f t="shared" si="40"/>
        <v>-0.017269701219675845</v>
      </c>
      <c r="CO15" s="141">
        <f t="shared" si="41"/>
        <v>-0.017269701219675845</v>
      </c>
      <c r="CP15" s="141" t="str">
        <f t="shared" si="42"/>
        <v>-</v>
      </c>
      <c r="CQ15" s="141" t="str">
        <f t="shared" si="43"/>
        <v>-</v>
      </c>
      <c r="CR15" s="142">
        <f t="shared" si="44"/>
        <v>5.492542997285642</v>
      </c>
      <c r="CS15" s="76">
        <f t="shared" si="45"/>
        <v>367065.55</v>
      </c>
      <c r="CT15" s="80">
        <f>Y15-K15-L15-V15</f>
        <v>333706.95</v>
      </c>
      <c r="CU15" s="80">
        <f>AU15-AR15</f>
        <v>400536.75000000006</v>
      </c>
      <c r="CV15" s="80">
        <f>CU15-CT15</f>
        <v>66829.80000000005</v>
      </c>
      <c r="CW15" s="80">
        <f>-V15+AR15</f>
        <v>0</v>
      </c>
      <c r="CX15" s="80">
        <f>CV15+CW15</f>
        <v>66829.80000000005</v>
      </c>
      <c r="CY15" s="80">
        <f>CX15-K15-L15</f>
        <v>66829.80000000005</v>
      </c>
      <c r="CZ15" s="80">
        <f>BR15-BP15</f>
        <v>0</v>
      </c>
      <c r="DA15" s="80">
        <f>K15+L15</f>
        <v>0</v>
      </c>
      <c r="DB15" s="80">
        <f>-CZ15+DA15+CY15</f>
        <v>66829.80000000005</v>
      </c>
      <c r="DC15" s="80">
        <f t="shared" si="46"/>
        <v>66829.80000000005</v>
      </c>
      <c r="DD15" s="80">
        <f>-BP15-DA15</f>
        <v>0</v>
      </c>
      <c r="DE15" s="80">
        <f>DB15+DD15+BR15</f>
        <v>66829.80000000005</v>
      </c>
      <c r="DF15" s="80">
        <f>Z15+AA15+AB15</f>
        <v>289407.8</v>
      </c>
      <c r="DG15" s="80">
        <f>CS15/B15</f>
        <v>305.63326394671105</v>
      </c>
      <c r="DH15" s="80">
        <f>CH15/B15</f>
        <v>-5.759492089925062</v>
      </c>
      <c r="DI15" s="80">
        <f>DF15/B15</f>
        <v>240.9723563696919</v>
      </c>
      <c r="DJ15" s="81">
        <f>CZ15/B15</f>
        <v>0</v>
      </c>
      <c r="DK15" s="76">
        <f>DB15/B15</f>
        <v>55.645129059117444</v>
      </c>
      <c r="DL15" s="145">
        <f t="shared" si="49"/>
        <v>367065.55</v>
      </c>
      <c r="DM15" s="64"/>
      <c r="DN15" s="65"/>
    </row>
    <row r="16" spans="1:118" ht="12.75">
      <c r="A16" s="51" t="s">
        <v>34</v>
      </c>
      <c r="B16" s="46">
        <v>568</v>
      </c>
      <c r="C16" s="38">
        <v>1177956</v>
      </c>
      <c r="D16" s="66">
        <v>2073.87</v>
      </c>
      <c r="E16" s="73">
        <v>62.52</v>
      </c>
      <c r="F16" s="126">
        <v>4</v>
      </c>
      <c r="G16" s="132">
        <f>4916+422.1+13338+775.9+2304.5</f>
        <v>21756.5</v>
      </c>
      <c r="H16" s="42">
        <f>1054.55+2500+407.3+6120+656.5+828+342+153+900+364.75+416</f>
        <v>13742.1</v>
      </c>
      <c r="I16" s="42">
        <v>0</v>
      </c>
      <c r="J16" s="42">
        <v>0</v>
      </c>
      <c r="K16" s="42">
        <v>0</v>
      </c>
      <c r="L16" s="42">
        <v>0</v>
      </c>
      <c r="M16" s="43">
        <f t="shared" si="0"/>
        <v>0</v>
      </c>
      <c r="N16" s="42">
        <v>0</v>
      </c>
      <c r="O16" s="42">
        <v>0</v>
      </c>
      <c r="P16" s="42">
        <f>5029.55+970.5+587+650+46155+517.6+1000+41200.55+12433.9+23750.15+26724.2+33860+736.5</f>
        <v>193614.95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3">
        <f aca="true" t="shared" si="57" ref="W16:W31">SUM(R16:V16)</f>
        <v>0</v>
      </c>
      <c r="X16" s="42">
        <v>0</v>
      </c>
      <c r="Y16" s="43">
        <f aca="true" t="shared" si="58" ref="Y16:Y31">SUM(G16:X16)-M16-W16</f>
        <v>229113.55000000002</v>
      </c>
      <c r="Z16" s="42">
        <f>68594.1+175.35</f>
        <v>68769.45000000001</v>
      </c>
      <c r="AA16" s="42">
        <v>0</v>
      </c>
      <c r="AB16" s="42">
        <v>0</v>
      </c>
      <c r="AC16" s="42">
        <f>9328.55</f>
        <v>9328.55</v>
      </c>
      <c r="AD16" s="42">
        <v>0</v>
      </c>
      <c r="AE16" s="43">
        <f aca="true" t="shared" si="59" ref="AE16:AE31">SUM(Z16:AD16)</f>
        <v>78098.00000000001</v>
      </c>
      <c r="AF16" s="42">
        <v>0</v>
      </c>
      <c r="AG16" s="42">
        <f>942.35</f>
        <v>942.35</v>
      </c>
      <c r="AH16" s="42">
        <v>0</v>
      </c>
      <c r="AI16" s="42">
        <f>100+3650.4+34499+27640+24302.1</f>
        <v>90191.5</v>
      </c>
      <c r="AJ16" s="42">
        <v>0</v>
      </c>
      <c r="AK16" s="42">
        <f>6000</f>
        <v>6000</v>
      </c>
      <c r="AL16" s="42">
        <v>0</v>
      </c>
      <c r="AM16" s="42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4">
        <f aca="true" t="shared" si="60" ref="AS16:AS31">SUM(AN16:AR16)</f>
        <v>0</v>
      </c>
      <c r="AT16" s="38">
        <v>0</v>
      </c>
      <c r="AU16" s="4">
        <f aca="true" t="shared" si="61" ref="AU16:AU31">SUM(Z16:AT16)-AE16-AH16-AS16</f>
        <v>175231.85000000003</v>
      </c>
      <c r="AV16" s="38">
        <v>0</v>
      </c>
      <c r="AW16" s="38">
        <f>53881.7</f>
        <v>53881.7</v>
      </c>
      <c r="AX16" s="143">
        <f aca="true" t="shared" si="62" ref="AX16:AX31">Y16-AU16+AV16-AW16</f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3">
        <f aca="true" t="shared" si="63" ref="BF16:BF31">SUM(AZ16:BE16)</f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3">
        <f aca="true" t="shared" si="64" ref="BO16:BO31">SUM(BG16:BN16)</f>
        <v>0</v>
      </c>
      <c r="BP16" s="42">
        <v>0</v>
      </c>
      <c r="BQ16" s="42">
        <v>0</v>
      </c>
      <c r="BR16" s="42">
        <v>0</v>
      </c>
      <c r="BS16" s="43">
        <f aca="true" t="shared" si="65" ref="BS16:BS31">+BF16-BO16+BP16+BQ16-BR16</f>
        <v>0</v>
      </c>
      <c r="BT16" s="38">
        <v>309789.1</v>
      </c>
      <c r="BU16" s="38">
        <v>5000</v>
      </c>
      <c r="BV16" s="38">
        <v>0</v>
      </c>
      <c r="BW16" s="38">
        <v>0</v>
      </c>
      <c r="BX16" s="4">
        <f aca="true" t="shared" si="66" ref="BX16:BX31">SUM(BT16:BW16)</f>
        <v>314789.1</v>
      </c>
      <c r="BY16" s="38">
        <v>89328.15</v>
      </c>
      <c r="BZ16" s="38">
        <v>0</v>
      </c>
      <c r="CA16" s="38">
        <v>225460.95</v>
      </c>
      <c r="CB16" s="4">
        <f aca="true" t="shared" si="67" ref="CB16:CB31">SUM(BY16:CA16)</f>
        <v>314789.1</v>
      </c>
      <c r="CC16" s="4">
        <f aca="true" t="shared" si="68" ref="CC16:CC31">BX16-CB16</f>
        <v>0</v>
      </c>
      <c r="CD16" s="74">
        <f aca="true" t="shared" si="69" ref="CD16:CD31">K16+L16+AV16-AW16</f>
        <v>-53881.7</v>
      </c>
      <c r="CE16" s="76">
        <f aca="true" t="shared" si="70" ref="CE16:CE31">CD16+W16-AS16</f>
        <v>-53881.7</v>
      </c>
      <c r="CF16" s="76">
        <f aca="true" t="shared" si="71" ref="CF16:CF31">BR16-BP16</f>
        <v>0</v>
      </c>
      <c r="CG16" s="76">
        <f t="shared" si="54"/>
        <v>175231.85000000003</v>
      </c>
      <c r="CH16" s="76">
        <f aca="true" t="shared" si="72" ref="CH16:CH31">I16-AG16+AY16+AH16+BQ16</f>
        <v>-942.35</v>
      </c>
      <c r="CI16" s="37">
        <f aca="true" t="shared" si="73" ref="CI16:CI31">CH16+K16</f>
        <v>-942.35</v>
      </c>
      <c r="CJ16" s="59" t="str">
        <f t="shared" si="36"/>
        <v>-</v>
      </c>
      <c r="CK16" s="59" t="str">
        <f t="shared" si="37"/>
        <v>-</v>
      </c>
      <c r="CL16" s="141">
        <f t="shared" si="38"/>
        <v>-0.3074880508309419</v>
      </c>
      <c r="CM16" s="141">
        <f t="shared" si="39"/>
        <v>-0.3074880508309419</v>
      </c>
      <c r="CN16" s="141">
        <f t="shared" si="40"/>
        <v>-0.0053777324156538886</v>
      </c>
      <c r="CO16" s="141">
        <f t="shared" si="41"/>
        <v>-0.0053777324156538886</v>
      </c>
      <c r="CP16" s="141">
        <f t="shared" si="42"/>
        <v>0</v>
      </c>
      <c r="CQ16" s="141">
        <f t="shared" si="43"/>
        <v>0</v>
      </c>
      <c r="CR16" s="142">
        <f t="shared" si="44"/>
        <v>-4.091573762520484</v>
      </c>
      <c r="CS16" s="76">
        <f t="shared" si="45"/>
        <v>220460.94999999998</v>
      </c>
      <c r="CT16" s="80">
        <f aca="true" t="shared" si="74" ref="CT16:CT31">Y16-K16-L16-V16</f>
        <v>229113.55000000002</v>
      </c>
      <c r="CU16" s="80">
        <f aca="true" t="shared" si="75" ref="CU16:CU31">AU16-AR16</f>
        <v>175231.85000000003</v>
      </c>
      <c r="CV16" s="80">
        <f aca="true" t="shared" si="76" ref="CV16:CV31">CU16-CT16</f>
        <v>-53881.69999999998</v>
      </c>
      <c r="CW16" s="80">
        <f aca="true" t="shared" si="77" ref="CW16:CW31">-V16+AR16</f>
        <v>0</v>
      </c>
      <c r="CX16" s="80">
        <f aca="true" t="shared" si="78" ref="CX16:CX31">CV16+CW16</f>
        <v>-53881.69999999998</v>
      </c>
      <c r="CY16" s="80">
        <f aca="true" t="shared" si="79" ref="CY16:CY31">CX16-K16-L16</f>
        <v>-53881.69999999998</v>
      </c>
      <c r="CZ16" s="80">
        <f aca="true" t="shared" si="80" ref="CZ16:CZ31">BR16-BP16</f>
        <v>0</v>
      </c>
      <c r="DA16" s="80">
        <f aca="true" t="shared" si="81" ref="DA16:DA31">K16+L16</f>
        <v>0</v>
      </c>
      <c r="DB16" s="80">
        <f aca="true" t="shared" si="82" ref="DB16:DB31">-CZ16+DA16+CY16</f>
        <v>-53881.69999999998</v>
      </c>
      <c r="DC16" s="80">
        <f t="shared" si="46"/>
        <v>-53881.69999999998</v>
      </c>
      <c r="DD16" s="80">
        <f aca="true" t="shared" si="83" ref="DD16:DD31">-BP16-DA16</f>
        <v>0</v>
      </c>
      <c r="DE16" s="80">
        <f aca="true" t="shared" si="84" ref="DE16:DE31">DB16+DD16+BR16</f>
        <v>-53881.69999999998</v>
      </c>
      <c r="DF16" s="80">
        <f aca="true" t="shared" si="85" ref="DF16:DF31">Z16+AA16+AB16</f>
        <v>68769.45000000001</v>
      </c>
      <c r="DG16" s="80">
        <f aca="true" t="shared" si="86" ref="DG16:DG31">CS16/B16</f>
        <v>388.1354753521126</v>
      </c>
      <c r="DH16" s="80">
        <f aca="true" t="shared" si="87" ref="DH16:DH31">CH16/B16</f>
        <v>-1.6590669014084507</v>
      </c>
      <c r="DI16" s="80">
        <f aca="true" t="shared" si="88" ref="DI16:DI31">DF16/B16</f>
        <v>121.07297535211269</v>
      </c>
      <c r="DJ16" s="81">
        <f aca="true" t="shared" si="89" ref="DJ16:DJ31">CZ16/B16</f>
        <v>0</v>
      </c>
      <c r="DK16" s="76">
        <f aca="true" t="shared" si="90" ref="DK16:DK31">DB16/B16</f>
        <v>-94.86214788732391</v>
      </c>
      <c r="DL16" s="145">
        <f t="shared" si="49"/>
        <v>220460.95</v>
      </c>
      <c r="DM16" s="67"/>
      <c r="DN16" s="68"/>
    </row>
    <row r="17" spans="1:118" ht="12.75">
      <c r="A17" s="52" t="s">
        <v>10</v>
      </c>
      <c r="B17" s="41">
        <v>387</v>
      </c>
      <c r="C17" s="4">
        <v>975525</v>
      </c>
      <c r="D17" s="69">
        <v>2520.74</v>
      </c>
      <c r="E17" s="69">
        <v>76</v>
      </c>
      <c r="F17" s="8">
        <v>4</v>
      </c>
      <c r="G17" s="131">
        <v>12530.75</v>
      </c>
      <c r="H17" s="43">
        <v>509.3</v>
      </c>
      <c r="I17" s="43">
        <v>7174.2</v>
      </c>
      <c r="J17" s="43">
        <v>0</v>
      </c>
      <c r="K17" s="43">
        <v>0</v>
      </c>
      <c r="L17" s="43">
        <v>0</v>
      </c>
      <c r="M17" s="43">
        <f t="shared" si="0"/>
        <v>0</v>
      </c>
      <c r="N17" s="43">
        <v>0</v>
      </c>
      <c r="O17" s="43">
        <v>0</v>
      </c>
      <c r="P17" s="43">
        <v>70215.5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f t="shared" si="57"/>
        <v>0</v>
      </c>
      <c r="X17" s="43">
        <v>0</v>
      </c>
      <c r="Y17" s="43">
        <f t="shared" si="58"/>
        <v>90429.75</v>
      </c>
      <c r="Z17" s="43">
        <v>65929.5</v>
      </c>
      <c r="AA17" s="43">
        <v>1543</v>
      </c>
      <c r="AB17" s="43">
        <v>0</v>
      </c>
      <c r="AC17" s="43">
        <v>6355.9</v>
      </c>
      <c r="AD17" s="43">
        <v>0</v>
      </c>
      <c r="AE17" s="43">
        <f t="shared" si="59"/>
        <v>73828.4</v>
      </c>
      <c r="AF17" s="43">
        <v>0</v>
      </c>
      <c r="AG17" s="43">
        <v>2590.55</v>
      </c>
      <c r="AH17" s="43">
        <v>0</v>
      </c>
      <c r="AI17" s="43">
        <v>7822.1</v>
      </c>
      <c r="AJ17" s="43">
        <v>0</v>
      </c>
      <c r="AK17" s="43">
        <v>0</v>
      </c>
      <c r="AL17" s="43">
        <v>0</v>
      </c>
      <c r="AM17" s="43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60"/>
        <v>0</v>
      </c>
      <c r="AT17" s="4">
        <v>0</v>
      </c>
      <c r="AU17" s="4">
        <f t="shared" si="61"/>
        <v>84241.04999999999</v>
      </c>
      <c r="AV17" s="4">
        <v>0</v>
      </c>
      <c r="AW17" s="4">
        <v>6188.7</v>
      </c>
      <c r="AX17" s="4">
        <f t="shared" si="62"/>
        <v>1.1823431123048067E-11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f t="shared" si="63"/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f t="shared" si="64"/>
        <v>0</v>
      </c>
      <c r="BP17" s="43">
        <v>0</v>
      </c>
      <c r="BQ17" s="43">
        <v>0</v>
      </c>
      <c r="BR17" s="43">
        <v>0</v>
      </c>
      <c r="BS17" s="43">
        <f t="shared" si="65"/>
        <v>0</v>
      </c>
      <c r="BT17" s="4">
        <v>66970.3</v>
      </c>
      <c r="BU17" s="4">
        <v>95000</v>
      </c>
      <c r="BV17" s="4">
        <v>0</v>
      </c>
      <c r="BW17" s="4">
        <f>6188.7+26118.8</f>
        <v>32307.5</v>
      </c>
      <c r="BX17" s="4">
        <f t="shared" si="66"/>
        <v>194277.8</v>
      </c>
      <c r="BY17" s="4">
        <v>194277.8</v>
      </c>
      <c r="BZ17" s="4">
        <v>0</v>
      </c>
      <c r="CA17" s="4">
        <v>0</v>
      </c>
      <c r="CB17" s="4">
        <f t="shared" si="67"/>
        <v>194277.8</v>
      </c>
      <c r="CC17" s="4">
        <f t="shared" si="68"/>
        <v>0</v>
      </c>
      <c r="CD17" s="74">
        <f>K17+L17+AV17-AW17</f>
        <v>-6188.7</v>
      </c>
      <c r="CE17" s="76">
        <f t="shared" si="70"/>
        <v>-6188.7</v>
      </c>
      <c r="CF17" s="76">
        <f t="shared" si="71"/>
        <v>0</v>
      </c>
      <c r="CG17" s="76">
        <f t="shared" si="54"/>
        <v>84241.04999999999</v>
      </c>
      <c r="CH17" s="76">
        <f t="shared" si="72"/>
        <v>4583.65</v>
      </c>
      <c r="CI17" s="37">
        <f t="shared" si="73"/>
        <v>4583.65</v>
      </c>
      <c r="CJ17" s="59" t="str">
        <f t="shared" si="36"/>
        <v>-</v>
      </c>
      <c r="CK17" s="59" t="str">
        <f t="shared" si="37"/>
        <v>-</v>
      </c>
      <c r="CL17" s="141">
        <f t="shared" si="38"/>
        <v>-0.07346418402904523</v>
      </c>
      <c r="CM17" s="141">
        <f t="shared" si="39"/>
        <v>-0.07346418402904523</v>
      </c>
      <c r="CN17" s="141">
        <f t="shared" si="40"/>
        <v>0.05441112141883322</v>
      </c>
      <c r="CO17" s="141">
        <f t="shared" si="41"/>
        <v>0.05441112141883322</v>
      </c>
      <c r="CP17" s="141">
        <f t="shared" si="42"/>
        <v>0</v>
      </c>
      <c r="CQ17" s="141">
        <f t="shared" si="43"/>
        <v>0</v>
      </c>
      <c r="CR17" s="142">
        <f t="shared" si="44"/>
        <v>20.570959975439106</v>
      </c>
      <c r="CS17" s="76">
        <f t="shared" si="45"/>
        <v>-127307.49999999999</v>
      </c>
      <c r="CT17" s="80">
        <f t="shared" si="74"/>
        <v>90429.75</v>
      </c>
      <c r="CU17" s="80">
        <f t="shared" si="75"/>
        <v>84241.04999999999</v>
      </c>
      <c r="CV17" s="80">
        <f t="shared" si="76"/>
        <v>-6188.700000000012</v>
      </c>
      <c r="CW17" s="80">
        <f t="shared" si="77"/>
        <v>0</v>
      </c>
      <c r="CX17" s="80">
        <f t="shared" si="78"/>
        <v>-6188.700000000012</v>
      </c>
      <c r="CY17" s="80">
        <f t="shared" si="79"/>
        <v>-6188.700000000012</v>
      </c>
      <c r="CZ17" s="80">
        <f t="shared" si="80"/>
        <v>0</v>
      </c>
      <c r="DA17" s="80">
        <f t="shared" si="81"/>
        <v>0</v>
      </c>
      <c r="DB17" s="80">
        <f t="shared" si="82"/>
        <v>-6188.700000000012</v>
      </c>
      <c r="DC17" s="80">
        <f t="shared" si="46"/>
        <v>-6188.700000000012</v>
      </c>
      <c r="DD17" s="80">
        <f t="shared" si="83"/>
        <v>0</v>
      </c>
      <c r="DE17" s="80">
        <f t="shared" si="84"/>
        <v>-6188.700000000012</v>
      </c>
      <c r="DF17" s="80">
        <f t="shared" si="85"/>
        <v>67472.5</v>
      </c>
      <c r="DG17" s="80">
        <f t="shared" si="86"/>
        <v>-328.9599483204134</v>
      </c>
      <c r="DH17" s="80">
        <f t="shared" si="87"/>
        <v>11.844056847545218</v>
      </c>
      <c r="DI17" s="80">
        <f t="shared" si="88"/>
        <v>174.34754521963825</v>
      </c>
      <c r="DJ17" s="81">
        <f t="shared" si="89"/>
        <v>0</v>
      </c>
      <c r="DK17" s="76">
        <f t="shared" si="90"/>
        <v>-15.991472868217084</v>
      </c>
      <c r="DL17" s="145">
        <f t="shared" si="49"/>
        <v>-127307.5</v>
      </c>
      <c r="DM17" s="64"/>
      <c r="DN17" s="65"/>
    </row>
    <row r="18" spans="1:118" ht="12.75">
      <c r="A18" s="51" t="s">
        <v>11</v>
      </c>
      <c r="B18" s="46">
        <v>1047</v>
      </c>
      <c r="C18" s="38">
        <v>7016789</v>
      </c>
      <c r="D18" s="66">
        <v>6701.8</v>
      </c>
      <c r="E18" s="66">
        <v>202.05</v>
      </c>
      <c r="F18" s="126">
        <v>1</v>
      </c>
      <c r="G18" s="132">
        <v>31464.05</v>
      </c>
      <c r="H18" s="42">
        <v>306620.6</v>
      </c>
      <c r="I18" s="42">
        <v>802.2</v>
      </c>
      <c r="J18" s="42">
        <v>0</v>
      </c>
      <c r="K18" s="42">
        <v>0</v>
      </c>
      <c r="L18" s="42">
        <v>0</v>
      </c>
      <c r="M18" s="43">
        <f t="shared" si="0"/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3">
        <f t="shared" si="57"/>
        <v>0</v>
      </c>
      <c r="X18" s="42">
        <v>0</v>
      </c>
      <c r="Y18" s="43">
        <f t="shared" si="58"/>
        <v>338886.85</v>
      </c>
      <c r="Z18" s="42">
        <v>179159</v>
      </c>
      <c r="AA18" s="42">
        <v>0</v>
      </c>
      <c r="AB18" s="42">
        <v>0</v>
      </c>
      <c r="AC18" s="42">
        <v>17195.4</v>
      </c>
      <c r="AD18" s="42">
        <v>0</v>
      </c>
      <c r="AE18" s="43">
        <f t="shared" si="59"/>
        <v>196354.4</v>
      </c>
      <c r="AF18" s="42">
        <v>0</v>
      </c>
      <c r="AG18" s="42">
        <v>49081.7</v>
      </c>
      <c r="AH18" s="42">
        <v>0</v>
      </c>
      <c r="AI18" s="42">
        <v>76211.85</v>
      </c>
      <c r="AJ18" s="42">
        <v>0</v>
      </c>
      <c r="AK18" s="42">
        <v>0</v>
      </c>
      <c r="AL18" s="42">
        <v>0</v>
      </c>
      <c r="AM18" s="42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60"/>
        <v>0</v>
      </c>
      <c r="AT18" s="38">
        <v>0</v>
      </c>
      <c r="AU18" s="4">
        <f t="shared" si="61"/>
        <v>321647.94999999995</v>
      </c>
      <c r="AV18" s="38">
        <v>0</v>
      </c>
      <c r="AW18" s="38">
        <v>17238.9</v>
      </c>
      <c r="AX18" s="4">
        <f t="shared" si="62"/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63"/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3">
        <f t="shared" si="64"/>
        <v>0</v>
      </c>
      <c r="BP18" s="42">
        <v>0</v>
      </c>
      <c r="BQ18" s="42">
        <v>0</v>
      </c>
      <c r="BR18" s="42">
        <v>0</v>
      </c>
      <c r="BS18" s="43">
        <f t="shared" si="65"/>
        <v>0</v>
      </c>
      <c r="BT18" s="38">
        <v>1660648.6</v>
      </c>
      <c r="BU18" s="38">
        <v>0</v>
      </c>
      <c r="BV18" s="38">
        <v>0</v>
      </c>
      <c r="BW18" s="38">
        <v>0</v>
      </c>
      <c r="BX18" s="4">
        <f t="shared" si="66"/>
        <v>1660648.6</v>
      </c>
      <c r="BY18" s="38">
        <v>206988.3</v>
      </c>
      <c r="BZ18" s="38">
        <v>0</v>
      </c>
      <c r="CA18" s="38">
        <v>1453660.3</v>
      </c>
      <c r="CB18" s="4">
        <f t="shared" si="67"/>
        <v>1660648.6</v>
      </c>
      <c r="CC18" s="4">
        <f t="shared" si="68"/>
        <v>0</v>
      </c>
      <c r="CD18" s="74">
        <f t="shared" si="69"/>
        <v>-17238.9</v>
      </c>
      <c r="CE18" s="76">
        <f t="shared" si="70"/>
        <v>-17238.9</v>
      </c>
      <c r="CF18" s="76">
        <f t="shared" si="71"/>
        <v>0</v>
      </c>
      <c r="CG18" s="76">
        <f t="shared" si="54"/>
        <v>321647.94999999995</v>
      </c>
      <c r="CH18" s="76">
        <f t="shared" si="72"/>
        <v>-48279.5</v>
      </c>
      <c r="CI18" s="37">
        <f t="shared" si="73"/>
        <v>-48279.5</v>
      </c>
      <c r="CJ18" s="59" t="str">
        <f t="shared" si="36"/>
        <v>-</v>
      </c>
      <c r="CK18" s="59" t="str">
        <f t="shared" si="37"/>
        <v>-</v>
      </c>
      <c r="CL18" s="141">
        <f t="shared" si="38"/>
        <v>-0.05359555377237755</v>
      </c>
      <c r="CM18" s="141">
        <f t="shared" si="39"/>
        <v>-0.05359555377237755</v>
      </c>
      <c r="CN18" s="141">
        <f t="shared" si="40"/>
        <v>-0.15010044366830258</v>
      </c>
      <c r="CO18" s="141">
        <f t="shared" si="41"/>
        <v>-0.15010044366830258</v>
      </c>
      <c r="CP18" s="141" t="str">
        <f t="shared" si="42"/>
        <v>-</v>
      </c>
      <c r="CQ18" s="141" t="str">
        <f t="shared" si="43"/>
        <v>-</v>
      </c>
      <c r="CR18" s="142">
        <f t="shared" si="44"/>
        <v>-84.32442325206364</v>
      </c>
      <c r="CS18" s="76">
        <f t="shared" si="45"/>
        <v>1453660.3</v>
      </c>
      <c r="CT18" s="80">
        <f t="shared" si="74"/>
        <v>338886.85</v>
      </c>
      <c r="CU18" s="80">
        <f t="shared" si="75"/>
        <v>321647.94999999995</v>
      </c>
      <c r="CV18" s="80">
        <f t="shared" si="76"/>
        <v>-17238.900000000023</v>
      </c>
      <c r="CW18" s="80">
        <f t="shared" si="77"/>
        <v>0</v>
      </c>
      <c r="CX18" s="80">
        <f t="shared" si="78"/>
        <v>-17238.900000000023</v>
      </c>
      <c r="CY18" s="80">
        <f t="shared" si="79"/>
        <v>-17238.900000000023</v>
      </c>
      <c r="CZ18" s="80">
        <f t="shared" si="80"/>
        <v>0</v>
      </c>
      <c r="DA18" s="80">
        <f t="shared" si="81"/>
        <v>0</v>
      </c>
      <c r="DB18" s="80">
        <f t="shared" si="82"/>
        <v>-17238.900000000023</v>
      </c>
      <c r="DC18" s="80">
        <f t="shared" si="46"/>
        <v>-17238.900000000023</v>
      </c>
      <c r="DD18" s="80">
        <f t="shared" si="83"/>
        <v>0</v>
      </c>
      <c r="DE18" s="80">
        <f t="shared" si="84"/>
        <v>-17238.900000000023</v>
      </c>
      <c r="DF18" s="80">
        <f t="shared" si="85"/>
        <v>179159</v>
      </c>
      <c r="DG18" s="80">
        <f t="shared" si="86"/>
        <v>1388.405253104107</v>
      </c>
      <c r="DH18" s="80">
        <f t="shared" si="87"/>
        <v>-46.112225405921684</v>
      </c>
      <c r="DI18" s="80">
        <f t="shared" si="88"/>
        <v>171.11652340019103</v>
      </c>
      <c r="DJ18" s="81">
        <f t="shared" si="89"/>
        <v>0</v>
      </c>
      <c r="DK18" s="76">
        <f t="shared" si="90"/>
        <v>-16.465042979942716</v>
      </c>
      <c r="DL18" s="145">
        <f t="shared" si="49"/>
        <v>1453660.3</v>
      </c>
      <c r="DM18" s="67"/>
      <c r="DN18" s="68"/>
    </row>
    <row r="19" spans="1:118" ht="12.75">
      <c r="A19" s="52" t="s">
        <v>35</v>
      </c>
      <c r="B19" s="41">
        <v>2931</v>
      </c>
      <c r="C19" s="4">
        <v>9368123</v>
      </c>
      <c r="D19" s="69">
        <v>3196.22</v>
      </c>
      <c r="E19" s="69">
        <v>96.36</v>
      </c>
      <c r="F19" s="8">
        <v>4</v>
      </c>
      <c r="G19" s="131">
        <v>65862.9</v>
      </c>
      <c r="H19" s="43">
        <v>20396.2</v>
      </c>
      <c r="I19" s="43">
        <v>42000.9</v>
      </c>
      <c r="J19" s="43">
        <v>0</v>
      </c>
      <c r="K19" s="43">
        <v>0</v>
      </c>
      <c r="L19" s="43">
        <v>0</v>
      </c>
      <c r="M19" s="43">
        <f t="shared" si="0"/>
        <v>0</v>
      </c>
      <c r="N19" s="43">
        <v>0</v>
      </c>
      <c r="O19" s="43">
        <v>377.05</v>
      </c>
      <c r="P19" s="43">
        <v>1176728.8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f t="shared" si="57"/>
        <v>0</v>
      </c>
      <c r="X19" s="43">
        <v>0</v>
      </c>
      <c r="Y19" s="43">
        <f t="shared" si="58"/>
        <v>1305365.85</v>
      </c>
      <c r="Z19" s="43">
        <v>560570.5</v>
      </c>
      <c r="AA19" s="43">
        <v>43368.6</v>
      </c>
      <c r="AB19" s="43">
        <v>0</v>
      </c>
      <c r="AC19" s="43">
        <v>48137.3</v>
      </c>
      <c r="AD19" s="43">
        <v>0</v>
      </c>
      <c r="AE19" s="43">
        <f t="shared" si="59"/>
        <v>652076.4</v>
      </c>
      <c r="AF19" s="43">
        <v>0</v>
      </c>
      <c r="AG19" s="43">
        <v>21099.7</v>
      </c>
      <c r="AH19" s="43">
        <v>139.65</v>
      </c>
      <c r="AI19" s="43">
        <v>690952</v>
      </c>
      <c r="AJ19" s="43">
        <v>0</v>
      </c>
      <c r="AK19" s="43">
        <v>0</v>
      </c>
      <c r="AL19" s="43">
        <v>107971.9</v>
      </c>
      <c r="AM19" s="43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60"/>
        <v>0</v>
      </c>
      <c r="AT19" s="4">
        <v>0</v>
      </c>
      <c r="AU19" s="4">
        <f t="shared" si="61"/>
        <v>1472100</v>
      </c>
      <c r="AV19" s="4">
        <v>166734.15</v>
      </c>
      <c r="AW19" s="4">
        <v>0</v>
      </c>
      <c r="AX19" s="4">
        <f t="shared" si="62"/>
        <v>8.731149137020111E-11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f t="shared" si="63"/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f t="shared" si="64"/>
        <v>0</v>
      </c>
      <c r="BP19" s="43">
        <v>0</v>
      </c>
      <c r="BQ19" s="43">
        <v>0</v>
      </c>
      <c r="BR19" s="43">
        <v>0</v>
      </c>
      <c r="BS19" s="43">
        <f t="shared" si="65"/>
        <v>0</v>
      </c>
      <c r="BT19" s="4">
        <v>1806706.35</v>
      </c>
      <c r="BU19" s="4">
        <v>0</v>
      </c>
      <c r="BV19" s="4">
        <v>0</v>
      </c>
      <c r="BW19" s="4">
        <v>0</v>
      </c>
      <c r="BX19" s="4">
        <f t="shared" si="66"/>
        <v>1806706.35</v>
      </c>
      <c r="BY19" s="4">
        <v>929934.1</v>
      </c>
      <c r="BZ19" s="4">
        <v>0</v>
      </c>
      <c r="CA19" s="4">
        <v>876772.25</v>
      </c>
      <c r="CB19" s="4">
        <f t="shared" si="67"/>
        <v>1806706.35</v>
      </c>
      <c r="CC19" s="4">
        <f t="shared" si="68"/>
        <v>0</v>
      </c>
      <c r="CD19" s="74">
        <f t="shared" si="69"/>
        <v>166734.15</v>
      </c>
      <c r="CE19" s="76">
        <f t="shared" si="70"/>
        <v>166734.15</v>
      </c>
      <c r="CF19" s="76">
        <f t="shared" si="71"/>
        <v>0</v>
      </c>
      <c r="CG19" s="76">
        <f t="shared" si="54"/>
        <v>1472100</v>
      </c>
      <c r="CH19" s="76">
        <f t="shared" si="72"/>
        <v>21040.850000000002</v>
      </c>
      <c r="CI19" s="37">
        <f t="shared" si="73"/>
        <v>21040.850000000002</v>
      </c>
      <c r="CJ19" s="59" t="str">
        <f t="shared" si="36"/>
        <v>-</v>
      </c>
      <c r="CK19" s="59" t="str">
        <f t="shared" si="37"/>
        <v>-</v>
      </c>
      <c r="CL19" s="141">
        <f t="shared" si="38"/>
        <v>0.113262787854086</v>
      </c>
      <c r="CM19" s="141">
        <f t="shared" si="39"/>
        <v>0.113262787854086</v>
      </c>
      <c r="CN19" s="141">
        <f t="shared" si="40"/>
        <v>0.014293084708919232</v>
      </c>
      <c r="CO19" s="141">
        <f t="shared" si="41"/>
        <v>0.014293084708919232</v>
      </c>
      <c r="CP19" s="141" t="str">
        <f t="shared" si="42"/>
        <v>-</v>
      </c>
      <c r="CQ19" s="141" t="str">
        <f t="shared" si="43"/>
        <v>-</v>
      </c>
      <c r="CR19" s="142">
        <f t="shared" si="44"/>
        <v>5.2585043315961375</v>
      </c>
      <c r="CS19" s="76">
        <f t="shared" si="45"/>
        <v>876772.2500000001</v>
      </c>
      <c r="CT19" s="80">
        <f t="shared" si="74"/>
        <v>1305365.85</v>
      </c>
      <c r="CU19" s="80">
        <f t="shared" si="75"/>
        <v>1472100</v>
      </c>
      <c r="CV19" s="80">
        <f t="shared" si="76"/>
        <v>166734.1499999999</v>
      </c>
      <c r="CW19" s="80">
        <f t="shared" si="77"/>
        <v>0</v>
      </c>
      <c r="CX19" s="80">
        <f t="shared" si="78"/>
        <v>166734.1499999999</v>
      </c>
      <c r="CY19" s="80">
        <f t="shared" si="79"/>
        <v>166734.1499999999</v>
      </c>
      <c r="CZ19" s="80">
        <f t="shared" si="80"/>
        <v>0</v>
      </c>
      <c r="DA19" s="80">
        <f t="shared" si="81"/>
        <v>0</v>
      </c>
      <c r="DB19" s="80">
        <f t="shared" si="82"/>
        <v>166734.1499999999</v>
      </c>
      <c r="DC19" s="80">
        <f t="shared" si="46"/>
        <v>166734.1499999999</v>
      </c>
      <c r="DD19" s="80">
        <f t="shared" si="83"/>
        <v>0</v>
      </c>
      <c r="DE19" s="80">
        <f t="shared" si="84"/>
        <v>166734.1499999999</v>
      </c>
      <c r="DF19" s="80">
        <f t="shared" si="85"/>
        <v>603939.1</v>
      </c>
      <c r="DG19" s="80">
        <f t="shared" si="86"/>
        <v>299.1375810303651</v>
      </c>
      <c r="DH19" s="80">
        <f t="shared" si="87"/>
        <v>7.178727396792905</v>
      </c>
      <c r="DI19" s="80">
        <f t="shared" si="88"/>
        <v>206.0522347321733</v>
      </c>
      <c r="DJ19" s="81">
        <f t="shared" si="89"/>
        <v>0</v>
      </c>
      <c r="DK19" s="76">
        <f t="shared" si="90"/>
        <v>56.886438075742035</v>
      </c>
      <c r="DL19" s="145">
        <f t="shared" si="49"/>
        <v>876772.25</v>
      </c>
      <c r="DM19" s="64"/>
      <c r="DN19" s="65"/>
    </row>
    <row r="20" spans="1:118" ht="12.75">
      <c r="A20" s="51" t="s">
        <v>12</v>
      </c>
      <c r="B20" s="46">
        <v>445</v>
      </c>
      <c r="C20" s="38">
        <v>1224285</v>
      </c>
      <c r="D20" s="66">
        <v>2751.2</v>
      </c>
      <c r="E20" s="66">
        <v>82.94</v>
      </c>
      <c r="F20" s="126">
        <v>4</v>
      </c>
      <c r="G20" s="132">
        <v>6590</v>
      </c>
      <c r="H20" s="42">
        <v>725.75</v>
      </c>
      <c r="I20" s="42">
        <v>0</v>
      </c>
      <c r="J20" s="42">
        <v>0</v>
      </c>
      <c r="K20" s="42">
        <v>0</v>
      </c>
      <c r="L20" s="42">
        <v>0</v>
      </c>
      <c r="M20" s="43">
        <f t="shared" si="0"/>
        <v>0</v>
      </c>
      <c r="N20" s="42">
        <v>0</v>
      </c>
      <c r="O20" s="42">
        <v>2227.25</v>
      </c>
      <c r="P20" s="42">
        <v>145561.1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3">
        <f t="shared" si="57"/>
        <v>0</v>
      </c>
      <c r="X20" s="42">
        <v>0</v>
      </c>
      <c r="Y20" s="43">
        <f t="shared" si="58"/>
        <v>155104.1</v>
      </c>
      <c r="Z20" s="42">
        <v>69143.45</v>
      </c>
      <c r="AA20" s="42">
        <v>25102.15</v>
      </c>
      <c r="AB20" s="42">
        <v>0</v>
      </c>
      <c r="AC20" s="42">
        <v>7308.45</v>
      </c>
      <c r="AD20" s="42">
        <v>0</v>
      </c>
      <c r="AE20" s="43">
        <f t="shared" si="59"/>
        <v>101554.05</v>
      </c>
      <c r="AF20" s="42">
        <v>0</v>
      </c>
      <c r="AG20" s="42">
        <v>1001.15</v>
      </c>
      <c r="AH20" s="42">
        <v>0</v>
      </c>
      <c r="AI20" s="42">
        <v>62805.1</v>
      </c>
      <c r="AJ20" s="42">
        <v>0</v>
      </c>
      <c r="AK20" s="42">
        <v>2250</v>
      </c>
      <c r="AL20" s="42">
        <v>0</v>
      </c>
      <c r="AM20" s="42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60"/>
        <v>0</v>
      </c>
      <c r="AT20" s="38">
        <v>0</v>
      </c>
      <c r="AU20" s="4">
        <f t="shared" si="61"/>
        <v>167610.3</v>
      </c>
      <c r="AV20" s="38">
        <v>12506.2</v>
      </c>
      <c r="AW20" s="38">
        <v>0</v>
      </c>
      <c r="AX20" s="4">
        <f t="shared" si="62"/>
        <v>1.8189894035458565E-11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3">
        <f t="shared" si="63"/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3">
        <f t="shared" si="64"/>
        <v>0</v>
      </c>
      <c r="BP20" s="42">
        <v>0</v>
      </c>
      <c r="BQ20" s="42">
        <v>0</v>
      </c>
      <c r="BR20" s="42">
        <v>0</v>
      </c>
      <c r="BS20" s="43">
        <f t="shared" si="65"/>
        <v>0</v>
      </c>
      <c r="BT20" s="38">
        <v>221155.23</v>
      </c>
      <c r="BU20" s="38">
        <v>0</v>
      </c>
      <c r="BV20" s="38">
        <v>0</v>
      </c>
      <c r="BW20" s="38">
        <v>0</v>
      </c>
      <c r="BX20" s="4">
        <f t="shared" si="66"/>
        <v>221155.23</v>
      </c>
      <c r="BY20" s="38">
        <v>64673.95</v>
      </c>
      <c r="BZ20" s="38">
        <v>0</v>
      </c>
      <c r="CA20" s="38">
        <v>156481.28</v>
      </c>
      <c r="CB20" s="4">
        <f t="shared" si="67"/>
        <v>221155.22999999998</v>
      </c>
      <c r="CC20" s="4">
        <f t="shared" si="68"/>
        <v>0</v>
      </c>
      <c r="CD20" s="74">
        <f t="shared" si="69"/>
        <v>12506.2</v>
      </c>
      <c r="CE20" s="76">
        <f t="shared" si="70"/>
        <v>12506.2</v>
      </c>
      <c r="CF20" s="76">
        <f t="shared" si="71"/>
        <v>0</v>
      </c>
      <c r="CG20" s="76">
        <f t="shared" si="54"/>
        <v>167610.3</v>
      </c>
      <c r="CH20" s="76">
        <f t="shared" si="72"/>
        <v>-1001.15</v>
      </c>
      <c r="CI20" s="37">
        <f t="shared" si="73"/>
        <v>-1001.15</v>
      </c>
      <c r="CJ20" s="59" t="str">
        <f t="shared" si="36"/>
        <v>-</v>
      </c>
      <c r="CK20" s="59" t="str">
        <f t="shared" si="37"/>
        <v>-</v>
      </c>
      <c r="CL20" s="141">
        <f t="shared" si="38"/>
        <v>0.07461474622979615</v>
      </c>
      <c r="CM20" s="141">
        <f t="shared" si="39"/>
        <v>0.07461474622979615</v>
      </c>
      <c r="CN20" s="141">
        <f t="shared" si="40"/>
        <v>-0.005973081606559979</v>
      </c>
      <c r="CO20" s="141">
        <f t="shared" si="41"/>
        <v>-0.005973081606559979</v>
      </c>
      <c r="CP20" s="141" t="str">
        <f t="shared" si="42"/>
        <v>-</v>
      </c>
      <c r="CQ20" s="141" t="str">
        <f t="shared" si="43"/>
        <v>-</v>
      </c>
      <c r="CR20" s="142">
        <f t="shared" si="44"/>
        <v>12.512296301034688</v>
      </c>
      <c r="CS20" s="76">
        <f t="shared" si="45"/>
        <v>156481.28000000003</v>
      </c>
      <c r="CT20" s="80">
        <f t="shared" si="74"/>
        <v>155104.1</v>
      </c>
      <c r="CU20" s="80">
        <f t="shared" si="75"/>
        <v>167610.3</v>
      </c>
      <c r="CV20" s="80">
        <f t="shared" si="76"/>
        <v>12506.199999999983</v>
      </c>
      <c r="CW20" s="80">
        <f t="shared" si="77"/>
        <v>0</v>
      </c>
      <c r="CX20" s="80">
        <f t="shared" si="78"/>
        <v>12506.199999999983</v>
      </c>
      <c r="CY20" s="80">
        <f t="shared" si="79"/>
        <v>12506.199999999983</v>
      </c>
      <c r="CZ20" s="80">
        <f t="shared" si="80"/>
        <v>0</v>
      </c>
      <c r="DA20" s="80">
        <f t="shared" si="81"/>
        <v>0</v>
      </c>
      <c r="DB20" s="80">
        <f t="shared" si="82"/>
        <v>12506.199999999983</v>
      </c>
      <c r="DC20" s="80">
        <f t="shared" si="46"/>
        <v>12506.199999999983</v>
      </c>
      <c r="DD20" s="80">
        <f t="shared" si="83"/>
        <v>0</v>
      </c>
      <c r="DE20" s="80">
        <f t="shared" si="84"/>
        <v>12506.199999999983</v>
      </c>
      <c r="DF20" s="80">
        <f t="shared" si="85"/>
        <v>94245.6</v>
      </c>
      <c r="DG20" s="80">
        <f t="shared" si="86"/>
        <v>351.6433258426967</v>
      </c>
      <c r="DH20" s="80">
        <f t="shared" si="87"/>
        <v>-2.2497752808988762</v>
      </c>
      <c r="DI20" s="80">
        <f t="shared" si="88"/>
        <v>211.78786516853933</v>
      </c>
      <c r="DJ20" s="81">
        <f t="shared" si="89"/>
        <v>0</v>
      </c>
      <c r="DK20" s="76">
        <f t="shared" si="90"/>
        <v>28.103820224719062</v>
      </c>
      <c r="DL20" s="145">
        <f t="shared" si="49"/>
        <v>156481.28</v>
      </c>
      <c r="DM20" s="67"/>
      <c r="DN20" s="68"/>
    </row>
    <row r="21" spans="1:118" ht="12.75">
      <c r="A21" s="52" t="s">
        <v>13</v>
      </c>
      <c r="B21" s="41">
        <v>3926</v>
      </c>
      <c r="C21" s="4">
        <v>16310356</v>
      </c>
      <c r="D21" s="69">
        <v>4154.45</v>
      </c>
      <c r="E21" s="69">
        <v>125.25</v>
      </c>
      <c r="F21" s="8">
        <v>2</v>
      </c>
      <c r="G21" s="131">
        <v>143030.25</v>
      </c>
      <c r="H21" s="43">
        <v>33803.95</v>
      </c>
      <c r="I21" s="43">
        <v>0</v>
      </c>
      <c r="J21" s="43">
        <v>0</v>
      </c>
      <c r="K21" s="43">
        <v>0</v>
      </c>
      <c r="L21" s="43">
        <v>0</v>
      </c>
      <c r="M21" s="43">
        <f t="shared" si="0"/>
        <v>0</v>
      </c>
      <c r="N21" s="43">
        <v>0</v>
      </c>
      <c r="O21" s="43">
        <v>1432.05</v>
      </c>
      <c r="P21" s="43">
        <v>1331385.6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f t="shared" si="57"/>
        <v>0</v>
      </c>
      <c r="X21" s="43">
        <v>44247</v>
      </c>
      <c r="Y21" s="43">
        <f t="shared" si="58"/>
        <v>1553898.85</v>
      </c>
      <c r="Z21" s="43">
        <v>671345.9</v>
      </c>
      <c r="AA21" s="43">
        <v>148649.4</v>
      </c>
      <c r="AB21" s="43">
        <v>0</v>
      </c>
      <c r="AC21" s="43">
        <v>64478.8</v>
      </c>
      <c r="AD21" s="43">
        <v>0</v>
      </c>
      <c r="AE21" s="43">
        <f t="shared" si="59"/>
        <v>884474.1000000001</v>
      </c>
      <c r="AF21" s="43">
        <v>0</v>
      </c>
      <c r="AG21" s="43">
        <v>5566.15</v>
      </c>
      <c r="AH21" s="43">
        <v>0</v>
      </c>
      <c r="AI21" s="43">
        <v>692455.67</v>
      </c>
      <c r="AJ21" s="43">
        <v>0</v>
      </c>
      <c r="AK21" s="43">
        <v>80710</v>
      </c>
      <c r="AL21" s="43">
        <v>0</v>
      </c>
      <c r="AM21" s="43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60"/>
        <v>0</v>
      </c>
      <c r="AT21" s="4">
        <v>44247</v>
      </c>
      <c r="AU21" s="4">
        <f t="shared" si="61"/>
        <v>1707452.92</v>
      </c>
      <c r="AV21" s="4">
        <v>153554.07</v>
      </c>
      <c r="AW21" s="4">
        <v>0</v>
      </c>
      <c r="AX21" s="4">
        <f t="shared" si="62"/>
        <v>1.7462298274040222E-10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f t="shared" si="63"/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f t="shared" si="64"/>
        <v>0</v>
      </c>
      <c r="BP21" s="43">
        <v>0</v>
      </c>
      <c r="BQ21" s="43">
        <v>0</v>
      </c>
      <c r="BR21" s="43">
        <v>0</v>
      </c>
      <c r="BS21" s="43">
        <f t="shared" si="65"/>
        <v>0</v>
      </c>
      <c r="BT21" s="4">
        <v>1239651.45</v>
      </c>
      <c r="BU21" s="4">
        <v>0</v>
      </c>
      <c r="BV21" s="4">
        <v>0</v>
      </c>
      <c r="BW21" s="4">
        <v>0</v>
      </c>
      <c r="BX21" s="4">
        <f t="shared" si="66"/>
        <v>1239651.45</v>
      </c>
      <c r="BY21" s="4">
        <v>392980.72</v>
      </c>
      <c r="BZ21" s="4">
        <v>0</v>
      </c>
      <c r="CA21" s="4">
        <v>846670.73</v>
      </c>
      <c r="CB21" s="4">
        <f t="shared" si="67"/>
        <v>1239651.45</v>
      </c>
      <c r="CC21" s="4">
        <f t="shared" si="68"/>
        <v>0</v>
      </c>
      <c r="CD21" s="74">
        <f t="shared" si="69"/>
        <v>153554.07</v>
      </c>
      <c r="CE21" s="76">
        <f t="shared" si="70"/>
        <v>153554.07</v>
      </c>
      <c r="CF21" s="76">
        <f t="shared" si="71"/>
        <v>0</v>
      </c>
      <c r="CG21" s="76">
        <f t="shared" si="54"/>
        <v>1663205.92</v>
      </c>
      <c r="CH21" s="76">
        <f t="shared" si="72"/>
        <v>-5566.15</v>
      </c>
      <c r="CI21" s="37">
        <f t="shared" si="73"/>
        <v>-5566.15</v>
      </c>
      <c r="CJ21" s="59" t="str">
        <f t="shared" si="36"/>
        <v>-</v>
      </c>
      <c r="CK21" s="59" t="str">
        <f t="shared" si="37"/>
        <v>-</v>
      </c>
      <c r="CL21" s="141">
        <f t="shared" si="38"/>
        <v>0.09232414829307486</v>
      </c>
      <c r="CM21" s="141">
        <f t="shared" si="39"/>
        <v>0.09232414829307486</v>
      </c>
      <c r="CN21" s="141">
        <f t="shared" si="40"/>
        <v>-0.003346639122111831</v>
      </c>
      <c r="CO21" s="141">
        <f t="shared" si="41"/>
        <v>-0.003346639122111831</v>
      </c>
      <c r="CP21" s="141" t="str">
        <f t="shared" si="42"/>
        <v>-</v>
      </c>
      <c r="CQ21" s="141" t="str">
        <f t="shared" si="43"/>
        <v>-</v>
      </c>
      <c r="CR21" s="142">
        <f t="shared" si="44"/>
        <v>5.5138279955718525</v>
      </c>
      <c r="CS21" s="76">
        <f t="shared" si="45"/>
        <v>846670.73</v>
      </c>
      <c r="CT21" s="80">
        <f t="shared" si="74"/>
        <v>1553898.85</v>
      </c>
      <c r="CU21" s="80">
        <f t="shared" si="75"/>
        <v>1707452.92</v>
      </c>
      <c r="CV21" s="80">
        <f t="shared" si="76"/>
        <v>153554.06999999983</v>
      </c>
      <c r="CW21" s="80">
        <f t="shared" si="77"/>
        <v>0</v>
      </c>
      <c r="CX21" s="80">
        <f t="shared" si="78"/>
        <v>153554.06999999983</v>
      </c>
      <c r="CY21" s="80">
        <f t="shared" si="79"/>
        <v>153554.06999999983</v>
      </c>
      <c r="CZ21" s="80">
        <f t="shared" si="80"/>
        <v>0</v>
      </c>
      <c r="DA21" s="80">
        <f t="shared" si="81"/>
        <v>0</v>
      </c>
      <c r="DB21" s="80">
        <f t="shared" si="82"/>
        <v>153554.06999999983</v>
      </c>
      <c r="DC21" s="80">
        <f t="shared" si="46"/>
        <v>153554.06999999983</v>
      </c>
      <c r="DD21" s="80">
        <f t="shared" si="83"/>
        <v>0</v>
      </c>
      <c r="DE21" s="80">
        <f t="shared" si="84"/>
        <v>153554.06999999983</v>
      </c>
      <c r="DF21" s="80">
        <f t="shared" si="85"/>
        <v>819995.3</v>
      </c>
      <c r="DG21" s="80">
        <f t="shared" si="86"/>
        <v>215.65734335201222</v>
      </c>
      <c r="DH21" s="80">
        <f t="shared" si="87"/>
        <v>-1.4177661742231278</v>
      </c>
      <c r="DI21" s="80">
        <f t="shared" si="88"/>
        <v>208.86278655119716</v>
      </c>
      <c r="DJ21" s="81">
        <f t="shared" si="89"/>
        <v>0</v>
      </c>
      <c r="DK21" s="76">
        <f t="shared" si="90"/>
        <v>39.11209118695869</v>
      </c>
      <c r="DL21" s="145">
        <f t="shared" si="49"/>
        <v>846670.73</v>
      </c>
      <c r="DM21" s="64"/>
      <c r="DN21" s="134"/>
    </row>
    <row r="22" spans="1:118" ht="12.75">
      <c r="A22" s="51" t="s">
        <v>14</v>
      </c>
      <c r="B22" s="46">
        <v>2737</v>
      </c>
      <c r="C22" s="38">
        <v>8967500</v>
      </c>
      <c r="D22" s="66">
        <v>3276.4</v>
      </c>
      <c r="E22" s="66">
        <v>98.78</v>
      </c>
      <c r="F22" s="126">
        <v>1</v>
      </c>
      <c r="G22" s="132">
        <v>42441.7</v>
      </c>
      <c r="H22" s="42">
        <v>11372.05</v>
      </c>
      <c r="I22" s="42">
        <v>0</v>
      </c>
      <c r="J22" s="42">
        <v>7462</v>
      </c>
      <c r="K22" s="42">
        <v>0</v>
      </c>
      <c r="L22" s="42">
        <v>0</v>
      </c>
      <c r="M22" s="43">
        <f t="shared" si="0"/>
        <v>0</v>
      </c>
      <c r="N22" s="42">
        <v>0</v>
      </c>
      <c r="O22" s="42">
        <v>0</v>
      </c>
      <c r="P22" s="42">
        <v>1124851.5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3">
        <f t="shared" si="57"/>
        <v>0</v>
      </c>
      <c r="X22" s="42">
        <v>0</v>
      </c>
      <c r="Y22" s="43">
        <f t="shared" si="58"/>
        <v>1186127.25</v>
      </c>
      <c r="Z22" s="42">
        <v>342546.95</v>
      </c>
      <c r="AA22" s="42">
        <v>42670</v>
      </c>
      <c r="AB22" s="42">
        <v>0</v>
      </c>
      <c r="AC22" s="42">
        <v>82114.45</v>
      </c>
      <c r="AD22" s="42">
        <v>0</v>
      </c>
      <c r="AE22" s="43">
        <f t="shared" si="59"/>
        <v>467331.4</v>
      </c>
      <c r="AF22" s="42">
        <v>0</v>
      </c>
      <c r="AG22" s="42">
        <v>22832.45</v>
      </c>
      <c r="AH22" s="42">
        <v>18456</v>
      </c>
      <c r="AI22" s="42">
        <v>547482.15</v>
      </c>
      <c r="AJ22" s="42">
        <v>0</v>
      </c>
      <c r="AK22" s="42">
        <v>0</v>
      </c>
      <c r="AL22" s="42">
        <v>0</v>
      </c>
      <c r="AM22" s="42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4">
        <f t="shared" si="60"/>
        <v>0</v>
      </c>
      <c r="AT22" s="38">
        <v>0</v>
      </c>
      <c r="AU22" s="4">
        <f t="shared" si="61"/>
        <v>1037646</v>
      </c>
      <c r="AV22" s="38">
        <v>0</v>
      </c>
      <c r="AW22" s="38">
        <v>148481.25</v>
      </c>
      <c r="AX22" s="4">
        <f t="shared" si="62"/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3">
        <f t="shared" si="63"/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3">
        <f t="shared" si="64"/>
        <v>0</v>
      </c>
      <c r="BP22" s="42">
        <v>0</v>
      </c>
      <c r="BQ22" s="42">
        <v>0</v>
      </c>
      <c r="BR22" s="42">
        <v>0</v>
      </c>
      <c r="BS22" s="43">
        <f t="shared" si="65"/>
        <v>0</v>
      </c>
      <c r="BT22" s="38">
        <v>751695.4</v>
      </c>
      <c r="BU22" s="38">
        <v>1</v>
      </c>
      <c r="BV22" s="38">
        <v>0</v>
      </c>
      <c r="BW22" s="38">
        <v>0</v>
      </c>
      <c r="BX22" s="4">
        <f t="shared" si="66"/>
        <v>751696.4</v>
      </c>
      <c r="BY22" s="38">
        <v>244147.45</v>
      </c>
      <c r="BZ22" s="38">
        <v>0</v>
      </c>
      <c r="CA22" s="38">
        <v>507548.95</v>
      </c>
      <c r="CB22" s="4">
        <f t="shared" si="67"/>
        <v>751696.4</v>
      </c>
      <c r="CC22" s="4">
        <f t="shared" si="68"/>
        <v>0</v>
      </c>
      <c r="CD22" s="74">
        <f t="shared" si="69"/>
        <v>-148481.25</v>
      </c>
      <c r="CE22" s="76">
        <f t="shared" si="70"/>
        <v>-148481.25</v>
      </c>
      <c r="CF22" s="76">
        <f t="shared" si="71"/>
        <v>0</v>
      </c>
      <c r="CG22" s="76">
        <f t="shared" si="54"/>
        <v>1037646</v>
      </c>
      <c r="CH22" s="76">
        <f t="shared" si="72"/>
        <v>-4376.450000000001</v>
      </c>
      <c r="CI22" s="37">
        <f t="shared" si="73"/>
        <v>-4376.450000000001</v>
      </c>
      <c r="CJ22" s="59" t="str">
        <f t="shared" si="36"/>
        <v>-</v>
      </c>
      <c r="CK22" s="59" t="str">
        <f t="shared" si="37"/>
        <v>-</v>
      </c>
      <c r="CL22" s="141">
        <f t="shared" si="38"/>
        <v>-0.1430943211846815</v>
      </c>
      <c r="CM22" s="141">
        <f t="shared" si="39"/>
        <v>-0.1430943211846815</v>
      </c>
      <c r="CN22" s="141">
        <f t="shared" si="40"/>
        <v>-0.004217671537306558</v>
      </c>
      <c r="CO22" s="141">
        <f t="shared" si="41"/>
        <v>-0.004217671537306558</v>
      </c>
      <c r="CP22" s="141">
        <f t="shared" si="42"/>
        <v>0</v>
      </c>
      <c r="CQ22" s="141">
        <f t="shared" si="43"/>
        <v>0</v>
      </c>
      <c r="CR22" s="142">
        <f t="shared" si="44"/>
        <v>-3.4182629119838364</v>
      </c>
      <c r="CS22" s="76">
        <f t="shared" si="45"/>
        <v>507547.95</v>
      </c>
      <c r="CT22" s="80">
        <f t="shared" si="74"/>
        <v>1186127.25</v>
      </c>
      <c r="CU22" s="80">
        <f t="shared" si="75"/>
        <v>1037646</v>
      </c>
      <c r="CV22" s="80">
        <f t="shared" si="76"/>
        <v>-148481.25</v>
      </c>
      <c r="CW22" s="80">
        <f t="shared" si="77"/>
        <v>0</v>
      </c>
      <c r="CX22" s="80">
        <f t="shared" si="78"/>
        <v>-148481.25</v>
      </c>
      <c r="CY22" s="80">
        <f t="shared" si="79"/>
        <v>-148481.25</v>
      </c>
      <c r="CZ22" s="80">
        <f t="shared" si="80"/>
        <v>0</v>
      </c>
      <c r="DA22" s="80">
        <f t="shared" si="81"/>
        <v>0</v>
      </c>
      <c r="DB22" s="80">
        <f t="shared" si="82"/>
        <v>-148481.25</v>
      </c>
      <c r="DC22" s="80">
        <f t="shared" si="46"/>
        <v>-148481.25</v>
      </c>
      <c r="DD22" s="80">
        <f t="shared" si="83"/>
        <v>0</v>
      </c>
      <c r="DE22" s="80">
        <f t="shared" si="84"/>
        <v>-148481.25</v>
      </c>
      <c r="DF22" s="80">
        <f t="shared" si="85"/>
        <v>385216.95</v>
      </c>
      <c r="DG22" s="80">
        <f t="shared" si="86"/>
        <v>185.43951406649617</v>
      </c>
      <c r="DH22" s="80">
        <f t="shared" si="87"/>
        <v>-1.598995250274023</v>
      </c>
      <c r="DI22" s="80">
        <f t="shared" si="88"/>
        <v>140.74422725611984</v>
      </c>
      <c r="DJ22" s="81">
        <f t="shared" si="89"/>
        <v>0</v>
      </c>
      <c r="DK22" s="76">
        <f t="shared" si="90"/>
        <v>-54.249634636463284</v>
      </c>
      <c r="DL22" s="145">
        <f t="shared" si="49"/>
        <v>507547.95</v>
      </c>
      <c r="DM22" s="67"/>
      <c r="DN22" s="68"/>
    </row>
    <row r="23" spans="1:118" ht="12.75">
      <c r="A23" s="52" t="s">
        <v>15</v>
      </c>
      <c r="B23" s="41">
        <v>255</v>
      </c>
      <c r="C23" s="4">
        <v>757103</v>
      </c>
      <c r="D23" s="69">
        <v>2969.03</v>
      </c>
      <c r="E23" s="69">
        <v>89.51</v>
      </c>
      <c r="F23" s="8">
        <v>0</v>
      </c>
      <c r="G23" s="137">
        <f>(G41/($B$12+$B$14+$B$23)*$B$23)</f>
        <v>7433.1548507462685</v>
      </c>
      <c r="H23" s="137">
        <f aca="true" t="shared" si="91" ref="H23:BU23">(H41/($B$12+$B$14+$B$23)*$B$23)</f>
        <v>2359.2257462686566</v>
      </c>
      <c r="I23" s="137">
        <f t="shared" si="91"/>
        <v>0</v>
      </c>
      <c r="J23" s="137">
        <f t="shared" si="91"/>
        <v>0</v>
      </c>
      <c r="K23" s="137">
        <f t="shared" si="91"/>
        <v>0</v>
      </c>
      <c r="L23" s="137">
        <f t="shared" si="91"/>
        <v>0</v>
      </c>
      <c r="M23" s="43">
        <f t="shared" si="0"/>
        <v>0</v>
      </c>
      <c r="N23" s="137">
        <f t="shared" si="91"/>
        <v>0</v>
      </c>
      <c r="O23" s="137">
        <f t="shared" si="91"/>
        <v>26.439598880597018</v>
      </c>
      <c r="P23" s="137">
        <f t="shared" si="91"/>
        <v>66209.8936567164</v>
      </c>
      <c r="Q23" s="137">
        <f t="shared" si="91"/>
        <v>0</v>
      </c>
      <c r="R23" s="137">
        <f t="shared" si="91"/>
        <v>0</v>
      </c>
      <c r="S23" s="137">
        <f t="shared" si="91"/>
        <v>0</v>
      </c>
      <c r="T23" s="137">
        <f t="shared" si="91"/>
        <v>0</v>
      </c>
      <c r="U23" s="137">
        <f t="shared" si="91"/>
        <v>0</v>
      </c>
      <c r="V23" s="137">
        <f t="shared" si="91"/>
        <v>0</v>
      </c>
      <c r="W23" s="43">
        <f t="shared" si="57"/>
        <v>0</v>
      </c>
      <c r="X23" s="137">
        <f t="shared" si="91"/>
        <v>0</v>
      </c>
      <c r="Y23" s="43">
        <f>SUM(G23:X23)-M23-W23</f>
        <v>76028.71385261192</v>
      </c>
      <c r="Z23" s="137">
        <f t="shared" si="91"/>
        <v>27760.865205223887</v>
      </c>
      <c r="AA23" s="137">
        <f t="shared" si="91"/>
        <v>196.07882462686564</v>
      </c>
      <c r="AB23" s="137">
        <f t="shared" si="91"/>
        <v>0</v>
      </c>
      <c r="AC23" s="137">
        <f t="shared" si="91"/>
        <v>4187.994402985075</v>
      </c>
      <c r="AD23" s="137">
        <f t="shared" si="91"/>
        <v>0</v>
      </c>
      <c r="AE23" s="43">
        <f t="shared" si="59"/>
        <v>32144.938432835825</v>
      </c>
      <c r="AF23" s="137">
        <f t="shared" si="91"/>
        <v>0</v>
      </c>
      <c r="AG23" s="137">
        <f t="shared" si="91"/>
        <v>8104.3138992537315</v>
      </c>
      <c r="AH23" s="137">
        <f t="shared" si="91"/>
        <v>0</v>
      </c>
      <c r="AI23" s="137">
        <f t="shared" si="91"/>
        <v>18317.349347014926</v>
      </c>
      <c r="AJ23" s="137">
        <f t="shared" si="91"/>
        <v>0</v>
      </c>
      <c r="AK23" s="137">
        <f t="shared" si="91"/>
        <v>0</v>
      </c>
      <c r="AL23" s="137">
        <f t="shared" si="91"/>
        <v>731.9951026119403</v>
      </c>
      <c r="AM23" s="137">
        <f t="shared" si="91"/>
        <v>0</v>
      </c>
      <c r="AN23" s="137">
        <f t="shared" si="91"/>
        <v>0</v>
      </c>
      <c r="AO23" s="137">
        <f t="shared" si="91"/>
        <v>0</v>
      </c>
      <c r="AP23" s="137">
        <f t="shared" si="91"/>
        <v>0</v>
      </c>
      <c r="AQ23" s="137">
        <f t="shared" si="91"/>
        <v>0</v>
      </c>
      <c r="AR23" s="137">
        <f t="shared" si="91"/>
        <v>0</v>
      </c>
      <c r="AS23" s="4">
        <f t="shared" si="60"/>
        <v>0</v>
      </c>
      <c r="AT23" s="137">
        <f t="shared" si="91"/>
        <v>0</v>
      </c>
      <c r="AU23" s="4">
        <f t="shared" si="61"/>
        <v>59298.59678171642</v>
      </c>
      <c r="AV23" s="137">
        <f t="shared" si="91"/>
        <v>0</v>
      </c>
      <c r="AW23" s="137">
        <f t="shared" si="91"/>
        <v>16730.117070895525</v>
      </c>
      <c r="AX23" s="4">
        <f t="shared" si="62"/>
        <v>0</v>
      </c>
      <c r="AY23" s="137">
        <f t="shared" si="91"/>
        <v>0</v>
      </c>
      <c r="AZ23" s="137">
        <f t="shared" si="91"/>
        <v>0</v>
      </c>
      <c r="BA23" s="137">
        <f t="shared" si="91"/>
        <v>0</v>
      </c>
      <c r="BB23" s="137">
        <f t="shared" si="91"/>
        <v>0</v>
      </c>
      <c r="BC23" s="137">
        <f t="shared" si="91"/>
        <v>0</v>
      </c>
      <c r="BD23" s="137">
        <f t="shared" si="91"/>
        <v>0</v>
      </c>
      <c r="BE23" s="137">
        <f t="shared" si="91"/>
        <v>0</v>
      </c>
      <c r="BF23" s="43">
        <f t="shared" si="63"/>
        <v>0</v>
      </c>
      <c r="BG23" s="137">
        <f t="shared" si="91"/>
        <v>0</v>
      </c>
      <c r="BH23" s="137">
        <f t="shared" si="91"/>
        <v>0</v>
      </c>
      <c r="BI23" s="137">
        <f t="shared" si="91"/>
        <v>0</v>
      </c>
      <c r="BJ23" s="137">
        <f t="shared" si="91"/>
        <v>0</v>
      </c>
      <c r="BK23" s="137">
        <f t="shared" si="91"/>
        <v>0</v>
      </c>
      <c r="BL23" s="137">
        <f t="shared" si="91"/>
        <v>0</v>
      </c>
      <c r="BM23" s="137">
        <f t="shared" si="91"/>
        <v>0</v>
      </c>
      <c r="BN23" s="137">
        <f t="shared" si="91"/>
        <v>0</v>
      </c>
      <c r="BO23" s="43">
        <f t="shared" si="64"/>
        <v>0</v>
      </c>
      <c r="BP23" s="137">
        <f t="shared" si="91"/>
        <v>0</v>
      </c>
      <c r="BQ23" s="137">
        <f t="shared" si="91"/>
        <v>0</v>
      </c>
      <c r="BR23" s="137">
        <f t="shared" si="91"/>
        <v>0</v>
      </c>
      <c r="BS23" s="43">
        <f t="shared" si="65"/>
        <v>0</v>
      </c>
      <c r="BT23" s="137">
        <f t="shared" si="91"/>
        <v>274783.15452425374</v>
      </c>
      <c r="BU23" s="137">
        <f t="shared" si="91"/>
        <v>0.23787313432835822</v>
      </c>
      <c r="BV23" s="137">
        <f aca="true" t="shared" si="92" ref="BV23:CA23">(BV41/($B$12+$B$14+$B$23)*$B$23)</f>
        <v>0</v>
      </c>
      <c r="BW23" s="137">
        <f t="shared" si="92"/>
        <v>0</v>
      </c>
      <c r="BX23" s="4">
        <f t="shared" si="66"/>
        <v>274783.39239738806</v>
      </c>
      <c r="BY23" s="137">
        <f t="shared" si="92"/>
        <v>25869.928404850747</v>
      </c>
      <c r="BZ23" s="137">
        <f t="shared" si="92"/>
        <v>0</v>
      </c>
      <c r="CA23" s="137">
        <f t="shared" si="92"/>
        <v>248913.46399253732</v>
      </c>
      <c r="CB23" s="4">
        <f t="shared" si="67"/>
        <v>274783.39239738806</v>
      </c>
      <c r="CC23" s="4">
        <f t="shared" si="68"/>
        <v>0</v>
      </c>
      <c r="CD23" s="74">
        <f t="shared" si="69"/>
        <v>-16730.117070895525</v>
      </c>
      <c r="CE23" s="76">
        <f t="shared" si="70"/>
        <v>-16730.117070895525</v>
      </c>
      <c r="CF23" s="76">
        <f t="shared" si="71"/>
        <v>0</v>
      </c>
      <c r="CG23" s="76">
        <f t="shared" si="54"/>
        <v>59298.59678171642</v>
      </c>
      <c r="CH23" s="76">
        <f t="shared" si="72"/>
        <v>-8104.3138992537315</v>
      </c>
      <c r="CI23" s="37">
        <f t="shared" si="73"/>
        <v>-8104.3138992537315</v>
      </c>
      <c r="CJ23" s="59" t="str">
        <f t="shared" si="36"/>
        <v>-</v>
      </c>
      <c r="CK23" s="59" t="str">
        <f t="shared" si="37"/>
        <v>-</v>
      </c>
      <c r="CL23" s="141">
        <f t="shared" si="38"/>
        <v>-0.28213343955643033</v>
      </c>
      <c r="CM23" s="141">
        <f t="shared" si="39"/>
        <v>-0.28213343955643033</v>
      </c>
      <c r="CN23" s="141">
        <f t="shared" si="40"/>
        <v>-0.1366695729594826</v>
      </c>
      <c r="CO23" s="141">
        <f t="shared" si="41"/>
        <v>-0.1366695729594826</v>
      </c>
      <c r="CP23" s="141">
        <f t="shared" si="42"/>
        <v>0</v>
      </c>
      <c r="CQ23" s="141">
        <f t="shared" si="43"/>
        <v>0</v>
      </c>
      <c r="CR23" s="142">
        <f t="shared" si="44"/>
        <v>-14.878152081339813</v>
      </c>
      <c r="CS23" s="76">
        <f t="shared" si="45"/>
        <v>248913.226119403</v>
      </c>
      <c r="CT23" s="80">
        <f t="shared" si="74"/>
        <v>76028.71385261192</v>
      </c>
      <c r="CU23" s="80">
        <f t="shared" si="75"/>
        <v>59298.59678171642</v>
      </c>
      <c r="CV23" s="80">
        <f t="shared" si="76"/>
        <v>-16730.117070895503</v>
      </c>
      <c r="CW23" s="80">
        <f t="shared" si="77"/>
        <v>0</v>
      </c>
      <c r="CX23" s="80">
        <f t="shared" si="78"/>
        <v>-16730.117070895503</v>
      </c>
      <c r="CY23" s="80">
        <f t="shared" si="79"/>
        <v>-16730.117070895503</v>
      </c>
      <c r="CZ23" s="80">
        <f t="shared" si="80"/>
        <v>0</v>
      </c>
      <c r="DA23" s="80">
        <f t="shared" si="81"/>
        <v>0</v>
      </c>
      <c r="DB23" s="80">
        <f t="shared" si="82"/>
        <v>-16730.117070895503</v>
      </c>
      <c r="DC23" s="80">
        <f t="shared" si="46"/>
        <v>-16730.117070895503</v>
      </c>
      <c r="DD23" s="80">
        <f t="shared" si="83"/>
        <v>0</v>
      </c>
      <c r="DE23" s="80">
        <f t="shared" si="84"/>
        <v>-16730.117070895503</v>
      </c>
      <c r="DF23" s="80">
        <f t="shared" si="85"/>
        <v>27956.94402985075</v>
      </c>
      <c r="DG23" s="80">
        <f t="shared" si="86"/>
        <v>976.1302985074627</v>
      </c>
      <c r="DH23" s="80">
        <f t="shared" si="87"/>
        <v>-31.78162313432836</v>
      </c>
      <c r="DI23" s="80">
        <f t="shared" si="88"/>
        <v>109.63507462686569</v>
      </c>
      <c r="DJ23" s="81">
        <f t="shared" si="89"/>
        <v>0</v>
      </c>
      <c r="DK23" s="76">
        <f t="shared" si="90"/>
        <v>-65.60830223880589</v>
      </c>
      <c r="DL23" s="145">
        <f t="shared" si="49"/>
        <v>248913.226119403</v>
      </c>
      <c r="DM23" s="64"/>
      <c r="DN23" s="65"/>
    </row>
    <row r="24" spans="1:118" ht="12.75">
      <c r="A24" s="51" t="s">
        <v>16</v>
      </c>
      <c r="B24" s="46">
        <v>3697</v>
      </c>
      <c r="C24" s="38">
        <v>11662107</v>
      </c>
      <c r="D24" s="66">
        <v>3154.48</v>
      </c>
      <c r="E24" s="66">
        <v>95.1</v>
      </c>
      <c r="F24" s="126">
        <v>0</v>
      </c>
      <c r="G24" s="132">
        <f>10390+1440+46838.4+1200+3621.3</f>
        <v>63489.700000000004</v>
      </c>
      <c r="H24" s="42">
        <f>1358.3+557.7+442+8070+1856.1+1776.05+500+1811.55+1988.4+172.2+550+3609</f>
        <v>22691.3</v>
      </c>
      <c r="I24" s="42">
        <v>0</v>
      </c>
      <c r="J24" s="42">
        <v>0</v>
      </c>
      <c r="K24" s="42">
        <v>0</v>
      </c>
      <c r="L24" s="42">
        <v>0</v>
      </c>
      <c r="M24" s="43">
        <f t="shared" si="0"/>
        <v>0</v>
      </c>
      <c r="N24" s="42">
        <v>0</v>
      </c>
      <c r="O24" s="42">
        <v>0</v>
      </c>
      <c r="P24" s="42">
        <f>31982.25+3000+3620+243330.4+6400+2728.8+3863.05+91955.55+261060.45+8850.8+135348.25+59643.1+73794.2</f>
        <v>925576.85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3">
        <f t="shared" si="57"/>
        <v>0</v>
      </c>
      <c r="X24" s="42">
        <v>0</v>
      </c>
      <c r="Y24" s="43">
        <f t="shared" si="58"/>
        <v>1011757.85</v>
      </c>
      <c r="Z24" s="42">
        <f>221369.9+3151.15</f>
        <v>224521.05</v>
      </c>
      <c r="AA24" s="42">
        <f>41000</f>
        <v>41000</v>
      </c>
      <c r="AB24" s="42">
        <v>0</v>
      </c>
      <c r="AC24" s="42">
        <f>60717.7</f>
        <v>60717.7</v>
      </c>
      <c r="AD24" s="42">
        <v>0</v>
      </c>
      <c r="AE24" s="43">
        <f t="shared" si="59"/>
        <v>326238.75</v>
      </c>
      <c r="AF24" s="42">
        <v>0</v>
      </c>
      <c r="AG24" s="42">
        <f>38511.7+2226.3</f>
        <v>40738</v>
      </c>
      <c r="AH24" s="42">
        <v>0</v>
      </c>
      <c r="AI24" s="42">
        <f>75171.4+1278.55+93166.9+22230+234758.2</f>
        <v>426605.05</v>
      </c>
      <c r="AJ24" s="42">
        <v>0</v>
      </c>
      <c r="AK24" s="42">
        <f>12896</f>
        <v>12896</v>
      </c>
      <c r="AL24" s="42">
        <v>0</v>
      </c>
      <c r="AM24" s="42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60"/>
        <v>0</v>
      </c>
      <c r="AT24" s="38">
        <v>0</v>
      </c>
      <c r="AU24" s="4">
        <f t="shared" si="61"/>
        <v>806477.8</v>
      </c>
      <c r="AV24" s="38">
        <v>0</v>
      </c>
      <c r="AW24" s="38">
        <v>205280.05</v>
      </c>
      <c r="AX24" s="4">
        <f t="shared" si="62"/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3">
        <f t="shared" si="63"/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3">
        <f t="shared" si="64"/>
        <v>0</v>
      </c>
      <c r="BP24" s="42">
        <v>0</v>
      </c>
      <c r="BQ24" s="42">
        <v>0</v>
      </c>
      <c r="BR24" s="42">
        <v>0</v>
      </c>
      <c r="BS24" s="43">
        <f t="shared" si="65"/>
        <v>0</v>
      </c>
      <c r="BT24" s="38">
        <v>1572695.42</v>
      </c>
      <c r="BU24" s="38">
        <v>0</v>
      </c>
      <c r="BV24" s="38">
        <v>0</v>
      </c>
      <c r="BW24" s="38">
        <v>0</v>
      </c>
      <c r="BX24" s="4">
        <f t="shared" si="66"/>
        <v>1572695.42</v>
      </c>
      <c r="BY24" s="38">
        <v>245544.15</v>
      </c>
      <c r="BZ24" s="38">
        <v>20000</v>
      </c>
      <c r="CA24" s="38">
        <v>1307151.27</v>
      </c>
      <c r="CB24" s="4">
        <f t="shared" si="67"/>
        <v>1572695.42</v>
      </c>
      <c r="CC24" s="4">
        <f t="shared" si="68"/>
        <v>0</v>
      </c>
      <c r="CD24" s="74">
        <f t="shared" si="69"/>
        <v>-205280.05</v>
      </c>
      <c r="CE24" s="76">
        <f t="shared" si="70"/>
        <v>-205280.05</v>
      </c>
      <c r="CF24" s="76">
        <f t="shared" si="71"/>
        <v>0</v>
      </c>
      <c r="CG24" s="76">
        <f t="shared" si="54"/>
        <v>806477.8</v>
      </c>
      <c r="CH24" s="76">
        <f t="shared" si="72"/>
        <v>-40738</v>
      </c>
      <c r="CI24" s="37">
        <f t="shared" si="73"/>
        <v>-40738</v>
      </c>
      <c r="CJ24" s="59" t="str">
        <f t="shared" si="36"/>
        <v>-</v>
      </c>
      <c r="CK24" s="59" t="str">
        <f t="shared" si="37"/>
        <v>-</v>
      </c>
      <c r="CL24" s="141">
        <f t="shared" si="38"/>
        <v>-0.2545389966097021</v>
      </c>
      <c r="CM24" s="141">
        <f t="shared" si="39"/>
        <v>-0.2545389966097021</v>
      </c>
      <c r="CN24" s="141">
        <f t="shared" si="40"/>
        <v>-0.05051347972628632</v>
      </c>
      <c r="CO24" s="141">
        <f t="shared" si="41"/>
        <v>-0.05051347972628632</v>
      </c>
      <c r="CP24" s="141" t="str">
        <f t="shared" si="42"/>
        <v>-</v>
      </c>
      <c r="CQ24" s="141" t="str">
        <f t="shared" si="43"/>
        <v>-</v>
      </c>
      <c r="CR24" s="142">
        <f t="shared" si="44"/>
        <v>-6.4650767086231715</v>
      </c>
      <c r="CS24" s="76">
        <f t="shared" si="45"/>
        <v>1327151.27</v>
      </c>
      <c r="CT24" s="80">
        <f t="shared" si="74"/>
        <v>1011757.85</v>
      </c>
      <c r="CU24" s="80">
        <f t="shared" si="75"/>
        <v>806477.8</v>
      </c>
      <c r="CV24" s="80">
        <f t="shared" si="76"/>
        <v>-205280.04999999993</v>
      </c>
      <c r="CW24" s="80">
        <f t="shared" si="77"/>
        <v>0</v>
      </c>
      <c r="CX24" s="80">
        <f t="shared" si="78"/>
        <v>-205280.04999999993</v>
      </c>
      <c r="CY24" s="80">
        <f t="shared" si="79"/>
        <v>-205280.04999999993</v>
      </c>
      <c r="CZ24" s="80">
        <f t="shared" si="80"/>
        <v>0</v>
      </c>
      <c r="DA24" s="80">
        <f t="shared" si="81"/>
        <v>0</v>
      </c>
      <c r="DB24" s="80">
        <f t="shared" si="82"/>
        <v>-205280.04999999993</v>
      </c>
      <c r="DC24" s="80">
        <f t="shared" si="46"/>
        <v>-205280.04999999993</v>
      </c>
      <c r="DD24" s="80">
        <f t="shared" si="83"/>
        <v>0</v>
      </c>
      <c r="DE24" s="80">
        <f t="shared" si="84"/>
        <v>-205280.04999999993</v>
      </c>
      <c r="DF24" s="80">
        <f t="shared" si="85"/>
        <v>265521.05</v>
      </c>
      <c r="DG24" s="80">
        <f t="shared" si="86"/>
        <v>358.9805977819854</v>
      </c>
      <c r="DH24" s="80">
        <f t="shared" si="87"/>
        <v>-11.019204760616716</v>
      </c>
      <c r="DI24" s="80">
        <f t="shared" si="88"/>
        <v>71.82067892886124</v>
      </c>
      <c r="DJ24" s="81">
        <f t="shared" si="89"/>
        <v>0</v>
      </c>
      <c r="DK24" s="76">
        <f t="shared" si="90"/>
        <v>-55.526115769542855</v>
      </c>
      <c r="DL24" s="145">
        <f t="shared" si="49"/>
        <v>1307151.27</v>
      </c>
      <c r="DM24" s="67"/>
      <c r="DN24" s="68"/>
    </row>
    <row r="25" spans="1:118" ht="12.75">
      <c r="A25" s="52" t="s">
        <v>36</v>
      </c>
      <c r="B25" s="41">
        <v>1808</v>
      </c>
      <c r="C25" s="4">
        <v>3992876</v>
      </c>
      <c r="D25" s="69">
        <v>2208.45</v>
      </c>
      <c r="E25" s="69">
        <v>66.58</v>
      </c>
      <c r="F25" s="8">
        <v>4</v>
      </c>
      <c r="G25" s="131">
        <v>43315.1</v>
      </c>
      <c r="H25" s="43">
        <v>8393.35</v>
      </c>
      <c r="I25" s="43">
        <v>8568.1</v>
      </c>
      <c r="J25" s="43">
        <v>0</v>
      </c>
      <c r="K25" s="43">
        <v>0</v>
      </c>
      <c r="L25" s="43">
        <v>0</v>
      </c>
      <c r="M25" s="43">
        <f t="shared" si="0"/>
        <v>0</v>
      </c>
      <c r="N25" s="43">
        <v>0</v>
      </c>
      <c r="O25" s="43">
        <v>0</v>
      </c>
      <c r="P25" s="43">
        <v>554324.4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f t="shared" si="57"/>
        <v>0</v>
      </c>
      <c r="X25" s="43">
        <v>0</v>
      </c>
      <c r="Y25" s="43">
        <f t="shared" si="58"/>
        <v>614600.9500000001</v>
      </c>
      <c r="Z25" s="43">
        <v>229126.85</v>
      </c>
      <c r="AA25" s="43">
        <v>0</v>
      </c>
      <c r="AB25" s="43">
        <v>0</v>
      </c>
      <c r="AC25" s="43">
        <v>29693.75</v>
      </c>
      <c r="AD25" s="43">
        <v>0</v>
      </c>
      <c r="AE25" s="43">
        <f t="shared" si="59"/>
        <v>258820.6</v>
      </c>
      <c r="AF25" s="43">
        <v>50000</v>
      </c>
      <c r="AG25" s="43">
        <v>312.85</v>
      </c>
      <c r="AH25" s="43">
        <v>0</v>
      </c>
      <c r="AI25" s="43">
        <v>415610.75</v>
      </c>
      <c r="AJ25" s="43">
        <v>3547</v>
      </c>
      <c r="AK25" s="43">
        <v>5281.35</v>
      </c>
      <c r="AL25" s="43">
        <v>0</v>
      </c>
      <c r="AM25" s="43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60"/>
        <v>0</v>
      </c>
      <c r="AT25" s="4">
        <v>0</v>
      </c>
      <c r="AU25" s="4">
        <f t="shared" si="61"/>
        <v>733572.5499999999</v>
      </c>
      <c r="AV25" s="4">
        <v>118971.6</v>
      </c>
      <c r="AW25" s="4">
        <v>0</v>
      </c>
      <c r="AX25" s="4">
        <f t="shared" si="62"/>
        <v>1.4551915228366852E-10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f t="shared" si="63"/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f t="shared" si="64"/>
        <v>0</v>
      </c>
      <c r="BP25" s="43">
        <v>0</v>
      </c>
      <c r="BQ25" s="43">
        <v>0</v>
      </c>
      <c r="BR25" s="43">
        <v>0</v>
      </c>
      <c r="BS25" s="43">
        <f t="shared" si="65"/>
        <v>0</v>
      </c>
      <c r="BT25" s="4">
        <v>311714.25</v>
      </c>
      <c r="BU25" s="4">
        <v>0</v>
      </c>
      <c r="BV25" s="4">
        <v>0</v>
      </c>
      <c r="BW25" s="4">
        <v>155202.51</v>
      </c>
      <c r="BX25" s="4">
        <f t="shared" si="66"/>
        <v>466916.76</v>
      </c>
      <c r="BY25" s="4">
        <v>214517.4</v>
      </c>
      <c r="BZ25" s="4">
        <v>0</v>
      </c>
      <c r="CA25" s="4">
        <v>252399.36</v>
      </c>
      <c r="CB25" s="4">
        <f t="shared" si="67"/>
        <v>466916.76</v>
      </c>
      <c r="CC25" s="4">
        <f t="shared" si="68"/>
        <v>0</v>
      </c>
      <c r="CD25" s="74">
        <f t="shared" si="69"/>
        <v>118971.6</v>
      </c>
      <c r="CE25" s="76">
        <f t="shared" si="70"/>
        <v>118971.6</v>
      </c>
      <c r="CF25" s="76">
        <f t="shared" si="71"/>
        <v>0</v>
      </c>
      <c r="CG25" s="76">
        <f t="shared" si="54"/>
        <v>733572.5499999999</v>
      </c>
      <c r="CH25" s="76">
        <f t="shared" si="72"/>
        <v>8255.25</v>
      </c>
      <c r="CI25" s="37">
        <f t="shared" si="73"/>
        <v>8255.25</v>
      </c>
      <c r="CJ25" s="59" t="str">
        <f t="shared" si="36"/>
        <v>-</v>
      </c>
      <c r="CK25" s="59" t="str">
        <f t="shared" si="37"/>
        <v>-</v>
      </c>
      <c r="CL25" s="141">
        <f t="shared" si="38"/>
        <v>0.16218109578936674</v>
      </c>
      <c r="CM25" s="141">
        <f t="shared" si="39"/>
        <v>0.16218109578936674</v>
      </c>
      <c r="CN25" s="141">
        <f t="shared" si="40"/>
        <v>0.011253488151921716</v>
      </c>
      <c r="CO25" s="141">
        <f t="shared" si="41"/>
        <v>0.011253488151921716</v>
      </c>
      <c r="CP25" s="141" t="str">
        <f t="shared" si="42"/>
        <v>-</v>
      </c>
      <c r="CQ25" s="141" t="str">
        <f t="shared" si="43"/>
        <v>-</v>
      </c>
      <c r="CR25" s="142">
        <f t="shared" si="44"/>
        <v>0.816975227701401</v>
      </c>
      <c r="CS25" s="76">
        <f t="shared" si="45"/>
        <v>97196.85</v>
      </c>
      <c r="CT25" s="80">
        <f t="shared" si="74"/>
        <v>614600.9500000001</v>
      </c>
      <c r="CU25" s="80">
        <f t="shared" si="75"/>
        <v>733572.5499999999</v>
      </c>
      <c r="CV25" s="80">
        <f t="shared" si="76"/>
        <v>118971.59999999986</v>
      </c>
      <c r="CW25" s="80">
        <f t="shared" si="77"/>
        <v>0</v>
      </c>
      <c r="CX25" s="80">
        <f t="shared" si="78"/>
        <v>118971.59999999986</v>
      </c>
      <c r="CY25" s="80">
        <f t="shared" si="79"/>
        <v>118971.59999999986</v>
      </c>
      <c r="CZ25" s="80">
        <f t="shared" si="80"/>
        <v>0</v>
      </c>
      <c r="DA25" s="80">
        <f t="shared" si="81"/>
        <v>0</v>
      </c>
      <c r="DB25" s="80">
        <f t="shared" si="82"/>
        <v>118971.59999999986</v>
      </c>
      <c r="DC25" s="80">
        <f t="shared" si="46"/>
        <v>118971.59999999986</v>
      </c>
      <c r="DD25" s="80">
        <f t="shared" si="83"/>
        <v>0</v>
      </c>
      <c r="DE25" s="80">
        <f t="shared" si="84"/>
        <v>118971.59999999986</v>
      </c>
      <c r="DF25" s="80">
        <f t="shared" si="85"/>
        <v>229126.85</v>
      </c>
      <c r="DG25" s="80">
        <f t="shared" si="86"/>
        <v>53.75931969026549</v>
      </c>
      <c r="DH25" s="80">
        <f t="shared" si="87"/>
        <v>4.5659568584070795</v>
      </c>
      <c r="DI25" s="80">
        <f t="shared" si="88"/>
        <v>126.72945243362832</v>
      </c>
      <c r="DJ25" s="81">
        <f t="shared" si="89"/>
        <v>0</v>
      </c>
      <c r="DK25" s="76">
        <f t="shared" si="90"/>
        <v>65.80287610619462</v>
      </c>
      <c r="DL25" s="145">
        <f t="shared" si="49"/>
        <v>97196.84999999998</v>
      </c>
      <c r="DM25" s="64"/>
      <c r="DN25" s="65"/>
    </row>
    <row r="26" spans="1:118" ht="12.75">
      <c r="A26" s="51" t="s">
        <v>17</v>
      </c>
      <c r="B26" s="46">
        <v>415</v>
      </c>
      <c r="C26" s="38">
        <v>1002945</v>
      </c>
      <c r="D26" s="66">
        <v>2416.73</v>
      </c>
      <c r="E26" s="66">
        <v>72.86</v>
      </c>
      <c r="F26" s="126">
        <v>4</v>
      </c>
      <c r="G26" s="132">
        <v>6503.55</v>
      </c>
      <c r="H26" s="42">
        <v>2986.65</v>
      </c>
      <c r="I26" s="42">
        <v>0</v>
      </c>
      <c r="J26" s="42">
        <v>0</v>
      </c>
      <c r="K26" s="42">
        <v>0</v>
      </c>
      <c r="L26" s="42">
        <v>0</v>
      </c>
      <c r="M26" s="43">
        <f t="shared" si="0"/>
        <v>0</v>
      </c>
      <c r="N26" s="42">
        <v>0</v>
      </c>
      <c r="O26" s="42">
        <v>0</v>
      </c>
      <c r="P26" s="42">
        <v>238942.9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3">
        <f t="shared" si="57"/>
        <v>0</v>
      </c>
      <c r="X26" s="42">
        <v>0</v>
      </c>
      <c r="Y26" s="43">
        <f t="shared" si="58"/>
        <v>248433.1</v>
      </c>
      <c r="Z26" s="42">
        <v>61554</v>
      </c>
      <c r="AA26" s="42">
        <v>2713.15</v>
      </c>
      <c r="AB26" s="42">
        <v>0</v>
      </c>
      <c r="AC26" s="42">
        <v>6815.75</v>
      </c>
      <c r="AD26" s="42">
        <v>0</v>
      </c>
      <c r="AE26" s="43">
        <f t="shared" si="59"/>
        <v>71082.9</v>
      </c>
      <c r="AF26" s="42">
        <v>0</v>
      </c>
      <c r="AG26" s="42">
        <v>1265.1</v>
      </c>
      <c r="AH26" s="42">
        <v>0</v>
      </c>
      <c r="AI26" s="42">
        <v>148806.65</v>
      </c>
      <c r="AJ26" s="42">
        <v>0</v>
      </c>
      <c r="AK26" s="42">
        <v>750</v>
      </c>
      <c r="AL26" s="42">
        <v>0</v>
      </c>
      <c r="AM26" s="42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60"/>
        <v>0</v>
      </c>
      <c r="AT26" s="38">
        <v>0</v>
      </c>
      <c r="AU26" s="4">
        <f t="shared" si="61"/>
        <v>221904.65</v>
      </c>
      <c r="AV26" s="38">
        <v>0</v>
      </c>
      <c r="AW26" s="38">
        <v>26528.55</v>
      </c>
      <c r="AX26" s="4">
        <f t="shared" si="62"/>
        <v>-0.09999999998763087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63"/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3">
        <f t="shared" si="64"/>
        <v>0</v>
      </c>
      <c r="BP26" s="42">
        <v>0</v>
      </c>
      <c r="BQ26" s="42">
        <v>0</v>
      </c>
      <c r="BR26" s="42">
        <v>0</v>
      </c>
      <c r="BS26" s="43">
        <f t="shared" si="65"/>
        <v>0</v>
      </c>
      <c r="BT26" s="38">
        <v>211513.81</v>
      </c>
      <c r="BU26" s="38">
        <v>0</v>
      </c>
      <c r="BV26" s="38">
        <v>0</v>
      </c>
      <c r="BW26" s="38">
        <v>0</v>
      </c>
      <c r="BX26" s="4">
        <f t="shared" si="66"/>
        <v>211513.81</v>
      </c>
      <c r="BY26" s="38">
        <v>117537.45</v>
      </c>
      <c r="BZ26" s="38">
        <v>0</v>
      </c>
      <c r="CA26" s="38">
        <v>93976.36</v>
      </c>
      <c r="CB26" s="4">
        <f t="shared" si="67"/>
        <v>211513.81</v>
      </c>
      <c r="CC26" s="4">
        <f t="shared" si="68"/>
        <v>0</v>
      </c>
      <c r="CD26" s="74">
        <f t="shared" si="69"/>
        <v>-26528.55</v>
      </c>
      <c r="CE26" s="76">
        <f t="shared" si="70"/>
        <v>-26528.55</v>
      </c>
      <c r="CF26" s="76">
        <f t="shared" si="71"/>
        <v>0</v>
      </c>
      <c r="CG26" s="76">
        <f t="shared" si="54"/>
        <v>221904.65</v>
      </c>
      <c r="CH26" s="76">
        <f t="shared" si="72"/>
        <v>-1265.1</v>
      </c>
      <c r="CI26" s="37">
        <f t="shared" si="73"/>
        <v>-1265.1</v>
      </c>
      <c r="CJ26" s="59" t="str">
        <f t="shared" si="36"/>
        <v>-</v>
      </c>
      <c r="CK26" s="59" t="str">
        <f t="shared" si="37"/>
        <v>-</v>
      </c>
      <c r="CL26" s="141">
        <f t="shared" si="38"/>
        <v>-0.11954931994439955</v>
      </c>
      <c r="CM26" s="141">
        <f t="shared" si="39"/>
        <v>-0.11954931994439955</v>
      </c>
      <c r="CN26" s="141">
        <f t="shared" si="40"/>
        <v>-0.005701097295617735</v>
      </c>
      <c r="CO26" s="141">
        <f t="shared" si="41"/>
        <v>-0.005701097295617735</v>
      </c>
      <c r="CP26" s="141" t="str">
        <f t="shared" si="42"/>
        <v>-</v>
      </c>
      <c r="CQ26" s="141" t="str">
        <f t="shared" si="43"/>
        <v>-</v>
      </c>
      <c r="CR26" s="142">
        <f t="shared" si="44"/>
        <v>-3.5424612351598563</v>
      </c>
      <c r="CS26" s="76">
        <f t="shared" si="45"/>
        <v>93976.36</v>
      </c>
      <c r="CT26" s="80">
        <f t="shared" si="74"/>
        <v>248433.1</v>
      </c>
      <c r="CU26" s="80">
        <f t="shared" si="75"/>
        <v>221904.65</v>
      </c>
      <c r="CV26" s="80">
        <f t="shared" si="76"/>
        <v>-26528.45000000001</v>
      </c>
      <c r="CW26" s="80">
        <f t="shared" si="77"/>
        <v>0</v>
      </c>
      <c r="CX26" s="80">
        <f t="shared" si="78"/>
        <v>-26528.45000000001</v>
      </c>
      <c r="CY26" s="80">
        <f t="shared" si="79"/>
        <v>-26528.45000000001</v>
      </c>
      <c r="CZ26" s="80">
        <f t="shared" si="80"/>
        <v>0</v>
      </c>
      <c r="DA26" s="80">
        <f t="shared" si="81"/>
        <v>0</v>
      </c>
      <c r="DB26" s="80">
        <f t="shared" si="82"/>
        <v>-26528.45000000001</v>
      </c>
      <c r="DC26" s="80">
        <f t="shared" si="46"/>
        <v>-26528.45000000001</v>
      </c>
      <c r="DD26" s="80">
        <f t="shared" si="83"/>
        <v>0</v>
      </c>
      <c r="DE26" s="80">
        <f t="shared" si="84"/>
        <v>-26528.45000000001</v>
      </c>
      <c r="DF26" s="80">
        <f t="shared" si="85"/>
        <v>64267.15</v>
      </c>
      <c r="DG26" s="80">
        <f t="shared" si="86"/>
        <v>226.44906024096386</v>
      </c>
      <c r="DH26" s="80">
        <f t="shared" si="87"/>
        <v>-3.048433734939759</v>
      </c>
      <c r="DI26" s="80">
        <f t="shared" si="88"/>
        <v>154.86060240963855</v>
      </c>
      <c r="DJ26" s="81">
        <f t="shared" si="89"/>
        <v>0</v>
      </c>
      <c r="DK26" s="76">
        <f t="shared" si="90"/>
        <v>-63.92397590361448</v>
      </c>
      <c r="DL26" s="145">
        <f t="shared" si="49"/>
        <v>93976.36</v>
      </c>
      <c r="DM26" s="67"/>
      <c r="DN26" s="68"/>
    </row>
    <row r="27" spans="1:118" ht="12.75">
      <c r="A27" s="52" t="s">
        <v>18</v>
      </c>
      <c r="B27" s="41">
        <v>607</v>
      </c>
      <c r="C27" s="4">
        <v>1791676</v>
      </c>
      <c r="D27" s="69">
        <v>2951.69</v>
      </c>
      <c r="E27" s="69">
        <v>88.99</v>
      </c>
      <c r="F27" s="8">
        <v>2</v>
      </c>
      <c r="G27" s="131">
        <f>(G40/($B$11+$B$27)*$B$27)</f>
        <v>26306.149542875155</v>
      </c>
      <c r="H27" s="131">
        <f aca="true" t="shared" si="93" ref="H27:BU27">(H40/($B$11+$B$27)*$B$27)</f>
        <v>3925.2826134930638</v>
      </c>
      <c r="I27" s="131">
        <f t="shared" si="93"/>
        <v>0</v>
      </c>
      <c r="J27" s="131">
        <f t="shared" si="93"/>
        <v>1817.938209331652</v>
      </c>
      <c r="K27" s="131">
        <f t="shared" si="93"/>
        <v>129.16929382093318</v>
      </c>
      <c r="L27" s="131">
        <f t="shared" si="93"/>
        <v>0</v>
      </c>
      <c r="M27" s="43">
        <f t="shared" si="0"/>
        <v>129.16929382093318</v>
      </c>
      <c r="N27" s="131">
        <f t="shared" si="93"/>
        <v>0</v>
      </c>
      <c r="O27" s="131">
        <f t="shared" si="93"/>
        <v>78.98941519546028</v>
      </c>
      <c r="P27" s="131">
        <f t="shared" si="93"/>
        <v>260700.29508984866</v>
      </c>
      <c r="Q27" s="131">
        <f t="shared" si="93"/>
        <v>0</v>
      </c>
      <c r="R27" s="131">
        <f t="shared" si="93"/>
        <v>0</v>
      </c>
      <c r="S27" s="131">
        <f t="shared" si="93"/>
        <v>0</v>
      </c>
      <c r="T27" s="131">
        <f t="shared" si="93"/>
        <v>0</v>
      </c>
      <c r="U27" s="131">
        <f t="shared" si="93"/>
        <v>0</v>
      </c>
      <c r="V27" s="131">
        <f t="shared" si="93"/>
        <v>0</v>
      </c>
      <c r="W27" s="43">
        <f t="shared" si="57"/>
        <v>0</v>
      </c>
      <c r="X27" s="131">
        <f t="shared" si="93"/>
        <v>628.3081494325347</v>
      </c>
      <c r="Y27" s="43">
        <f t="shared" si="58"/>
        <v>293586.1323139975</v>
      </c>
      <c r="Z27" s="131">
        <f t="shared" si="93"/>
        <v>117217.9001261034</v>
      </c>
      <c r="AA27" s="131">
        <f t="shared" si="93"/>
        <v>0</v>
      </c>
      <c r="AB27" s="131">
        <f t="shared" si="93"/>
        <v>0</v>
      </c>
      <c r="AC27" s="131">
        <f t="shared" si="93"/>
        <v>9969.080383039092</v>
      </c>
      <c r="AD27" s="131">
        <f t="shared" si="93"/>
        <v>0</v>
      </c>
      <c r="AE27" s="43">
        <f t="shared" si="59"/>
        <v>127186.9805091425</v>
      </c>
      <c r="AF27" s="131">
        <f t="shared" si="93"/>
        <v>0</v>
      </c>
      <c r="AG27" s="131">
        <f t="shared" si="93"/>
        <v>6409.203349621689</v>
      </c>
      <c r="AH27" s="131">
        <f t="shared" si="93"/>
        <v>0</v>
      </c>
      <c r="AI27" s="131">
        <f t="shared" si="93"/>
        <v>106404.83714533418</v>
      </c>
      <c r="AJ27" s="131">
        <f t="shared" si="93"/>
        <v>0</v>
      </c>
      <c r="AK27" s="131">
        <f t="shared" si="93"/>
        <v>1542.3770491803277</v>
      </c>
      <c r="AL27" s="131">
        <f t="shared" si="93"/>
        <v>0</v>
      </c>
      <c r="AM27" s="131">
        <f t="shared" si="93"/>
        <v>0</v>
      </c>
      <c r="AN27" s="131">
        <f t="shared" si="93"/>
        <v>0</v>
      </c>
      <c r="AO27" s="131">
        <f t="shared" si="93"/>
        <v>0</v>
      </c>
      <c r="AP27" s="131">
        <f t="shared" si="93"/>
        <v>0</v>
      </c>
      <c r="AQ27" s="131">
        <f t="shared" si="93"/>
        <v>0</v>
      </c>
      <c r="AR27" s="131">
        <f t="shared" si="93"/>
        <v>0</v>
      </c>
      <c r="AS27" s="4">
        <f t="shared" si="60"/>
        <v>0</v>
      </c>
      <c r="AT27" s="131">
        <f t="shared" si="93"/>
        <v>628.3081494325347</v>
      </c>
      <c r="AU27" s="4">
        <f t="shared" si="61"/>
        <v>242171.7062027112</v>
      </c>
      <c r="AV27" s="131">
        <f t="shared" si="93"/>
        <v>0</v>
      </c>
      <c r="AW27" s="131">
        <f t="shared" si="93"/>
        <v>51414.42611128625</v>
      </c>
      <c r="AX27" s="4">
        <f t="shared" si="62"/>
        <v>0</v>
      </c>
      <c r="AY27" s="131">
        <f t="shared" si="93"/>
        <v>0</v>
      </c>
      <c r="AZ27" s="131">
        <f t="shared" si="93"/>
        <v>0</v>
      </c>
      <c r="BA27" s="131">
        <f t="shared" si="93"/>
        <v>0</v>
      </c>
      <c r="BB27" s="131">
        <f t="shared" si="93"/>
        <v>0</v>
      </c>
      <c r="BC27" s="131">
        <f t="shared" si="93"/>
        <v>0</v>
      </c>
      <c r="BD27" s="131">
        <f t="shared" si="93"/>
        <v>0</v>
      </c>
      <c r="BE27" s="131">
        <f t="shared" si="93"/>
        <v>0</v>
      </c>
      <c r="BF27" s="43">
        <f t="shared" si="63"/>
        <v>0</v>
      </c>
      <c r="BG27" s="131">
        <f t="shared" si="93"/>
        <v>0</v>
      </c>
      <c r="BH27" s="131">
        <f t="shared" si="93"/>
        <v>0</v>
      </c>
      <c r="BI27" s="131">
        <f t="shared" si="93"/>
        <v>0</v>
      </c>
      <c r="BJ27" s="131">
        <f t="shared" si="93"/>
        <v>0</v>
      </c>
      <c r="BK27" s="131">
        <f t="shared" si="93"/>
        <v>0</v>
      </c>
      <c r="BL27" s="131">
        <f t="shared" si="93"/>
        <v>0</v>
      </c>
      <c r="BM27" s="131">
        <f t="shared" si="93"/>
        <v>0</v>
      </c>
      <c r="BN27" s="131">
        <f t="shared" si="93"/>
        <v>0</v>
      </c>
      <c r="BO27" s="43">
        <f t="shared" si="64"/>
        <v>0</v>
      </c>
      <c r="BP27" s="131">
        <f t="shared" si="93"/>
        <v>0</v>
      </c>
      <c r="BQ27" s="131">
        <f t="shared" si="93"/>
        <v>0</v>
      </c>
      <c r="BR27" s="131">
        <f t="shared" si="93"/>
        <v>0</v>
      </c>
      <c r="BS27" s="43">
        <f t="shared" si="65"/>
        <v>0</v>
      </c>
      <c r="BT27" s="131">
        <f t="shared" si="93"/>
        <v>221232.65467843632</v>
      </c>
      <c r="BU27" s="131">
        <f t="shared" si="93"/>
        <v>518.9735182849937</v>
      </c>
      <c r="BV27" s="131">
        <f aca="true" t="shared" si="94" ref="BV27:CA27">(BV40/($B$11+$B$27)*$B$27)</f>
        <v>0</v>
      </c>
      <c r="BW27" s="131">
        <f t="shared" si="94"/>
        <v>0</v>
      </c>
      <c r="BX27" s="4">
        <f t="shared" si="66"/>
        <v>221751.6281967213</v>
      </c>
      <c r="BY27" s="131">
        <f t="shared" si="94"/>
        <v>54840.99564943253</v>
      </c>
      <c r="BZ27" s="131">
        <f t="shared" si="94"/>
        <v>0</v>
      </c>
      <c r="CA27" s="131">
        <f t="shared" si="94"/>
        <v>166910.63254728878</v>
      </c>
      <c r="CB27" s="4">
        <f t="shared" si="67"/>
        <v>221751.6281967213</v>
      </c>
      <c r="CC27" s="4">
        <f t="shared" si="68"/>
        <v>0</v>
      </c>
      <c r="CD27" s="74">
        <f t="shared" si="69"/>
        <v>-51285.25681746532</v>
      </c>
      <c r="CE27" s="76">
        <f t="shared" si="70"/>
        <v>-51285.25681746532</v>
      </c>
      <c r="CF27" s="76">
        <f t="shared" si="71"/>
        <v>0</v>
      </c>
      <c r="CG27" s="76">
        <f t="shared" si="54"/>
        <v>241543.39805327868</v>
      </c>
      <c r="CH27" s="76">
        <f t="shared" si="72"/>
        <v>-6409.203349621689</v>
      </c>
      <c r="CI27" s="37">
        <f t="shared" si="73"/>
        <v>-6280.034055800756</v>
      </c>
      <c r="CJ27" s="59" t="str">
        <f t="shared" si="36"/>
        <v>-</v>
      </c>
      <c r="CK27" s="59" t="str">
        <f t="shared" si="37"/>
        <v>-</v>
      </c>
      <c r="CL27" s="141">
        <f t="shared" si="38"/>
        <v>-0.2123231569597817</v>
      </c>
      <c r="CM27" s="141">
        <f t="shared" si="39"/>
        <v>-0.2123231569597817</v>
      </c>
      <c r="CN27" s="141">
        <f t="shared" si="40"/>
        <v>-0.026534376022183694</v>
      </c>
      <c r="CO27" s="141">
        <f t="shared" si="41"/>
        <v>-0.025999609620526786</v>
      </c>
      <c r="CP27" s="141">
        <f t="shared" si="42"/>
        <v>0.19929140832595219</v>
      </c>
      <c r="CQ27" s="141">
        <f t="shared" si="43"/>
        <v>0.19929140832595219</v>
      </c>
      <c r="CR27" s="142">
        <f t="shared" si="44"/>
        <v>-3.244434548143643</v>
      </c>
      <c r="CS27" s="76">
        <f t="shared" si="45"/>
        <v>166391.6590290038</v>
      </c>
      <c r="CT27" s="80">
        <f t="shared" si="74"/>
        <v>293456.96302017657</v>
      </c>
      <c r="CU27" s="80">
        <f t="shared" si="75"/>
        <v>242171.7062027112</v>
      </c>
      <c r="CV27" s="80">
        <f t="shared" si="76"/>
        <v>-51285.25681746536</v>
      </c>
      <c r="CW27" s="80">
        <f t="shared" si="77"/>
        <v>0</v>
      </c>
      <c r="CX27" s="80">
        <f t="shared" si="78"/>
        <v>-51285.25681746536</v>
      </c>
      <c r="CY27" s="80">
        <f t="shared" si="79"/>
        <v>-51414.42611128629</v>
      </c>
      <c r="CZ27" s="80">
        <f t="shared" si="80"/>
        <v>0</v>
      </c>
      <c r="DA27" s="80">
        <f t="shared" si="81"/>
        <v>129.16929382093318</v>
      </c>
      <c r="DB27" s="80">
        <f t="shared" si="82"/>
        <v>-51285.25681746536</v>
      </c>
      <c r="DC27" s="80">
        <f t="shared" si="46"/>
        <v>-51285.25681746536</v>
      </c>
      <c r="DD27" s="80">
        <f t="shared" si="83"/>
        <v>-129.16929382093318</v>
      </c>
      <c r="DE27" s="80">
        <f t="shared" si="84"/>
        <v>-51414.42611128629</v>
      </c>
      <c r="DF27" s="80">
        <f t="shared" si="85"/>
        <v>117217.9001261034</v>
      </c>
      <c r="DG27" s="80">
        <f t="shared" si="86"/>
        <v>274.1213493064313</v>
      </c>
      <c r="DH27" s="80">
        <f t="shared" si="87"/>
        <v>-10.558819356872634</v>
      </c>
      <c r="DI27" s="80">
        <f t="shared" si="88"/>
        <v>193.11021437578813</v>
      </c>
      <c r="DJ27" s="81">
        <f t="shared" si="89"/>
        <v>0</v>
      </c>
      <c r="DK27" s="76">
        <f t="shared" si="90"/>
        <v>-84.48971469104671</v>
      </c>
      <c r="DL27" s="145">
        <f t="shared" si="49"/>
        <v>166391.6590290038</v>
      </c>
      <c r="DM27" s="64"/>
      <c r="DN27" s="65"/>
    </row>
    <row r="28" spans="1:118" ht="12.75">
      <c r="A28" s="51" t="s">
        <v>19</v>
      </c>
      <c r="B28" s="46">
        <v>441</v>
      </c>
      <c r="C28" s="38">
        <v>811825</v>
      </c>
      <c r="D28" s="66">
        <v>1840.87</v>
      </c>
      <c r="E28" s="66">
        <v>55.5</v>
      </c>
      <c r="F28" s="126">
        <v>2</v>
      </c>
      <c r="G28" s="132">
        <f>(G42/($B$5+$B$28)*$B$28)</f>
        <v>8744.803846153845</v>
      </c>
      <c r="H28" s="132">
        <f aca="true" t="shared" si="95" ref="H28:BU28">(H42/($B$5+$B$28)*$B$28)</f>
        <v>4763.857023411371</v>
      </c>
      <c r="I28" s="132">
        <f t="shared" si="95"/>
        <v>0</v>
      </c>
      <c r="J28" s="132">
        <f t="shared" si="95"/>
        <v>0</v>
      </c>
      <c r="K28" s="132">
        <f t="shared" si="95"/>
        <v>0</v>
      </c>
      <c r="L28" s="132">
        <f t="shared" si="95"/>
        <v>0</v>
      </c>
      <c r="M28" s="43">
        <f t="shared" si="0"/>
        <v>0</v>
      </c>
      <c r="N28" s="132">
        <f t="shared" si="95"/>
        <v>0</v>
      </c>
      <c r="O28" s="132">
        <f t="shared" si="95"/>
        <v>0</v>
      </c>
      <c r="P28" s="132">
        <f t="shared" si="95"/>
        <v>173723.46923076926</v>
      </c>
      <c r="Q28" s="132">
        <f t="shared" si="95"/>
        <v>0</v>
      </c>
      <c r="R28" s="132">
        <f t="shared" si="95"/>
        <v>0</v>
      </c>
      <c r="S28" s="132">
        <f t="shared" si="95"/>
        <v>0</v>
      </c>
      <c r="T28" s="132">
        <f t="shared" si="95"/>
        <v>0</v>
      </c>
      <c r="U28" s="132">
        <f t="shared" si="95"/>
        <v>0</v>
      </c>
      <c r="V28" s="132">
        <f t="shared" si="95"/>
        <v>0</v>
      </c>
      <c r="W28" s="43">
        <f t="shared" si="57"/>
        <v>0</v>
      </c>
      <c r="X28" s="132">
        <f t="shared" si="95"/>
        <v>0</v>
      </c>
      <c r="Y28" s="43">
        <f t="shared" si="58"/>
        <v>187232.13010033447</v>
      </c>
      <c r="Z28" s="132">
        <f t="shared" si="95"/>
        <v>60780.419397993304</v>
      </c>
      <c r="AA28" s="132">
        <f t="shared" si="95"/>
        <v>0</v>
      </c>
      <c r="AB28" s="132">
        <f t="shared" si="95"/>
        <v>0</v>
      </c>
      <c r="AC28" s="132">
        <f t="shared" si="95"/>
        <v>7242.724414715718</v>
      </c>
      <c r="AD28" s="132">
        <f t="shared" si="95"/>
        <v>0</v>
      </c>
      <c r="AE28" s="43">
        <f t="shared" si="59"/>
        <v>68023.14381270902</v>
      </c>
      <c r="AF28" s="132">
        <f t="shared" si="95"/>
        <v>0</v>
      </c>
      <c r="AG28" s="132">
        <f t="shared" si="95"/>
        <v>31875.47508361204</v>
      </c>
      <c r="AH28" s="132">
        <f t="shared" si="95"/>
        <v>0</v>
      </c>
      <c r="AI28" s="132">
        <f t="shared" si="95"/>
        <v>43293.54030100334</v>
      </c>
      <c r="AJ28" s="132">
        <f t="shared" si="95"/>
        <v>0</v>
      </c>
      <c r="AK28" s="132">
        <f t="shared" si="95"/>
        <v>3318.561872909699</v>
      </c>
      <c r="AL28" s="132">
        <f t="shared" si="95"/>
        <v>0</v>
      </c>
      <c r="AM28" s="132">
        <f t="shared" si="95"/>
        <v>0</v>
      </c>
      <c r="AN28" s="132">
        <f t="shared" si="95"/>
        <v>0</v>
      </c>
      <c r="AO28" s="132">
        <f t="shared" si="95"/>
        <v>0</v>
      </c>
      <c r="AP28" s="132">
        <f t="shared" si="95"/>
        <v>0</v>
      </c>
      <c r="AQ28" s="132">
        <f t="shared" si="95"/>
        <v>0</v>
      </c>
      <c r="AR28" s="132">
        <f t="shared" si="95"/>
        <v>0</v>
      </c>
      <c r="AS28" s="4">
        <f t="shared" si="60"/>
        <v>0</v>
      </c>
      <c r="AT28" s="132">
        <f t="shared" si="95"/>
        <v>0</v>
      </c>
      <c r="AU28" s="4">
        <f t="shared" si="61"/>
        <v>146510.7210702341</v>
      </c>
      <c r="AV28" s="132">
        <f t="shared" si="95"/>
        <v>0</v>
      </c>
      <c r="AW28" s="132">
        <f t="shared" si="95"/>
        <v>40721.40903010034</v>
      </c>
      <c r="AX28" s="4">
        <f t="shared" si="62"/>
        <v>0</v>
      </c>
      <c r="AY28" s="132">
        <f t="shared" si="95"/>
        <v>0</v>
      </c>
      <c r="AZ28" s="132">
        <f t="shared" si="95"/>
        <v>0</v>
      </c>
      <c r="BA28" s="132">
        <f t="shared" si="95"/>
        <v>0</v>
      </c>
      <c r="BB28" s="132">
        <f t="shared" si="95"/>
        <v>0</v>
      </c>
      <c r="BC28" s="132">
        <f t="shared" si="95"/>
        <v>0</v>
      </c>
      <c r="BD28" s="132">
        <f t="shared" si="95"/>
        <v>0</v>
      </c>
      <c r="BE28" s="132">
        <f t="shared" si="95"/>
        <v>0</v>
      </c>
      <c r="BF28" s="43">
        <f t="shared" si="63"/>
        <v>0</v>
      </c>
      <c r="BG28" s="132">
        <f t="shared" si="95"/>
        <v>0</v>
      </c>
      <c r="BH28" s="132">
        <f t="shared" si="95"/>
        <v>0</v>
      </c>
      <c r="BI28" s="132">
        <f t="shared" si="95"/>
        <v>0</v>
      </c>
      <c r="BJ28" s="132">
        <f t="shared" si="95"/>
        <v>0</v>
      </c>
      <c r="BK28" s="132">
        <f t="shared" si="95"/>
        <v>0</v>
      </c>
      <c r="BL28" s="132">
        <f t="shared" si="95"/>
        <v>0</v>
      </c>
      <c r="BM28" s="132">
        <f t="shared" si="95"/>
        <v>0</v>
      </c>
      <c r="BN28" s="132">
        <f t="shared" si="95"/>
        <v>0</v>
      </c>
      <c r="BO28" s="43">
        <f t="shared" si="64"/>
        <v>0</v>
      </c>
      <c r="BP28" s="132">
        <f t="shared" si="95"/>
        <v>0</v>
      </c>
      <c r="BQ28" s="132">
        <f t="shared" si="95"/>
        <v>0</v>
      </c>
      <c r="BR28" s="132">
        <f t="shared" si="95"/>
        <v>0</v>
      </c>
      <c r="BS28" s="43">
        <f t="shared" si="65"/>
        <v>0</v>
      </c>
      <c r="BT28" s="132">
        <f t="shared" si="95"/>
        <v>188084.28762541807</v>
      </c>
      <c r="BU28" s="132">
        <f t="shared" si="95"/>
        <v>0</v>
      </c>
      <c r="BV28" s="132">
        <f aca="true" t="shared" si="96" ref="BV28:CA28">(BV42/($B$5+$B$28)*$B$28)</f>
        <v>0</v>
      </c>
      <c r="BW28" s="132">
        <f t="shared" si="96"/>
        <v>0</v>
      </c>
      <c r="BX28" s="4">
        <f t="shared" si="66"/>
        <v>188084.28762541807</v>
      </c>
      <c r="BY28" s="132">
        <f t="shared" si="96"/>
        <v>35200.08411371237</v>
      </c>
      <c r="BZ28" s="132">
        <f t="shared" si="96"/>
        <v>0</v>
      </c>
      <c r="CA28" s="132">
        <f t="shared" si="96"/>
        <v>152884.20351170568</v>
      </c>
      <c r="CB28" s="4">
        <f t="shared" si="67"/>
        <v>188084.28762541804</v>
      </c>
      <c r="CC28" s="4">
        <f t="shared" si="68"/>
        <v>0</v>
      </c>
      <c r="CD28" s="74">
        <f t="shared" si="69"/>
        <v>-40721.40903010034</v>
      </c>
      <c r="CE28" s="76">
        <f t="shared" si="70"/>
        <v>-40721.40903010034</v>
      </c>
      <c r="CF28" s="76">
        <f t="shared" si="71"/>
        <v>0</v>
      </c>
      <c r="CG28" s="76">
        <f t="shared" si="54"/>
        <v>146510.7210702341</v>
      </c>
      <c r="CH28" s="76">
        <f t="shared" si="72"/>
        <v>-31875.47508361204</v>
      </c>
      <c r="CI28" s="37">
        <f t="shared" si="73"/>
        <v>-31875.47508361204</v>
      </c>
      <c r="CJ28" s="59" t="str">
        <f t="shared" si="36"/>
        <v>-</v>
      </c>
      <c r="CK28" s="59" t="str">
        <f t="shared" si="37"/>
        <v>-</v>
      </c>
      <c r="CL28" s="141">
        <f t="shared" si="38"/>
        <v>-0.2779414962443558</v>
      </c>
      <c r="CM28" s="141">
        <f t="shared" si="39"/>
        <v>-0.2779414962443558</v>
      </c>
      <c r="CN28" s="141">
        <f t="shared" si="40"/>
        <v>-0.21756411306126613</v>
      </c>
      <c r="CO28" s="141">
        <f t="shared" si="41"/>
        <v>-0.21756411306126613</v>
      </c>
      <c r="CP28" s="141" t="str">
        <f t="shared" si="42"/>
        <v>-</v>
      </c>
      <c r="CQ28" s="141" t="str">
        <f t="shared" si="43"/>
        <v>-</v>
      </c>
      <c r="CR28" s="142">
        <f t="shared" si="44"/>
        <v>-3.7543937489662302</v>
      </c>
      <c r="CS28" s="76">
        <f t="shared" si="45"/>
        <v>152884.2035117057</v>
      </c>
      <c r="CT28" s="80">
        <f t="shared" si="74"/>
        <v>187232.13010033447</v>
      </c>
      <c r="CU28" s="80">
        <f t="shared" si="75"/>
        <v>146510.7210702341</v>
      </c>
      <c r="CV28" s="80">
        <f t="shared" si="76"/>
        <v>-40721.40903010036</v>
      </c>
      <c r="CW28" s="80">
        <f t="shared" si="77"/>
        <v>0</v>
      </c>
      <c r="CX28" s="80">
        <f t="shared" si="78"/>
        <v>-40721.40903010036</v>
      </c>
      <c r="CY28" s="80">
        <f t="shared" si="79"/>
        <v>-40721.40903010036</v>
      </c>
      <c r="CZ28" s="80">
        <f t="shared" si="80"/>
        <v>0</v>
      </c>
      <c r="DA28" s="80">
        <f t="shared" si="81"/>
        <v>0</v>
      </c>
      <c r="DB28" s="80">
        <f t="shared" si="82"/>
        <v>-40721.40903010036</v>
      </c>
      <c r="DC28" s="80">
        <f t="shared" si="46"/>
        <v>-40721.40903010036</v>
      </c>
      <c r="DD28" s="80">
        <f t="shared" si="83"/>
        <v>0</v>
      </c>
      <c r="DE28" s="80">
        <f t="shared" si="84"/>
        <v>-40721.40903010036</v>
      </c>
      <c r="DF28" s="80">
        <f t="shared" si="85"/>
        <v>60780.419397993304</v>
      </c>
      <c r="DG28" s="80">
        <f t="shared" si="86"/>
        <v>346.67619843924194</v>
      </c>
      <c r="DH28" s="80">
        <f t="shared" si="87"/>
        <v>-72.27998885172798</v>
      </c>
      <c r="DI28" s="80">
        <f t="shared" si="88"/>
        <v>137.82408026755851</v>
      </c>
      <c r="DJ28" s="81">
        <f t="shared" si="89"/>
        <v>0</v>
      </c>
      <c r="DK28" s="76">
        <f t="shared" si="90"/>
        <v>-92.33879598662213</v>
      </c>
      <c r="DL28" s="145">
        <f t="shared" si="49"/>
        <v>152884.20351170568</v>
      </c>
      <c r="DM28" s="67"/>
      <c r="DN28" s="68"/>
    </row>
    <row r="29" spans="1:118" ht="12.75">
      <c r="A29" s="52" t="s">
        <v>21</v>
      </c>
      <c r="B29" s="41">
        <v>2623</v>
      </c>
      <c r="C29" s="4">
        <v>9612483</v>
      </c>
      <c r="D29" s="69">
        <v>3664.69</v>
      </c>
      <c r="E29" s="69">
        <v>110.49</v>
      </c>
      <c r="F29" s="8">
        <v>4</v>
      </c>
      <c r="G29" s="131">
        <v>73641.95</v>
      </c>
      <c r="H29" s="43">
        <v>9503.45</v>
      </c>
      <c r="I29" s="43">
        <v>0</v>
      </c>
      <c r="J29" s="43">
        <v>0</v>
      </c>
      <c r="K29" s="43">
        <v>0</v>
      </c>
      <c r="L29" s="43">
        <v>0</v>
      </c>
      <c r="M29" s="43">
        <f t="shared" si="0"/>
        <v>0</v>
      </c>
      <c r="N29" s="43">
        <v>602200.15</v>
      </c>
      <c r="O29" s="43">
        <v>22917.45</v>
      </c>
      <c r="P29" s="43">
        <v>30000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f t="shared" si="57"/>
        <v>0</v>
      </c>
      <c r="X29" s="43">
        <v>0</v>
      </c>
      <c r="Y29" s="43">
        <f t="shared" si="58"/>
        <v>738263</v>
      </c>
      <c r="Z29" s="43">
        <v>694682.55</v>
      </c>
      <c r="AA29" s="43">
        <v>-5758.35</v>
      </c>
      <c r="AB29" s="43">
        <v>0</v>
      </c>
      <c r="AC29" s="43">
        <v>43078.9</v>
      </c>
      <c r="AD29" s="43">
        <v>0</v>
      </c>
      <c r="AE29" s="43">
        <f t="shared" si="59"/>
        <v>732003.1000000001</v>
      </c>
      <c r="AF29" s="43">
        <v>0</v>
      </c>
      <c r="AG29" s="43">
        <v>9184.55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60"/>
        <v>0</v>
      </c>
      <c r="AT29" s="4">
        <v>0</v>
      </c>
      <c r="AU29" s="4">
        <f t="shared" si="61"/>
        <v>741187.6500000001</v>
      </c>
      <c r="AV29" s="4">
        <v>2924.65</v>
      </c>
      <c r="AW29" s="4">
        <v>0</v>
      </c>
      <c r="AX29" s="4">
        <f t="shared" si="62"/>
        <v>-1.3960743672214448E-10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f t="shared" si="63"/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f t="shared" si="64"/>
        <v>0</v>
      </c>
      <c r="BP29" s="43">
        <v>0</v>
      </c>
      <c r="BQ29" s="43">
        <v>0</v>
      </c>
      <c r="BR29" s="43">
        <v>0</v>
      </c>
      <c r="BS29" s="43">
        <f t="shared" si="65"/>
        <v>0</v>
      </c>
      <c r="BT29" s="4">
        <v>1088937.85</v>
      </c>
      <c r="BU29" s="4">
        <v>0</v>
      </c>
      <c r="BV29" s="4">
        <v>0</v>
      </c>
      <c r="BW29" s="4">
        <v>0</v>
      </c>
      <c r="BX29" s="4">
        <f t="shared" si="66"/>
        <v>1088937.85</v>
      </c>
      <c r="BY29" s="4">
        <v>370316.2</v>
      </c>
      <c r="BZ29" s="4">
        <v>0</v>
      </c>
      <c r="CA29" s="4">
        <v>718621.65</v>
      </c>
      <c r="CB29" s="4">
        <f t="shared" si="67"/>
        <v>1088937.85</v>
      </c>
      <c r="CC29" s="4">
        <f t="shared" si="68"/>
        <v>0</v>
      </c>
      <c r="CD29" s="74">
        <f t="shared" si="69"/>
        <v>2924.65</v>
      </c>
      <c r="CE29" s="76">
        <f t="shared" si="70"/>
        <v>2924.65</v>
      </c>
      <c r="CF29" s="76">
        <f t="shared" si="71"/>
        <v>0</v>
      </c>
      <c r="CG29" s="76">
        <f t="shared" si="54"/>
        <v>741187.6500000001</v>
      </c>
      <c r="CH29" s="76">
        <f t="shared" si="72"/>
        <v>-9184.55</v>
      </c>
      <c r="CI29" s="37">
        <f t="shared" si="73"/>
        <v>-9184.55</v>
      </c>
      <c r="CJ29" s="59" t="str">
        <f t="shared" si="36"/>
        <v>-</v>
      </c>
      <c r="CK29" s="59" t="str">
        <f t="shared" si="37"/>
        <v>-</v>
      </c>
      <c r="CL29" s="141">
        <f t="shared" si="38"/>
        <v>0.003945896831929134</v>
      </c>
      <c r="CM29" s="141">
        <f t="shared" si="39"/>
        <v>0.003945896831929134</v>
      </c>
      <c r="CN29" s="141">
        <f t="shared" si="40"/>
        <v>-0.012391666266970311</v>
      </c>
      <c r="CO29" s="141">
        <f t="shared" si="41"/>
        <v>-0.012391666266970311</v>
      </c>
      <c r="CP29" s="141" t="str">
        <f t="shared" si="42"/>
        <v>-</v>
      </c>
      <c r="CQ29" s="141" t="str">
        <f t="shared" si="43"/>
        <v>-</v>
      </c>
      <c r="CR29" s="142">
        <f t="shared" si="44"/>
        <v>245.7120168225258</v>
      </c>
      <c r="CS29" s="76">
        <f t="shared" si="45"/>
        <v>718621.6500000001</v>
      </c>
      <c r="CT29" s="80">
        <f t="shared" si="74"/>
        <v>738263</v>
      </c>
      <c r="CU29" s="80">
        <f t="shared" si="75"/>
        <v>741187.6500000001</v>
      </c>
      <c r="CV29" s="80">
        <f t="shared" si="76"/>
        <v>2924.6500000001397</v>
      </c>
      <c r="CW29" s="80">
        <f t="shared" si="77"/>
        <v>0</v>
      </c>
      <c r="CX29" s="80">
        <f t="shared" si="78"/>
        <v>2924.6500000001397</v>
      </c>
      <c r="CY29" s="80">
        <f t="shared" si="79"/>
        <v>2924.6500000001397</v>
      </c>
      <c r="CZ29" s="80">
        <f t="shared" si="80"/>
        <v>0</v>
      </c>
      <c r="DA29" s="80">
        <f t="shared" si="81"/>
        <v>0</v>
      </c>
      <c r="DB29" s="80">
        <f t="shared" si="82"/>
        <v>2924.6500000001397</v>
      </c>
      <c r="DC29" s="80">
        <f t="shared" si="46"/>
        <v>2924.6500000001397</v>
      </c>
      <c r="DD29" s="80">
        <f t="shared" si="83"/>
        <v>0</v>
      </c>
      <c r="DE29" s="80">
        <f t="shared" si="84"/>
        <v>2924.6500000001397</v>
      </c>
      <c r="DF29" s="80">
        <f t="shared" si="85"/>
        <v>688924.2000000001</v>
      </c>
      <c r="DG29" s="80">
        <f t="shared" si="86"/>
        <v>273.96936713686625</v>
      </c>
      <c r="DH29" s="80">
        <f t="shared" si="87"/>
        <v>-3.501544033549371</v>
      </c>
      <c r="DI29" s="80">
        <f t="shared" si="88"/>
        <v>262.6474266107511</v>
      </c>
      <c r="DJ29" s="81">
        <f t="shared" si="89"/>
        <v>0</v>
      </c>
      <c r="DK29" s="76">
        <f t="shared" si="90"/>
        <v>1.1150019062143117</v>
      </c>
      <c r="DL29" s="145">
        <f t="shared" si="49"/>
        <v>718621.65</v>
      </c>
      <c r="DM29" s="64"/>
      <c r="DN29" s="65"/>
    </row>
    <row r="30" spans="1:118" ht="12.75">
      <c r="A30" s="51" t="s">
        <v>31</v>
      </c>
      <c r="B30" s="46">
        <v>398</v>
      </c>
      <c r="C30" s="38">
        <v>1209493</v>
      </c>
      <c r="D30" s="66">
        <v>3038.93</v>
      </c>
      <c r="E30" s="66">
        <v>91.62</v>
      </c>
      <c r="F30" s="126">
        <v>2</v>
      </c>
      <c r="G30" s="132">
        <v>10042.7</v>
      </c>
      <c r="H30" s="42">
        <v>2858.2</v>
      </c>
      <c r="I30" s="42">
        <v>0</v>
      </c>
      <c r="J30" s="42">
        <v>0</v>
      </c>
      <c r="K30" s="42">
        <v>0</v>
      </c>
      <c r="L30" s="42">
        <v>0</v>
      </c>
      <c r="M30" s="43">
        <f t="shared" si="0"/>
        <v>0</v>
      </c>
      <c r="N30" s="42">
        <v>0</v>
      </c>
      <c r="O30" s="42">
        <v>0</v>
      </c>
      <c r="P30" s="42">
        <v>57281.85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3">
        <f t="shared" si="57"/>
        <v>0</v>
      </c>
      <c r="X30" s="42">
        <v>0</v>
      </c>
      <c r="Y30" s="43">
        <f t="shared" si="58"/>
        <v>70182.75</v>
      </c>
      <c r="Z30" s="42">
        <v>44799.9</v>
      </c>
      <c r="AA30" s="42">
        <v>0</v>
      </c>
      <c r="AB30" s="42">
        <v>0</v>
      </c>
      <c r="AC30" s="42">
        <v>6536.55</v>
      </c>
      <c r="AD30" s="42">
        <v>0</v>
      </c>
      <c r="AE30" s="43">
        <f t="shared" si="59"/>
        <v>51336.450000000004</v>
      </c>
      <c r="AF30" s="42">
        <v>0</v>
      </c>
      <c r="AG30" s="42">
        <v>6670.1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4">
        <f t="shared" si="60"/>
        <v>0</v>
      </c>
      <c r="AT30" s="38">
        <v>0</v>
      </c>
      <c r="AU30" s="4">
        <f t="shared" si="61"/>
        <v>58006.55000000001</v>
      </c>
      <c r="AV30" s="38">
        <v>0</v>
      </c>
      <c r="AW30" s="38">
        <v>12176.2</v>
      </c>
      <c r="AX30" s="4">
        <f t="shared" si="62"/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63"/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3">
        <f t="shared" si="64"/>
        <v>0</v>
      </c>
      <c r="BP30" s="42">
        <v>0</v>
      </c>
      <c r="BQ30" s="42">
        <v>0</v>
      </c>
      <c r="BR30" s="42">
        <v>0</v>
      </c>
      <c r="BS30" s="43">
        <f t="shared" si="65"/>
        <v>0</v>
      </c>
      <c r="BT30" s="38">
        <v>192219.18</v>
      </c>
      <c r="BU30" s="38">
        <v>0</v>
      </c>
      <c r="BV30" s="38">
        <v>0</v>
      </c>
      <c r="BW30" s="38">
        <v>0</v>
      </c>
      <c r="BX30" s="4">
        <f t="shared" si="66"/>
        <v>192219.18</v>
      </c>
      <c r="BY30" s="38">
        <v>50189.7</v>
      </c>
      <c r="BZ30" s="38">
        <v>0</v>
      </c>
      <c r="CA30" s="38">
        <v>142029.48</v>
      </c>
      <c r="CB30" s="4">
        <f t="shared" si="67"/>
        <v>192219.18</v>
      </c>
      <c r="CC30" s="4">
        <f t="shared" si="68"/>
        <v>0</v>
      </c>
      <c r="CD30" s="74">
        <f t="shared" si="69"/>
        <v>-12176.2</v>
      </c>
      <c r="CE30" s="76">
        <f t="shared" si="70"/>
        <v>-12176.2</v>
      </c>
      <c r="CF30" s="76">
        <f t="shared" si="71"/>
        <v>0</v>
      </c>
      <c r="CG30" s="76">
        <f t="shared" si="54"/>
        <v>58006.55000000001</v>
      </c>
      <c r="CH30" s="76">
        <f t="shared" si="72"/>
        <v>-6670.1</v>
      </c>
      <c r="CI30" s="37">
        <f t="shared" si="73"/>
        <v>-6670.1</v>
      </c>
      <c r="CJ30" s="59" t="str">
        <f t="shared" si="36"/>
        <v>-</v>
      </c>
      <c r="CK30" s="59" t="str">
        <f t="shared" si="37"/>
        <v>-</v>
      </c>
      <c r="CL30" s="141">
        <f t="shared" si="38"/>
        <v>-0.20991077731738914</v>
      </c>
      <c r="CM30" s="141">
        <f t="shared" si="39"/>
        <v>-0.20991077731738914</v>
      </c>
      <c r="CN30" s="141">
        <f t="shared" si="40"/>
        <v>-0.11498873834075633</v>
      </c>
      <c r="CO30" s="141">
        <f t="shared" si="41"/>
        <v>-0.11498873834075633</v>
      </c>
      <c r="CP30" s="141" t="str">
        <f t="shared" si="42"/>
        <v>-</v>
      </c>
      <c r="CQ30" s="141" t="str">
        <f t="shared" si="43"/>
        <v>-</v>
      </c>
      <c r="CR30" s="142">
        <f t="shared" si="44"/>
        <v>-11.66451602306138</v>
      </c>
      <c r="CS30" s="76">
        <f t="shared" si="45"/>
        <v>142029.47999999998</v>
      </c>
      <c r="CT30" s="80">
        <f t="shared" si="74"/>
        <v>70182.75</v>
      </c>
      <c r="CU30" s="80">
        <f t="shared" si="75"/>
        <v>58006.55000000001</v>
      </c>
      <c r="CV30" s="80">
        <f t="shared" si="76"/>
        <v>-12176.19999999999</v>
      </c>
      <c r="CW30" s="80">
        <f t="shared" si="77"/>
        <v>0</v>
      </c>
      <c r="CX30" s="80">
        <f t="shared" si="78"/>
        <v>-12176.19999999999</v>
      </c>
      <c r="CY30" s="80">
        <f t="shared" si="79"/>
        <v>-12176.19999999999</v>
      </c>
      <c r="CZ30" s="80">
        <f t="shared" si="80"/>
        <v>0</v>
      </c>
      <c r="DA30" s="80">
        <f t="shared" si="81"/>
        <v>0</v>
      </c>
      <c r="DB30" s="80">
        <f t="shared" si="82"/>
        <v>-12176.19999999999</v>
      </c>
      <c r="DC30" s="80">
        <f t="shared" si="46"/>
        <v>-12176.19999999999</v>
      </c>
      <c r="DD30" s="80">
        <f t="shared" si="83"/>
        <v>0</v>
      </c>
      <c r="DE30" s="80">
        <f t="shared" si="84"/>
        <v>-12176.19999999999</v>
      </c>
      <c r="DF30" s="80">
        <f t="shared" si="85"/>
        <v>44799.9</v>
      </c>
      <c r="DG30" s="80">
        <f t="shared" si="86"/>
        <v>356.8579899497487</v>
      </c>
      <c r="DH30" s="80">
        <f t="shared" si="87"/>
        <v>-16.759045226130656</v>
      </c>
      <c r="DI30" s="80">
        <f t="shared" si="88"/>
        <v>112.56256281407036</v>
      </c>
      <c r="DJ30" s="81">
        <f t="shared" si="89"/>
        <v>0</v>
      </c>
      <c r="DK30" s="76">
        <f t="shared" si="90"/>
        <v>-30.593467336683393</v>
      </c>
      <c r="DL30" s="145">
        <f t="shared" si="49"/>
        <v>142029.48</v>
      </c>
      <c r="DM30" s="67"/>
      <c r="DN30" s="68"/>
    </row>
    <row r="31" spans="1:118" ht="13.5" thickBot="1">
      <c r="A31" s="53" t="s">
        <v>20</v>
      </c>
      <c r="B31" s="47">
        <v>292</v>
      </c>
      <c r="C31" s="7">
        <v>1004874</v>
      </c>
      <c r="D31" s="70">
        <v>3441.35</v>
      </c>
      <c r="E31" s="70">
        <v>103.75</v>
      </c>
      <c r="F31" s="127">
        <v>4</v>
      </c>
      <c r="G31" s="131">
        <v>3365.1</v>
      </c>
      <c r="H31" s="43">
        <v>1086.2</v>
      </c>
      <c r="I31" s="43">
        <v>222.7</v>
      </c>
      <c r="J31" s="43">
        <v>0</v>
      </c>
      <c r="K31" s="43">
        <v>0</v>
      </c>
      <c r="L31" s="43">
        <v>0</v>
      </c>
      <c r="M31" s="43">
        <f t="shared" si="0"/>
        <v>0</v>
      </c>
      <c r="N31" s="43">
        <v>0</v>
      </c>
      <c r="O31" s="43">
        <v>4128.6</v>
      </c>
      <c r="P31" s="43">
        <v>78240.45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f t="shared" si="57"/>
        <v>0</v>
      </c>
      <c r="X31" s="43">
        <v>0</v>
      </c>
      <c r="Y31" s="43">
        <f t="shared" si="58"/>
        <v>87043.05</v>
      </c>
      <c r="Z31" s="43">
        <v>69094.05</v>
      </c>
      <c r="AA31" s="43">
        <v>539.9</v>
      </c>
      <c r="AB31" s="43">
        <v>0</v>
      </c>
      <c r="AC31" s="43">
        <v>4795.65</v>
      </c>
      <c r="AD31" s="43">
        <v>0</v>
      </c>
      <c r="AE31" s="43">
        <f t="shared" si="59"/>
        <v>74429.59999999999</v>
      </c>
      <c r="AF31" s="43">
        <v>0</v>
      </c>
      <c r="AG31" s="43">
        <v>3927.05</v>
      </c>
      <c r="AH31" s="43">
        <v>0</v>
      </c>
      <c r="AI31" s="43">
        <v>3011.75</v>
      </c>
      <c r="AJ31" s="43">
        <v>0</v>
      </c>
      <c r="AK31" s="43">
        <v>0</v>
      </c>
      <c r="AL31" s="43">
        <v>0</v>
      </c>
      <c r="AM31" s="43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60"/>
        <v>0</v>
      </c>
      <c r="AT31" s="4">
        <v>0</v>
      </c>
      <c r="AU31" s="4">
        <f t="shared" si="61"/>
        <v>81368.39999999998</v>
      </c>
      <c r="AV31" s="4">
        <v>0</v>
      </c>
      <c r="AW31" s="4">
        <v>5674.65</v>
      </c>
      <c r="AX31" s="4">
        <f t="shared" si="62"/>
        <v>2.3646862246096134E-11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f t="shared" si="63"/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f t="shared" si="64"/>
        <v>0</v>
      </c>
      <c r="BP31" s="43">
        <v>0</v>
      </c>
      <c r="BQ31" s="43">
        <v>0</v>
      </c>
      <c r="BR31" s="43">
        <v>0</v>
      </c>
      <c r="BS31" s="43">
        <f t="shared" si="65"/>
        <v>0</v>
      </c>
      <c r="BT31" s="4">
        <v>206377</v>
      </c>
      <c r="BU31" s="4">
        <v>0</v>
      </c>
      <c r="BV31" s="4">
        <v>0</v>
      </c>
      <c r="BW31" s="4">
        <v>0</v>
      </c>
      <c r="BX31" s="4">
        <f t="shared" si="66"/>
        <v>206377</v>
      </c>
      <c r="BY31" s="4">
        <v>36726.95</v>
      </c>
      <c r="BZ31" s="4">
        <v>0</v>
      </c>
      <c r="CA31" s="4">
        <v>169650.05</v>
      </c>
      <c r="CB31" s="4">
        <f t="shared" si="67"/>
        <v>206377</v>
      </c>
      <c r="CC31" s="4">
        <f t="shared" si="68"/>
        <v>0</v>
      </c>
      <c r="CD31" s="74">
        <f t="shared" si="69"/>
        <v>-5674.65</v>
      </c>
      <c r="CE31" s="76">
        <f t="shared" si="70"/>
        <v>-5674.65</v>
      </c>
      <c r="CF31" s="76">
        <f t="shared" si="71"/>
        <v>0</v>
      </c>
      <c r="CG31" s="76">
        <f t="shared" si="54"/>
        <v>81368.39999999998</v>
      </c>
      <c r="CH31" s="76">
        <f t="shared" si="72"/>
        <v>-3704.3500000000004</v>
      </c>
      <c r="CI31" s="37">
        <f t="shared" si="73"/>
        <v>-3704.3500000000004</v>
      </c>
      <c r="CJ31" s="59" t="str">
        <f t="shared" si="36"/>
        <v>-</v>
      </c>
      <c r="CK31" s="59" t="str">
        <f t="shared" si="37"/>
        <v>-</v>
      </c>
      <c r="CL31" s="141">
        <f t="shared" si="38"/>
        <v>-0.06974021856150546</v>
      </c>
      <c r="CM31" s="141">
        <f t="shared" si="39"/>
        <v>-0.06974021856150546</v>
      </c>
      <c r="CN31" s="141">
        <f t="shared" si="40"/>
        <v>-0.04552565860948478</v>
      </c>
      <c r="CO31" s="141">
        <f t="shared" si="41"/>
        <v>-0.04552565860948478</v>
      </c>
      <c r="CP31" s="141" t="str">
        <f t="shared" si="42"/>
        <v>-</v>
      </c>
      <c r="CQ31" s="141" t="str">
        <f t="shared" si="43"/>
        <v>-</v>
      </c>
      <c r="CR31" s="142">
        <f t="shared" si="44"/>
        <v>-29.896125752249038</v>
      </c>
      <c r="CS31" s="76">
        <f t="shared" si="45"/>
        <v>169650.05</v>
      </c>
      <c r="CT31" s="80">
        <f t="shared" si="74"/>
        <v>87043.05</v>
      </c>
      <c r="CU31" s="80">
        <f t="shared" si="75"/>
        <v>81368.39999999998</v>
      </c>
      <c r="CV31" s="80">
        <f t="shared" si="76"/>
        <v>-5674.650000000023</v>
      </c>
      <c r="CW31" s="80">
        <f t="shared" si="77"/>
        <v>0</v>
      </c>
      <c r="CX31" s="80">
        <f t="shared" si="78"/>
        <v>-5674.650000000023</v>
      </c>
      <c r="CY31" s="80">
        <f t="shared" si="79"/>
        <v>-5674.650000000023</v>
      </c>
      <c r="CZ31" s="80">
        <f t="shared" si="80"/>
        <v>0</v>
      </c>
      <c r="DA31" s="80">
        <f t="shared" si="81"/>
        <v>0</v>
      </c>
      <c r="DB31" s="80">
        <f t="shared" si="82"/>
        <v>-5674.650000000023</v>
      </c>
      <c r="DC31" s="80">
        <f t="shared" si="46"/>
        <v>-5674.650000000023</v>
      </c>
      <c r="DD31" s="80">
        <f t="shared" si="83"/>
        <v>0</v>
      </c>
      <c r="DE31" s="80">
        <f t="shared" si="84"/>
        <v>-5674.650000000023</v>
      </c>
      <c r="DF31" s="80">
        <f t="shared" si="85"/>
        <v>69633.95</v>
      </c>
      <c r="DG31" s="80">
        <f t="shared" si="86"/>
        <v>580.9933219178082</v>
      </c>
      <c r="DH31" s="80">
        <f t="shared" si="87"/>
        <v>-12.686130136986302</v>
      </c>
      <c r="DI31" s="80">
        <f t="shared" si="88"/>
        <v>238.47243150684932</v>
      </c>
      <c r="DJ31" s="81">
        <f t="shared" si="89"/>
        <v>0</v>
      </c>
      <c r="DK31" s="76">
        <f t="shared" si="90"/>
        <v>-19.43373287671241</v>
      </c>
      <c r="DL31" s="145">
        <f t="shared" si="49"/>
        <v>169650.05</v>
      </c>
      <c r="DM31" s="71"/>
      <c r="DN31" s="72"/>
    </row>
    <row r="32" spans="1:118" ht="12" customHeight="1">
      <c r="A32" s="31" t="s">
        <v>70</v>
      </c>
      <c r="B32" s="24">
        <f aca="true" t="shared" si="97" ref="B32:BM32">SUM(B3:B31)</f>
        <v>38207</v>
      </c>
      <c r="C32" s="24">
        <f t="shared" si="97"/>
        <v>126728843</v>
      </c>
      <c r="D32" s="25">
        <f t="shared" si="97"/>
        <v>84950.62</v>
      </c>
      <c r="E32" s="25">
        <f t="shared" si="97"/>
        <v>2561.1399999999994</v>
      </c>
      <c r="F32" s="116">
        <f t="shared" si="97"/>
        <v>80</v>
      </c>
      <c r="G32" s="118">
        <f t="shared" si="97"/>
        <v>946790.5499999998</v>
      </c>
      <c r="H32" s="119">
        <f t="shared" si="97"/>
        <v>588586.2999999998</v>
      </c>
      <c r="I32" s="119">
        <f t="shared" si="97"/>
        <v>64856.15</v>
      </c>
      <c r="J32" s="119">
        <f t="shared" si="97"/>
        <v>26462</v>
      </c>
      <c r="K32" s="119">
        <f t="shared" si="97"/>
        <v>1350.0000000000002</v>
      </c>
      <c r="L32" s="119">
        <f t="shared" si="97"/>
        <v>0</v>
      </c>
      <c r="M32" s="119">
        <f t="shared" si="97"/>
        <v>1350.0000000000002</v>
      </c>
      <c r="N32" s="119">
        <f t="shared" si="97"/>
        <v>602200.15</v>
      </c>
      <c r="O32" s="119">
        <f t="shared" si="97"/>
        <v>56215.2</v>
      </c>
      <c r="P32" s="119">
        <f t="shared" si="97"/>
        <v>10944260.399999999</v>
      </c>
      <c r="Q32" s="119">
        <f t="shared" si="97"/>
        <v>0</v>
      </c>
      <c r="R32" s="119">
        <f t="shared" si="97"/>
        <v>0</v>
      </c>
      <c r="S32" s="119">
        <f t="shared" si="97"/>
        <v>0</v>
      </c>
      <c r="T32" s="119">
        <f t="shared" si="97"/>
        <v>0</v>
      </c>
      <c r="U32" s="119">
        <f t="shared" si="97"/>
        <v>0</v>
      </c>
      <c r="V32" s="119">
        <f t="shared" si="97"/>
        <v>0</v>
      </c>
      <c r="W32" s="119">
        <f t="shared" si="97"/>
        <v>0</v>
      </c>
      <c r="X32" s="119">
        <f t="shared" si="97"/>
        <v>50813.700000000004</v>
      </c>
      <c r="Y32" s="119">
        <f t="shared" si="97"/>
        <v>13281534.449999997</v>
      </c>
      <c r="Z32" s="119">
        <f t="shared" si="97"/>
        <v>5603253.149999999</v>
      </c>
      <c r="AA32" s="119">
        <f t="shared" si="97"/>
        <v>430949.1000000001</v>
      </c>
      <c r="AB32" s="119">
        <f t="shared" si="97"/>
        <v>0</v>
      </c>
      <c r="AC32" s="119">
        <f t="shared" si="97"/>
        <v>625995.55</v>
      </c>
      <c r="AD32" s="119">
        <f t="shared" si="97"/>
        <v>0</v>
      </c>
      <c r="AE32" s="119">
        <f t="shared" si="97"/>
        <v>6660197.8</v>
      </c>
      <c r="AF32" s="119">
        <f t="shared" si="97"/>
        <v>50000</v>
      </c>
      <c r="AG32" s="119">
        <f t="shared" si="97"/>
        <v>386389.69999999984</v>
      </c>
      <c r="AH32" s="119">
        <f t="shared" si="97"/>
        <v>18595.65</v>
      </c>
      <c r="AI32" s="119">
        <f t="shared" si="97"/>
        <v>5018878.82</v>
      </c>
      <c r="AJ32" s="119">
        <f t="shared" si="97"/>
        <v>6080</v>
      </c>
      <c r="AK32" s="119">
        <f t="shared" si="97"/>
        <v>157257.35</v>
      </c>
      <c r="AL32" s="119">
        <f t="shared" si="97"/>
        <v>123048.15</v>
      </c>
      <c r="AM32" s="119">
        <f t="shared" si="97"/>
        <v>0</v>
      </c>
      <c r="AN32" s="119">
        <f t="shared" si="97"/>
        <v>0</v>
      </c>
      <c r="AO32" s="119">
        <f t="shared" si="97"/>
        <v>0</v>
      </c>
      <c r="AP32" s="119">
        <f t="shared" si="97"/>
        <v>0</v>
      </c>
      <c r="AQ32" s="119">
        <f t="shared" si="97"/>
        <v>0</v>
      </c>
      <c r="AR32" s="119">
        <f t="shared" si="97"/>
        <v>0</v>
      </c>
      <c r="AS32" s="119">
        <f t="shared" si="97"/>
        <v>0</v>
      </c>
      <c r="AT32" s="119">
        <f t="shared" si="97"/>
        <v>50813.700000000004</v>
      </c>
      <c r="AU32" s="119">
        <f t="shared" si="97"/>
        <v>12452665.520000001</v>
      </c>
      <c r="AV32" s="119">
        <f t="shared" si="97"/>
        <v>547980.87</v>
      </c>
      <c r="AW32" s="119">
        <f t="shared" si="97"/>
        <v>1376849.9</v>
      </c>
      <c r="AX32" s="119">
        <f t="shared" si="97"/>
        <v>-0.09999999968613338</v>
      </c>
      <c r="AY32" s="119">
        <f t="shared" si="97"/>
        <v>46153.05</v>
      </c>
      <c r="AZ32" s="119">
        <f t="shared" si="97"/>
        <v>0</v>
      </c>
      <c r="BA32" s="119">
        <f t="shared" si="97"/>
        <v>0</v>
      </c>
      <c r="BB32" s="119">
        <f t="shared" si="97"/>
        <v>0</v>
      </c>
      <c r="BC32" s="119">
        <f t="shared" si="97"/>
        <v>0</v>
      </c>
      <c r="BD32" s="119">
        <f t="shared" si="97"/>
        <v>0</v>
      </c>
      <c r="BE32" s="119">
        <f t="shared" si="97"/>
        <v>0</v>
      </c>
      <c r="BF32" s="119">
        <f t="shared" si="97"/>
        <v>0</v>
      </c>
      <c r="BG32" s="119">
        <f t="shared" si="97"/>
        <v>0</v>
      </c>
      <c r="BH32" s="119">
        <f t="shared" si="97"/>
        <v>0</v>
      </c>
      <c r="BI32" s="119">
        <f t="shared" si="97"/>
        <v>0</v>
      </c>
      <c r="BJ32" s="119">
        <f t="shared" si="97"/>
        <v>0</v>
      </c>
      <c r="BK32" s="119">
        <f t="shared" si="97"/>
        <v>0</v>
      </c>
      <c r="BL32" s="119">
        <f t="shared" si="97"/>
        <v>0</v>
      </c>
      <c r="BM32" s="119">
        <f t="shared" si="97"/>
        <v>0</v>
      </c>
      <c r="BN32" s="119">
        <f aca="true" t="shared" si="98" ref="BN32:DL32">SUM(BN3:BN31)</f>
        <v>0</v>
      </c>
      <c r="BO32" s="119">
        <f t="shared" si="98"/>
        <v>0</v>
      </c>
      <c r="BP32" s="119">
        <f t="shared" si="98"/>
        <v>0</v>
      </c>
      <c r="BQ32" s="119">
        <f t="shared" si="98"/>
        <v>0</v>
      </c>
      <c r="BR32" s="119">
        <f t="shared" si="98"/>
        <v>0</v>
      </c>
      <c r="BS32" s="119">
        <f t="shared" si="98"/>
        <v>0</v>
      </c>
      <c r="BT32" s="119">
        <f t="shared" si="98"/>
        <v>16193973.08</v>
      </c>
      <c r="BU32" s="119">
        <f t="shared" si="98"/>
        <v>105427.00000000001</v>
      </c>
      <c r="BV32" s="119">
        <f t="shared" si="98"/>
        <v>0</v>
      </c>
      <c r="BW32" s="119">
        <f t="shared" si="98"/>
        <v>187510.01</v>
      </c>
      <c r="BX32" s="119">
        <f t="shared" si="98"/>
        <v>16486910.090000002</v>
      </c>
      <c r="BY32" s="119">
        <f t="shared" si="98"/>
        <v>4686046.920000001</v>
      </c>
      <c r="BZ32" s="119">
        <f t="shared" si="98"/>
        <v>20000</v>
      </c>
      <c r="CA32" s="119">
        <f t="shared" si="98"/>
        <v>11780863.17</v>
      </c>
      <c r="CB32" s="119">
        <f t="shared" si="98"/>
        <v>16486910.089999998</v>
      </c>
      <c r="CC32" s="119">
        <f t="shared" si="98"/>
        <v>0</v>
      </c>
      <c r="CD32" s="119">
        <f t="shared" si="98"/>
        <v>-827519.0299999998</v>
      </c>
      <c r="CE32" s="119">
        <f t="shared" si="98"/>
        <v>-827519.0299999998</v>
      </c>
      <c r="CF32" s="119">
        <f t="shared" si="98"/>
        <v>0</v>
      </c>
      <c r="CG32" s="119">
        <f t="shared" si="98"/>
        <v>12401851.820000002</v>
      </c>
      <c r="CH32" s="119">
        <f t="shared" si="98"/>
        <v>-256784.85</v>
      </c>
      <c r="CI32" s="119">
        <f t="shared" si="98"/>
        <v>-255434.85</v>
      </c>
      <c r="CJ32" s="120">
        <f t="shared" si="98"/>
        <v>0</v>
      </c>
      <c r="CK32" s="120">
        <f t="shared" si="98"/>
        <v>0</v>
      </c>
      <c r="CL32" s="120">
        <f t="shared" si="98"/>
        <v>-3.0541354510375984</v>
      </c>
      <c r="CM32" s="120">
        <f t="shared" si="98"/>
        <v>-3.0541354510375984</v>
      </c>
      <c r="CN32" s="120">
        <f t="shared" si="98"/>
        <v>-1.1264464539850672</v>
      </c>
      <c r="CO32" s="120">
        <f t="shared" si="98"/>
        <v>-1.1253769211817535</v>
      </c>
      <c r="CP32" s="120">
        <f t="shared" si="98"/>
        <v>0.39858281665190437</v>
      </c>
      <c r="CQ32" s="120">
        <f t="shared" si="98"/>
        <v>0.39858281665190437</v>
      </c>
      <c r="CR32" s="119">
        <f t="shared" si="98"/>
        <v>76.02406429374551</v>
      </c>
      <c r="CS32" s="119">
        <f t="shared" si="98"/>
        <v>11507926.159999998</v>
      </c>
      <c r="CT32" s="119">
        <f t="shared" si="98"/>
        <v>13280184.449999997</v>
      </c>
      <c r="CU32" s="119">
        <f t="shared" si="98"/>
        <v>12452665.520000001</v>
      </c>
      <c r="CV32" s="119">
        <f t="shared" si="98"/>
        <v>-827518.9299999998</v>
      </c>
      <c r="CW32" s="119">
        <f t="shared" si="98"/>
        <v>0</v>
      </c>
      <c r="CX32" s="119">
        <f t="shared" si="98"/>
        <v>-827518.9299999998</v>
      </c>
      <c r="CY32" s="119">
        <f t="shared" si="98"/>
        <v>-828868.9299999998</v>
      </c>
      <c r="CZ32" s="119">
        <f t="shared" si="98"/>
        <v>0</v>
      </c>
      <c r="DA32" s="119">
        <f t="shared" si="98"/>
        <v>1350.0000000000002</v>
      </c>
      <c r="DB32" s="119">
        <f t="shared" si="98"/>
        <v>-827518.9299999998</v>
      </c>
      <c r="DC32" s="119">
        <f t="shared" si="98"/>
        <v>-827518.9299999998</v>
      </c>
      <c r="DD32" s="119">
        <f t="shared" si="98"/>
        <v>-1350.0000000000002</v>
      </c>
      <c r="DE32" s="119">
        <f t="shared" si="98"/>
        <v>-828868.9299999998</v>
      </c>
      <c r="DF32" s="119">
        <f t="shared" si="98"/>
        <v>6034202.250000001</v>
      </c>
      <c r="DG32" s="119">
        <f t="shared" si="98"/>
        <v>10588.896817371105</v>
      </c>
      <c r="DH32" s="119">
        <f t="shared" si="98"/>
        <v>-301.58823891778457</v>
      </c>
      <c r="DI32" s="119">
        <f t="shared" si="98"/>
        <v>4168.495184154258</v>
      </c>
      <c r="DJ32" s="119">
        <f t="shared" si="98"/>
        <v>0</v>
      </c>
      <c r="DK32" s="119">
        <f t="shared" si="98"/>
        <v>-792.4778698798658</v>
      </c>
      <c r="DL32" s="119">
        <f t="shared" si="98"/>
        <v>11487926.159999998</v>
      </c>
      <c r="DM32" s="13">
        <f>SUM(DM3:DM31)</f>
        <v>0</v>
      </c>
      <c r="DN32" s="26">
        <f>SUM(DN3:DN31)</f>
        <v>0</v>
      </c>
    </row>
    <row r="33" spans="1:118" ht="12.75">
      <c r="A33" s="31" t="s">
        <v>47</v>
      </c>
      <c r="B33" s="24">
        <f aca="true" t="shared" si="99" ref="B33:BM33">MIN(B3:B31)</f>
        <v>172</v>
      </c>
      <c r="C33" s="24">
        <f t="shared" si="99"/>
        <v>392011</v>
      </c>
      <c r="D33" s="25">
        <f t="shared" si="99"/>
        <v>1840.87</v>
      </c>
      <c r="E33" s="25">
        <f t="shared" si="99"/>
        <v>55.5</v>
      </c>
      <c r="F33" s="116">
        <f t="shared" si="99"/>
        <v>0</v>
      </c>
      <c r="G33" s="123">
        <f t="shared" si="99"/>
        <v>0</v>
      </c>
      <c r="H33" s="24">
        <f t="shared" si="99"/>
        <v>0</v>
      </c>
      <c r="I33" s="24">
        <f t="shared" si="99"/>
        <v>0</v>
      </c>
      <c r="J33" s="24">
        <f t="shared" si="99"/>
        <v>0</v>
      </c>
      <c r="K33" s="24">
        <f t="shared" si="99"/>
        <v>0</v>
      </c>
      <c r="L33" s="24">
        <f t="shared" si="99"/>
        <v>0</v>
      </c>
      <c r="M33" s="24">
        <f t="shared" si="99"/>
        <v>0</v>
      </c>
      <c r="N33" s="24">
        <f t="shared" si="99"/>
        <v>0</v>
      </c>
      <c r="O33" s="24">
        <f t="shared" si="99"/>
        <v>0</v>
      </c>
      <c r="P33" s="24">
        <f t="shared" si="99"/>
        <v>0</v>
      </c>
      <c r="Q33" s="24">
        <f t="shared" si="99"/>
        <v>0</v>
      </c>
      <c r="R33" s="24">
        <f t="shared" si="99"/>
        <v>0</v>
      </c>
      <c r="S33" s="24">
        <f t="shared" si="99"/>
        <v>0</v>
      </c>
      <c r="T33" s="24">
        <f t="shared" si="99"/>
        <v>0</v>
      </c>
      <c r="U33" s="24">
        <f t="shared" si="99"/>
        <v>0</v>
      </c>
      <c r="V33" s="24">
        <f t="shared" si="99"/>
        <v>0</v>
      </c>
      <c r="W33" s="24">
        <f t="shared" si="99"/>
        <v>0</v>
      </c>
      <c r="X33" s="24">
        <f t="shared" si="99"/>
        <v>0</v>
      </c>
      <c r="Y33" s="24">
        <f t="shared" si="99"/>
        <v>0</v>
      </c>
      <c r="Z33" s="24">
        <f t="shared" si="99"/>
        <v>0</v>
      </c>
      <c r="AA33" s="24">
        <f t="shared" si="99"/>
        <v>-5758.35</v>
      </c>
      <c r="AB33" s="24">
        <f t="shared" si="99"/>
        <v>0</v>
      </c>
      <c r="AC33" s="24">
        <f>MIN(AC3:AC31)</f>
        <v>0</v>
      </c>
      <c r="AD33" s="24">
        <f t="shared" si="99"/>
        <v>0</v>
      </c>
      <c r="AE33" s="24">
        <f t="shared" si="99"/>
        <v>0</v>
      </c>
      <c r="AF33" s="24">
        <f t="shared" si="99"/>
        <v>0</v>
      </c>
      <c r="AG33" s="24">
        <f t="shared" si="99"/>
        <v>0</v>
      </c>
      <c r="AH33" s="24">
        <f t="shared" si="99"/>
        <v>0</v>
      </c>
      <c r="AI33" s="24">
        <f t="shared" si="99"/>
        <v>0</v>
      </c>
      <c r="AJ33" s="24">
        <f t="shared" si="99"/>
        <v>0</v>
      </c>
      <c r="AK33" s="24">
        <f t="shared" si="99"/>
        <v>0</v>
      </c>
      <c r="AL33" s="24">
        <f t="shared" si="99"/>
        <v>0</v>
      </c>
      <c r="AM33" s="24">
        <f t="shared" si="99"/>
        <v>0</v>
      </c>
      <c r="AN33" s="24">
        <f t="shared" si="99"/>
        <v>0</v>
      </c>
      <c r="AO33" s="24">
        <f t="shared" si="99"/>
        <v>0</v>
      </c>
      <c r="AP33" s="24">
        <f t="shared" si="99"/>
        <v>0</v>
      </c>
      <c r="AQ33" s="24">
        <f t="shared" si="99"/>
        <v>0</v>
      </c>
      <c r="AR33" s="24">
        <f t="shared" si="99"/>
        <v>0</v>
      </c>
      <c r="AS33" s="24">
        <f t="shared" si="99"/>
        <v>0</v>
      </c>
      <c r="AT33" s="24">
        <f t="shared" si="99"/>
        <v>0</v>
      </c>
      <c r="AU33" s="24">
        <f t="shared" si="99"/>
        <v>0</v>
      </c>
      <c r="AV33" s="24">
        <f t="shared" si="99"/>
        <v>0</v>
      </c>
      <c r="AW33" s="24">
        <f t="shared" si="99"/>
        <v>0</v>
      </c>
      <c r="AX33" s="24">
        <f t="shared" si="99"/>
        <v>-0.09999999998763087</v>
      </c>
      <c r="AY33" s="24">
        <f t="shared" si="99"/>
        <v>0</v>
      </c>
      <c r="AZ33" s="24">
        <f t="shared" si="99"/>
        <v>0</v>
      </c>
      <c r="BA33" s="24">
        <f t="shared" si="99"/>
        <v>0</v>
      </c>
      <c r="BB33" s="24">
        <f t="shared" si="99"/>
        <v>0</v>
      </c>
      <c r="BC33" s="24">
        <f t="shared" si="99"/>
        <v>0</v>
      </c>
      <c r="BD33" s="24">
        <f t="shared" si="99"/>
        <v>0</v>
      </c>
      <c r="BE33" s="24">
        <f t="shared" si="99"/>
        <v>0</v>
      </c>
      <c r="BF33" s="24">
        <f t="shared" si="99"/>
        <v>0</v>
      </c>
      <c r="BG33" s="24">
        <f t="shared" si="99"/>
        <v>0</v>
      </c>
      <c r="BH33" s="24">
        <f t="shared" si="99"/>
        <v>0</v>
      </c>
      <c r="BI33" s="24">
        <f t="shared" si="99"/>
        <v>0</v>
      </c>
      <c r="BJ33" s="24">
        <f t="shared" si="99"/>
        <v>0</v>
      </c>
      <c r="BK33" s="24">
        <f t="shared" si="99"/>
        <v>0</v>
      </c>
      <c r="BL33" s="24">
        <f t="shared" si="99"/>
        <v>0</v>
      </c>
      <c r="BM33" s="24">
        <f t="shared" si="99"/>
        <v>0</v>
      </c>
      <c r="BN33" s="24">
        <f aca="true" t="shared" si="100" ref="BN33:DL33">MIN(BN3:BN31)</f>
        <v>0</v>
      </c>
      <c r="BO33" s="24">
        <f t="shared" si="100"/>
        <v>0</v>
      </c>
      <c r="BP33" s="24">
        <f t="shared" si="100"/>
        <v>0</v>
      </c>
      <c r="BQ33" s="24">
        <f t="shared" si="100"/>
        <v>0</v>
      </c>
      <c r="BR33" s="24">
        <f t="shared" si="100"/>
        <v>0</v>
      </c>
      <c r="BS33" s="24">
        <f t="shared" si="100"/>
        <v>0</v>
      </c>
      <c r="BT33" s="24">
        <f t="shared" si="100"/>
        <v>0</v>
      </c>
      <c r="BU33" s="24">
        <f t="shared" si="100"/>
        <v>0</v>
      </c>
      <c r="BV33" s="24">
        <f t="shared" si="100"/>
        <v>0</v>
      </c>
      <c r="BW33" s="24">
        <f t="shared" si="100"/>
        <v>0</v>
      </c>
      <c r="BX33" s="24">
        <f t="shared" si="100"/>
        <v>0</v>
      </c>
      <c r="BY33" s="24">
        <f t="shared" si="100"/>
        <v>0</v>
      </c>
      <c r="BZ33" s="24">
        <f t="shared" si="100"/>
        <v>0</v>
      </c>
      <c r="CA33" s="24">
        <f t="shared" si="100"/>
        <v>0</v>
      </c>
      <c r="CB33" s="24">
        <f t="shared" si="100"/>
        <v>0</v>
      </c>
      <c r="CC33" s="24">
        <f t="shared" si="100"/>
        <v>0</v>
      </c>
      <c r="CD33" s="24">
        <f t="shared" si="100"/>
        <v>-484717.49318253464</v>
      </c>
      <c r="CE33" s="24">
        <f t="shared" si="100"/>
        <v>-484717.49318253464</v>
      </c>
      <c r="CF33" s="24">
        <f t="shared" si="100"/>
        <v>0</v>
      </c>
      <c r="CG33" s="24">
        <f t="shared" si="100"/>
        <v>0</v>
      </c>
      <c r="CH33" s="24">
        <f t="shared" si="100"/>
        <v>-60575.946650378304</v>
      </c>
      <c r="CI33" s="24">
        <f t="shared" si="100"/>
        <v>-59355.115944199235</v>
      </c>
      <c r="CJ33" s="92">
        <f t="shared" si="100"/>
        <v>0</v>
      </c>
      <c r="CK33" s="92">
        <f t="shared" si="100"/>
        <v>0</v>
      </c>
      <c r="CL33" s="92">
        <f t="shared" si="100"/>
        <v>-0.3074880508309419</v>
      </c>
      <c r="CM33" s="92">
        <f t="shared" si="100"/>
        <v>-0.3074880508309419</v>
      </c>
      <c r="CN33" s="92">
        <f t="shared" si="100"/>
        <v>-0.21756411306126613</v>
      </c>
      <c r="CO33" s="92">
        <f t="shared" si="100"/>
        <v>-0.21756411306126613</v>
      </c>
      <c r="CP33" s="92">
        <f t="shared" si="100"/>
        <v>0</v>
      </c>
      <c r="CQ33" s="92">
        <f t="shared" si="100"/>
        <v>0</v>
      </c>
      <c r="CR33" s="24">
        <f t="shared" si="100"/>
        <v>-84.32442325206364</v>
      </c>
      <c r="CS33" s="24">
        <f t="shared" si="100"/>
        <v>-127307.49999999999</v>
      </c>
      <c r="CT33" s="24">
        <f t="shared" si="100"/>
        <v>0</v>
      </c>
      <c r="CU33" s="24">
        <f t="shared" si="100"/>
        <v>0</v>
      </c>
      <c r="CV33" s="24">
        <f t="shared" si="100"/>
        <v>-484717.49318253435</v>
      </c>
      <c r="CW33" s="24">
        <f t="shared" si="100"/>
        <v>0</v>
      </c>
      <c r="CX33" s="24">
        <f t="shared" si="100"/>
        <v>-484717.49318253435</v>
      </c>
      <c r="CY33" s="24">
        <f t="shared" si="100"/>
        <v>-485938.32388871344</v>
      </c>
      <c r="CZ33" s="24">
        <f t="shared" si="100"/>
        <v>0</v>
      </c>
      <c r="DA33" s="24">
        <f t="shared" si="100"/>
        <v>0</v>
      </c>
      <c r="DB33" s="24">
        <f t="shared" si="100"/>
        <v>-484717.49318253435</v>
      </c>
      <c r="DC33" s="24">
        <f>MIN(DC3:DC31)</f>
        <v>-484717.49318253435</v>
      </c>
      <c r="DD33" s="24">
        <f t="shared" si="100"/>
        <v>-1220.830706179067</v>
      </c>
      <c r="DE33" s="24">
        <f t="shared" si="100"/>
        <v>-485938.32388871344</v>
      </c>
      <c r="DF33" s="24">
        <f t="shared" si="100"/>
        <v>0</v>
      </c>
      <c r="DG33" s="24">
        <f t="shared" si="100"/>
        <v>-328.9599483204134</v>
      </c>
      <c r="DH33" s="24">
        <f t="shared" si="100"/>
        <v>-72.27998885172798</v>
      </c>
      <c r="DI33" s="24">
        <f t="shared" si="100"/>
        <v>0</v>
      </c>
      <c r="DJ33" s="24">
        <f t="shared" si="100"/>
        <v>0</v>
      </c>
      <c r="DK33" s="24">
        <f t="shared" si="100"/>
        <v>-94.86214788732391</v>
      </c>
      <c r="DL33" s="24">
        <f t="shared" si="100"/>
        <v>-127307.5</v>
      </c>
      <c r="DM33" s="13">
        <f>MIN(DM3:DM31)</f>
        <v>0</v>
      </c>
      <c r="DN33" s="26">
        <f>MIN(DN3:DN31)</f>
        <v>0</v>
      </c>
    </row>
    <row r="34" spans="1:118" ht="12.75">
      <c r="A34" s="31" t="s">
        <v>48</v>
      </c>
      <c r="B34" s="24">
        <f aca="true" t="shared" si="101" ref="B34:BM34">MAX(B3:B31)</f>
        <v>5737</v>
      </c>
      <c r="C34" s="24">
        <f t="shared" si="101"/>
        <v>22294501</v>
      </c>
      <c r="D34" s="25">
        <f t="shared" si="101"/>
        <v>6701.8</v>
      </c>
      <c r="E34" s="25">
        <f t="shared" si="101"/>
        <v>202.05</v>
      </c>
      <c r="F34" s="116">
        <f t="shared" si="101"/>
        <v>6</v>
      </c>
      <c r="G34" s="123">
        <f t="shared" si="101"/>
        <v>248629.95045712483</v>
      </c>
      <c r="H34" s="24">
        <f t="shared" si="101"/>
        <v>306620.6</v>
      </c>
      <c r="I34" s="24">
        <f t="shared" si="101"/>
        <v>42000.9</v>
      </c>
      <c r="J34" s="24">
        <f t="shared" si="101"/>
        <v>17182.061790668347</v>
      </c>
      <c r="K34" s="24">
        <f t="shared" si="101"/>
        <v>1220.830706179067</v>
      </c>
      <c r="L34" s="24">
        <f t="shared" si="101"/>
        <v>0</v>
      </c>
      <c r="M34" s="24">
        <f t="shared" si="101"/>
        <v>1220.830706179067</v>
      </c>
      <c r="N34" s="24">
        <f t="shared" si="101"/>
        <v>602200.15</v>
      </c>
      <c r="O34" s="24">
        <f t="shared" si="101"/>
        <v>22917.45</v>
      </c>
      <c r="P34" s="24">
        <f t="shared" si="101"/>
        <v>2463982.854910151</v>
      </c>
      <c r="Q34" s="24">
        <f t="shared" si="101"/>
        <v>0</v>
      </c>
      <c r="R34" s="24">
        <f t="shared" si="101"/>
        <v>0</v>
      </c>
      <c r="S34" s="24">
        <f t="shared" si="101"/>
        <v>0</v>
      </c>
      <c r="T34" s="24">
        <f t="shared" si="101"/>
        <v>0</v>
      </c>
      <c r="U34" s="24">
        <f t="shared" si="101"/>
        <v>0</v>
      </c>
      <c r="V34" s="24">
        <f t="shared" si="101"/>
        <v>0</v>
      </c>
      <c r="W34" s="24">
        <f t="shared" si="101"/>
        <v>0</v>
      </c>
      <c r="X34" s="24">
        <f t="shared" si="101"/>
        <v>44247</v>
      </c>
      <c r="Y34" s="24">
        <f t="shared" si="101"/>
        <v>2774800.0676860022</v>
      </c>
      <c r="Z34" s="24">
        <f t="shared" si="101"/>
        <v>1107873.2998738964</v>
      </c>
      <c r="AA34" s="24">
        <f t="shared" si="101"/>
        <v>148649.4</v>
      </c>
      <c r="AB34" s="24">
        <f t="shared" si="101"/>
        <v>0</v>
      </c>
      <c r="AC34" s="24">
        <f>MAX(AC3:AC31)</f>
        <v>94221.76961696091</v>
      </c>
      <c r="AD34" s="24">
        <f t="shared" si="101"/>
        <v>0</v>
      </c>
      <c r="AE34" s="24">
        <f t="shared" si="101"/>
        <v>1202095.0694908574</v>
      </c>
      <c r="AF34" s="24">
        <f t="shared" si="101"/>
        <v>50000</v>
      </c>
      <c r="AG34" s="24">
        <f t="shared" si="101"/>
        <v>60575.946650378304</v>
      </c>
      <c r="AH34" s="24">
        <f t="shared" si="101"/>
        <v>18456</v>
      </c>
      <c r="AI34" s="24">
        <f t="shared" si="101"/>
        <v>1005674.7128546658</v>
      </c>
      <c r="AJ34" s="24">
        <f t="shared" si="101"/>
        <v>3547</v>
      </c>
      <c r="AK34" s="24">
        <f t="shared" si="101"/>
        <v>80710</v>
      </c>
      <c r="AL34" s="24">
        <f t="shared" si="101"/>
        <v>107971.9</v>
      </c>
      <c r="AM34" s="24">
        <f t="shared" si="101"/>
        <v>0</v>
      </c>
      <c r="AN34" s="24">
        <f t="shared" si="101"/>
        <v>0</v>
      </c>
      <c r="AO34" s="24">
        <f t="shared" si="101"/>
        <v>0</v>
      </c>
      <c r="AP34" s="24">
        <f t="shared" si="101"/>
        <v>0</v>
      </c>
      <c r="AQ34" s="24">
        <f t="shared" si="101"/>
        <v>0</v>
      </c>
      <c r="AR34" s="24">
        <f t="shared" si="101"/>
        <v>0</v>
      </c>
      <c r="AS34" s="24">
        <f t="shared" si="101"/>
        <v>0</v>
      </c>
      <c r="AT34" s="24">
        <f t="shared" si="101"/>
        <v>44247</v>
      </c>
      <c r="AU34" s="24">
        <f t="shared" si="101"/>
        <v>2288861.7437972887</v>
      </c>
      <c r="AV34" s="24">
        <f t="shared" si="101"/>
        <v>166734.15</v>
      </c>
      <c r="AW34" s="24">
        <f t="shared" si="101"/>
        <v>485938.3238887137</v>
      </c>
      <c r="AX34" s="24">
        <f t="shared" si="101"/>
        <v>1.7462298274040222E-10</v>
      </c>
      <c r="AY34" s="24">
        <f t="shared" si="101"/>
        <v>46153.05</v>
      </c>
      <c r="AZ34" s="24">
        <f t="shared" si="101"/>
        <v>0</v>
      </c>
      <c r="BA34" s="24">
        <f t="shared" si="101"/>
        <v>0</v>
      </c>
      <c r="BB34" s="24">
        <f t="shared" si="101"/>
        <v>0</v>
      </c>
      <c r="BC34" s="24">
        <f t="shared" si="101"/>
        <v>0</v>
      </c>
      <c r="BD34" s="24">
        <f t="shared" si="101"/>
        <v>0</v>
      </c>
      <c r="BE34" s="24">
        <f t="shared" si="101"/>
        <v>0</v>
      </c>
      <c r="BF34" s="24">
        <f t="shared" si="101"/>
        <v>0</v>
      </c>
      <c r="BG34" s="24">
        <f t="shared" si="101"/>
        <v>0</v>
      </c>
      <c r="BH34" s="24">
        <f t="shared" si="101"/>
        <v>0</v>
      </c>
      <c r="BI34" s="24">
        <f t="shared" si="101"/>
        <v>0</v>
      </c>
      <c r="BJ34" s="24">
        <f t="shared" si="101"/>
        <v>0</v>
      </c>
      <c r="BK34" s="24">
        <f t="shared" si="101"/>
        <v>0</v>
      </c>
      <c r="BL34" s="24">
        <f t="shared" si="101"/>
        <v>0</v>
      </c>
      <c r="BM34" s="24">
        <f t="shared" si="101"/>
        <v>0</v>
      </c>
      <c r="BN34" s="24">
        <f aca="true" t="shared" si="102" ref="BN34:DL34">MAX(BN3:BN31)</f>
        <v>0</v>
      </c>
      <c r="BO34" s="24">
        <f t="shared" si="102"/>
        <v>0</v>
      </c>
      <c r="BP34" s="24">
        <f t="shared" si="102"/>
        <v>0</v>
      </c>
      <c r="BQ34" s="24">
        <f t="shared" si="102"/>
        <v>0</v>
      </c>
      <c r="BR34" s="24">
        <f t="shared" si="102"/>
        <v>0</v>
      </c>
      <c r="BS34" s="24">
        <f t="shared" si="102"/>
        <v>0</v>
      </c>
      <c r="BT34" s="24">
        <f t="shared" si="102"/>
        <v>2090958.3853215638</v>
      </c>
      <c r="BU34" s="24">
        <f t="shared" si="102"/>
        <v>95000</v>
      </c>
      <c r="BV34" s="24">
        <f t="shared" si="102"/>
        <v>0</v>
      </c>
      <c r="BW34" s="24">
        <f t="shared" si="102"/>
        <v>155202.51</v>
      </c>
      <c r="BX34" s="24">
        <f t="shared" si="102"/>
        <v>2095863.4118032788</v>
      </c>
      <c r="BY34" s="24">
        <f t="shared" si="102"/>
        <v>929934.1</v>
      </c>
      <c r="BZ34" s="24">
        <f t="shared" si="102"/>
        <v>20000</v>
      </c>
      <c r="CA34" s="24">
        <f t="shared" si="102"/>
        <v>1577539.2074527112</v>
      </c>
      <c r="CB34" s="24">
        <f t="shared" si="102"/>
        <v>2095863.4118032786</v>
      </c>
      <c r="CC34" s="24">
        <f t="shared" si="102"/>
        <v>0</v>
      </c>
      <c r="CD34" s="24">
        <f t="shared" si="102"/>
        <v>166734.15</v>
      </c>
      <c r="CE34" s="24">
        <f t="shared" si="102"/>
        <v>166734.15</v>
      </c>
      <c r="CF34" s="24">
        <f t="shared" si="102"/>
        <v>0</v>
      </c>
      <c r="CG34" s="24">
        <f t="shared" si="102"/>
        <v>2282923.3519467213</v>
      </c>
      <c r="CH34" s="24">
        <f t="shared" si="102"/>
        <v>37527.5</v>
      </c>
      <c r="CI34" s="24">
        <f t="shared" si="102"/>
        <v>37527.5</v>
      </c>
      <c r="CJ34" s="92">
        <f t="shared" si="102"/>
        <v>0</v>
      </c>
      <c r="CK34" s="92">
        <f t="shared" si="102"/>
        <v>0</v>
      </c>
      <c r="CL34" s="92">
        <f t="shared" si="102"/>
        <v>0.1668506073412739</v>
      </c>
      <c r="CM34" s="92">
        <f t="shared" si="102"/>
        <v>0.1668506073412739</v>
      </c>
      <c r="CN34" s="92">
        <f t="shared" si="102"/>
        <v>0.221188538805909</v>
      </c>
      <c r="CO34" s="92">
        <f t="shared" si="102"/>
        <v>0.221188538805909</v>
      </c>
      <c r="CP34" s="92">
        <f t="shared" si="102"/>
        <v>0.19929140832595219</v>
      </c>
      <c r="CQ34" s="92">
        <f t="shared" si="102"/>
        <v>0.19929140832595219</v>
      </c>
      <c r="CR34" s="24">
        <f t="shared" si="102"/>
        <v>245.7120168225258</v>
      </c>
      <c r="CS34" s="24">
        <f t="shared" si="102"/>
        <v>1572634.1809709964</v>
      </c>
      <c r="CT34" s="24">
        <f t="shared" si="102"/>
        <v>2773579.236979823</v>
      </c>
      <c r="CU34" s="24">
        <f t="shared" si="102"/>
        <v>2288861.7437972887</v>
      </c>
      <c r="CV34" s="24">
        <f t="shared" si="102"/>
        <v>166734.1499999999</v>
      </c>
      <c r="CW34" s="24">
        <f t="shared" si="102"/>
        <v>0</v>
      </c>
      <c r="CX34" s="24">
        <f t="shared" si="102"/>
        <v>166734.1499999999</v>
      </c>
      <c r="CY34" s="24">
        <f t="shared" si="102"/>
        <v>166734.1499999999</v>
      </c>
      <c r="CZ34" s="24">
        <f t="shared" si="102"/>
        <v>0</v>
      </c>
      <c r="DA34" s="24">
        <f t="shared" si="102"/>
        <v>1220.830706179067</v>
      </c>
      <c r="DB34" s="24">
        <f t="shared" si="102"/>
        <v>166734.1499999999</v>
      </c>
      <c r="DC34" s="24">
        <f>MAX(DC3:DC31)</f>
        <v>166734.1499999999</v>
      </c>
      <c r="DD34" s="24">
        <f t="shared" si="102"/>
        <v>0</v>
      </c>
      <c r="DE34" s="24">
        <f t="shared" si="102"/>
        <v>166734.1499999999</v>
      </c>
      <c r="DF34" s="24">
        <f t="shared" si="102"/>
        <v>1107873.2998738964</v>
      </c>
      <c r="DG34" s="24">
        <f t="shared" si="102"/>
        <v>1388.405253104107</v>
      </c>
      <c r="DH34" s="24">
        <f t="shared" si="102"/>
        <v>70.94045368620039</v>
      </c>
      <c r="DI34" s="24">
        <f t="shared" si="102"/>
        <v>262.6474266107511</v>
      </c>
      <c r="DJ34" s="24">
        <f t="shared" si="102"/>
        <v>0</v>
      </c>
      <c r="DK34" s="24">
        <f t="shared" si="102"/>
        <v>65.80287610619462</v>
      </c>
      <c r="DL34" s="24">
        <f t="shared" si="102"/>
        <v>1572634.1809709962</v>
      </c>
      <c r="DM34" s="13">
        <f>MAX(DM3:DM31)</f>
        <v>0</v>
      </c>
      <c r="DN34" s="26">
        <f>MAX(DN3:DN31)</f>
        <v>0</v>
      </c>
    </row>
    <row r="35" spans="1:118" ht="13.5" thickBot="1">
      <c r="A35" s="32" t="s">
        <v>49</v>
      </c>
      <c r="B35" s="27">
        <f aca="true" t="shared" si="103" ref="B35:BM35">MEDIAN(B3:B31)</f>
        <v>607</v>
      </c>
      <c r="C35" s="27">
        <f t="shared" si="103"/>
        <v>1416528</v>
      </c>
      <c r="D35" s="28">
        <f t="shared" si="103"/>
        <v>2722.5</v>
      </c>
      <c r="E35" s="28">
        <f t="shared" si="103"/>
        <v>82.08</v>
      </c>
      <c r="F35" s="117">
        <f t="shared" si="103"/>
        <v>4</v>
      </c>
      <c r="G35" s="124">
        <f t="shared" si="103"/>
        <v>13223</v>
      </c>
      <c r="H35" s="27">
        <f t="shared" si="103"/>
        <v>4763.857023411371</v>
      </c>
      <c r="I35" s="27">
        <f t="shared" si="103"/>
        <v>0</v>
      </c>
      <c r="J35" s="27">
        <f t="shared" si="103"/>
        <v>0</v>
      </c>
      <c r="K35" s="27">
        <f t="shared" si="103"/>
        <v>0</v>
      </c>
      <c r="L35" s="27">
        <f t="shared" si="103"/>
        <v>0</v>
      </c>
      <c r="M35" s="27">
        <f t="shared" si="103"/>
        <v>0</v>
      </c>
      <c r="N35" s="27">
        <f t="shared" si="103"/>
        <v>0</v>
      </c>
      <c r="O35" s="27">
        <f t="shared" si="103"/>
        <v>0</v>
      </c>
      <c r="P35" s="27">
        <f t="shared" si="103"/>
        <v>145561.1</v>
      </c>
      <c r="Q35" s="27">
        <f t="shared" si="103"/>
        <v>0</v>
      </c>
      <c r="R35" s="27">
        <f t="shared" si="103"/>
        <v>0</v>
      </c>
      <c r="S35" s="27">
        <f t="shared" si="103"/>
        <v>0</v>
      </c>
      <c r="T35" s="27">
        <f t="shared" si="103"/>
        <v>0</v>
      </c>
      <c r="U35" s="27">
        <f t="shared" si="103"/>
        <v>0</v>
      </c>
      <c r="V35" s="27">
        <f t="shared" si="103"/>
        <v>0</v>
      </c>
      <c r="W35" s="27">
        <f t="shared" si="103"/>
        <v>0</v>
      </c>
      <c r="X35" s="27">
        <f t="shared" si="103"/>
        <v>0</v>
      </c>
      <c r="Y35" s="27">
        <f t="shared" si="103"/>
        <v>193600.56989966557</v>
      </c>
      <c r="Z35" s="27">
        <f t="shared" si="103"/>
        <v>69094.05</v>
      </c>
      <c r="AA35" s="27">
        <f t="shared" si="103"/>
        <v>196.07882462686564</v>
      </c>
      <c r="AB35" s="27">
        <f t="shared" si="103"/>
        <v>0</v>
      </c>
      <c r="AC35" s="27">
        <f>MEDIAN(AC3:AC31)</f>
        <v>9328.55</v>
      </c>
      <c r="AD35" s="27">
        <f t="shared" si="103"/>
        <v>0</v>
      </c>
      <c r="AE35" s="27">
        <f t="shared" si="103"/>
        <v>79795.08246268657</v>
      </c>
      <c r="AF35" s="27">
        <f t="shared" si="103"/>
        <v>0</v>
      </c>
      <c r="AG35" s="27">
        <f t="shared" si="103"/>
        <v>6670.1</v>
      </c>
      <c r="AH35" s="27">
        <f t="shared" si="103"/>
        <v>0</v>
      </c>
      <c r="AI35" s="27">
        <f t="shared" si="103"/>
        <v>46527.55</v>
      </c>
      <c r="AJ35" s="27">
        <f t="shared" si="103"/>
        <v>0</v>
      </c>
      <c r="AK35" s="27">
        <f t="shared" si="103"/>
        <v>0</v>
      </c>
      <c r="AL35" s="27">
        <f t="shared" si="103"/>
        <v>0</v>
      </c>
      <c r="AM35" s="27">
        <f t="shared" si="103"/>
        <v>0</v>
      </c>
      <c r="AN35" s="27">
        <f t="shared" si="103"/>
        <v>0</v>
      </c>
      <c r="AO35" s="27">
        <f t="shared" si="103"/>
        <v>0</v>
      </c>
      <c r="AP35" s="27">
        <f t="shared" si="103"/>
        <v>0</v>
      </c>
      <c r="AQ35" s="27">
        <f t="shared" si="103"/>
        <v>0</v>
      </c>
      <c r="AR35" s="27">
        <f t="shared" si="103"/>
        <v>0</v>
      </c>
      <c r="AS35" s="27">
        <f t="shared" si="103"/>
        <v>0</v>
      </c>
      <c r="AT35" s="27">
        <f t="shared" si="103"/>
        <v>0</v>
      </c>
      <c r="AU35" s="27">
        <f t="shared" si="103"/>
        <v>169662.95</v>
      </c>
      <c r="AV35" s="27">
        <f t="shared" si="103"/>
        <v>0</v>
      </c>
      <c r="AW35" s="27">
        <f t="shared" si="103"/>
        <v>12176.2</v>
      </c>
      <c r="AX35" s="27">
        <f t="shared" si="103"/>
        <v>0</v>
      </c>
      <c r="AY35" s="27">
        <f t="shared" si="103"/>
        <v>0</v>
      </c>
      <c r="AZ35" s="27">
        <f t="shared" si="103"/>
        <v>0</v>
      </c>
      <c r="BA35" s="27">
        <f t="shared" si="103"/>
        <v>0</v>
      </c>
      <c r="BB35" s="27">
        <f t="shared" si="103"/>
        <v>0</v>
      </c>
      <c r="BC35" s="27">
        <f t="shared" si="103"/>
        <v>0</v>
      </c>
      <c r="BD35" s="27">
        <f t="shared" si="103"/>
        <v>0</v>
      </c>
      <c r="BE35" s="27">
        <f t="shared" si="103"/>
        <v>0</v>
      </c>
      <c r="BF35" s="27">
        <f t="shared" si="103"/>
        <v>0</v>
      </c>
      <c r="BG35" s="27">
        <f t="shared" si="103"/>
        <v>0</v>
      </c>
      <c r="BH35" s="27">
        <f t="shared" si="103"/>
        <v>0</v>
      </c>
      <c r="BI35" s="27">
        <f t="shared" si="103"/>
        <v>0</v>
      </c>
      <c r="BJ35" s="27">
        <f t="shared" si="103"/>
        <v>0</v>
      </c>
      <c r="BK35" s="27">
        <f t="shared" si="103"/>
        <v>0</v>
      </c>
      <c r="BL35" s="27">
        <f t="shared" si="103"/>
        <v>0</v>
      </c>
      <c r="BM35" s="27">
        <f t="shared" si="103"/>
        <v>0</v>
      </c>
      <c r="BN35" s="27">
        <f aca="true" t="shared" si="104" ref="BN35:DL35">MEDIAN(BN3:BN31)</f>
        <v>0</v>
      </c>
      <c r="BO35" s="27">
        <f t="shared" si="104"/>
        <v>0</v>
      </c>
      <c r="BP35" s="27">
        <f t="shared" si="104"/>
        <v>0</v>
      </c>
      <c r="BQ35" s="27">
        <f t="shared" si="104"/>
        <v>0</v>
      </c>
      <c r="BR35" s="27">
        <f t="shared" si="104"/>
        <v>0</v>
      </c>
      <c r="BS35" s="27">
        <f t="shared" si="104"/>
        <v>0</v>
      </c>
      <c r="BT35" s="27">
        <f t="shared" si="104"/>
        <v>302526.87</v>
      </c>
      <c r="BU35" s="27">
        <f t="shared" si="104"/>
        <v>0</v>
      </c>
      <c r="BV35" s="27">
        <f t="shared" si="104"/>
        <v>0</v>
      </c>
      <c r="BW35" s="27">
        <f t="shared" si="104"/>
        <v>0</v>
      </c>
      <c r="BX35" s="27">
        <f t="shared" si="104"/>
        <v>302526.87</v>
      </c>
      <c r="BY35" s="27">
        <f t="shared" si="104"/>
        <v>84778.6</v>
      </c>
      <c r="BZ35" s="27">
        <f t="shared" si="104"/>
        <v>0</v>
      </c>
      <c r="CA35" s="27">
        <f t="shared" si="104"/>
        <v>236663.57</v>
      </c>
      <c r="CB35" s="27">
        <f t="shared" si="104"/>
        <v>302526.87</v>
      </c>
      <c r="CC35" s="27">
        <f t="shared" si="104"/>
        <v>0</v>
      </c>
      <c r="CD35" s="27">
        <f t="shared" si="104"/>
        <v>-12176.2</v>
      </c>
      <c r="CE35" s="27">
        <f t="shared" si="104"/>
        <v>-12176.2</v>
      </c>
      <c r="CF35" s="27">
        <f t="shared" si="104"/>
        <v>0</v>
      </c>
      <c r="CG35" s="27">
        <f t="shared" si="104"/>
        <v>169662.95</v>
      </c>
      <c r="CH35" s="27">
        <f t="shared" si="104"/>
        <v>-5566.15</v>
      </c>
      <c r="CI35" s="27">
        <f t="shared" si="104"/>
        <v>-5566.15</v>
      </c>
      <c r="CJ35" s="93" t="e">
        <f t="shared" si="104"/>
        <v>#NUM!</v>
      </c>
      <c r="CK35" s="93" t="e">
        <f t="shared" si="104"/>
        <v>#NUM!</v>
      </c>
      <c r="CL35" s="93">
        <f t="shared" si="104"/>
        <v>-0.1587228558065037</v>
      </c>
      <c r="CM35" s="93">
        <f t="shared" si="104"/>
        <v>-0.1587228558065037</v>
      </c>
      <c r="CN35" s="93">
        <f t="shared" si="104"/>
        <v>-0.02629215656279736</v>
      </c>
      <c r="CO35" s="93">
        <f t="shared" si="104"/>
        <v>-0.025999609620526786</v>
      </c>
      <c r="CP35" s="93">
        <f t="shared" si="104"/>
        <v>0</v>
      </c>
      <c r="CQ35" s="93">
        <f t="shared" si="104"/>
        <v>0</v>
      </c>
      <c r="CR35" s="27">
        <f t="shared" si="104"/>
        <v>-3.7543937489662307</v>
      </c>
      <c r="CS35" s="27">
        <f t="shared" si="104"/>
        <v>220460.94999999998</v>
      </c>
      <c r="CT35" s="27">
        <f t="shared" si="104"/>
        <v>193600.56989966557</v>
      </c>
      <c r="CU35" s="27">
        <f t="shared" si="104"/>
        <v>169662.95</v>
      </c>
      <c r="CV35" s="27">
        <f t="shared" si="104"/>
        <v>-12176.19999999999</v>
      </c>
      <c r="CW35" s="27">
        <f t="shared" si="104"/>
        <v>0</v>
      </c>
      <c r="CX35" s="27">
        <f t="shared" si="104"/>
        <v>-12176.19999999999</v>
      </c>
      <c r="CY35" s="27">
        <f t="shared" si="104"/>
        <v>-12176.19999999999</v>
      </c>
      <c r="CZ35" s="27">
        <f t="shared" si="104"/>
        <v>0</v>
      </c>
      <c r="DA35" s="27">
        <f t="shared" si="104"/>
        <v>0</v>
      </c>
      <c r="DB35" s="27">
        <f t="shared" si="104"/>
        <v>-12176.19999999999</v>
      </c>
      <c r="DC35" s="27">
        <f>MEDIAN(DC3:DC31)</f>
        <v>-12176.19999999999</v>
      </c>
      <c r="DD35" s="27">
        <f t="shared" si="104"/>
        <v>0</v>
      </c>
      <c r="DE35" s="27">
        <f t="shared" si="104"/>
        <v>-12176.19999999999</v>
      </c>
      <c r="DF35" s="27">
        <f t="shared" si="104"/>
        <v>69633.95</v>
      </c>
      <c r="DG35" s="27">
        <f t="shared" si="104"/>
        <v>305.63326394671105</v>
      </c>
      <c r="DH35" s="27">
        <f t="shared" si="104"/>
        <v>-5.759492089925062</v>
      </c>
      <c r="DI35" s="27">
        <f t="shared" si="104"/>
        <v>137.82408026755851</v>
      </c>
      <c r="DJ35" s="27">
        <f t="shared" si="104"/>
        <v>0</v>
      </c>
      <c r="DK35" s="27">
        <f t="shared" si="104"/>
        <v>-35.89056047197647</v>
      </c>
      <c r="DL35" s="27">
        <f t="shared" si="104"/>
        <v>220460.95</v>
      </c>
      <c r="DM35" s="29" t="e">
        <f>MEDIAN(DM3:DM31)</f>
        <v>#NUM!</v>
      </c>
      <c r="DN35" s="30" t="e">
        <f>MEDIAN(DN3:DN31)</f>
        <v>#NUM!</v>
      </c>
    </row>
    <row r="37" spans="1:119" s="9" customFormat="1" ht="12.75">
      <c r="A37" s="3" t="s">
        <v>235</v>
      </c>
      <c r="B37" s="17">
        <f>SUM(B3:B31)</f>
        <v>38207</v>
      </c>
      <c r="C37" s="17">
        <f>SUM(C3:C31)</f>
        <v>126728843</v>
      </c>
      <c r="D37" s="17">
        <f>D35</f>
        <v>2722.5</v>
      </c>
      <c r="E37" s="144">
        <f>E35</f>
        <v>82.08</v>
      </c>
      <c r="F37" s="17">
        <f>SUM(F3:F31)</f>
        <v>80</v>
      </c>
      <c r="G37" s="17">
        <f aca="true" t="shared" si="105" ref="G37:BN37">SUM(G3:G31)</f>
        <v>946790.5499999998</v>
      </c>
      <c r="H37" s="17">
        <f t="shared" si="105"/>
        <v>588586.2999999998</v>
      </c>
      <c r="I37" s="17">
        <f t="shared" si="105"/>
        <v>64856.15</v>
      </c>
      <c r="J37" s="17">
        <f t="shared" si="105"/>
        <v>26462</v>
      </c>
      <c r="K37" s="17">
        <f t="shared" si="105"/>
        <v>1350.0000000000002</v>
      </c>
      <c r="L37" s="17">
        <f t="shared" si="105"/>
        <v>0</v>
      </c>
      <c r="M37" s="17">
        <f t="shared" si="105"/>
        <v>1350.0000000000002</v>
      </c>
      <c r="N37" s="17">
        <f t="shared" si="105"/>
        <v>602200.15</v>
      </c>
      <c r="O37" s="17">
        <f t="shared" si="105"/>
        <v>56215.2</v>
      </c>
      <c r="P37" s="17">
        <f t="shared" si="105"/>
        <v>10944260.399999999</v>
      </c>
      <c r="Q37" s="17">
        <f t="shared" si="105"/>
        <v>0</v>
      </c>
      <c r="R37" s="17">
        <f t="shared" si="105"/>
        <v>0</v>
      </c>
      <c r="S37" s="17">
        <f t="shared" si="105"/>
        <v>0</v>
      </c>
      <c r="T37" s="17">
        <f t="shared" si="105"/>
        <v>0</v>
      </c>
      <c r="U37" s="17">
        <f t="shared" si="105"/>
        <v>0</v>
      </c>
      <c r="V37" s="17">
        <f t="shared" si="105"/>
        <v>0</v>
      </c>
      <c r="W37" s="17">
        <f t="shared" si="105"/>
        <v>0</v>
      </c>
      <c r="X37" s="17">
        <f t="shared" si="105"/>
        <v>50813.700000000004</v>
      </c>
      <c r="Y37" s="17">
        <f t="shared" si="105"/>
        <v>13281534.449999997</v>
      </c>
      <c r="Z37" s="17">
        <f t="shared" si="105"/>
        <v>5603253.149999999</v>
      </c>
      <c r="AA37" s="17">
        <f t="shared" si="105"/>
        <v>430949.1000000001</v>
      </c>
      <c r="AB37" s="17">
        <f t="shared" si="105"/>
        <v>0</v>
      </c>
      <c r="AC37" s="17">
        <f t="shared" si="105"/>
        <v>625995.55</v>
      </c>
      <c r="AD37" s="17">
        <f t="shared" si="105"/>
        <v>0</v>
      </c>
      <c r="AE37" s="17">
        <f t="shared" si="105"/>
        <v>6660197.8</v>
      </c>
      <c r="AF37" s="17">
        <f t="shared" si="105"/>
        <v>50000</v>
      </c>
      <c r="AG37" s="17">
        <f t="shared" si="105"/>
        <v>386389.69999999984</v>
      </c>
      <c r="AH37" s="17">
        <f t="shared" si="105"/>
        <v>18595.65</v>
      </c>
      <c r="AI37" s="17">
        <f t="shared" si="105"/>
        <v>5018878.82</v>
      </c>
      <c r="AJ37" s="17">
        <f t="shared" si="105"/>
        <v>6080</v>
      </c>
      <c r="AK37" s="17">
        <f t="shared" si="105"/>
        <v>157257.35</v>
      </c>
      <c r="AL37" s="17">
        <f t="shared" si="105"/>
        <v>123048.15</v>
      </c>
      <c r="AM37" s="17">
        <f t="shared" si="105"/>
        <v>0</v>
      </c>
      <c r="AN37" s="17">
        <f t="shared" si="105"/>
        <v>0</v>
      </c>
      <c r="AO37" s="17">
        <f t="shared" si="105"/>
        <v>0</v>
      </c>
      <c r="AP37" s="17">
        <f t="shared" si="105"/>
        <v>0</v>
      </c>
      <c r="AQ37" s="17">
        <f t="shared" si="105"/>
        <v>0</v>
      </c>
      <c r="AR37" s="17">
        <f t="shared" si="105"/>
        <v>0</v>
      </c>
      <c r="AS37" s="17">
        <f t="shared" si="105"/>
        <v>0</v>
      </c>
      <c r="AT37" s="17">
        <f t="shared" si="105"/>
        <v>50813.700000000004</v>
      </c>
      <c r="AU37" s="17">
        <f t="shared" si="105"/>
        <v>12452665.520000001</v>
      </c>
      <c r="AV37" s="17">
        <f t="shared" si="105"/>
        <v>547980.87</v>
      </c>
      <c r="AW37" s="17">
        <f t="shared" si="105"/>
        <v>1376849.9</v>
      </c>
      <c r="AX37" s="4">
        <f>Y37-AU37+AV37-AW37</f>
        <v>-0.10000000381842256</v>
      </c>
      <c r="AY37" s="17">
        <f t="shared" si="105"/>
        <v>46153.05</v>
      </c>
      <c r="AZ37" s="17">
        <f t="shared" si="105"/>
        <v>0</v>
      </c>
      <c r="BA37" s="17">
        <f t="shared" si="105"/>
        <v>0</v>
      </c>
      <c r="BB37" s="17">
        <f t="shared" si="105"/>
        <v>0</v>
      </c>
      <c r="BC37" s="17">
        <f t="shared" si="105"/>
        <v>0</v>
      </c>
      <c r="BD37" s="17">
        <f t="shared" si="105"/>
        <v>0</v>
      </c>
      <c r="BE37" s="17">
        <f t="shared" si="105"/>
        <v>0</v>
      </c>
      <c r="BF37" s="17">
        <f t="shared" si="105"/>
        <v>0</v>
      </c>
      <c r="BG37" s="17">
        <f t="shared" si="105"/>
        <v>0</v>
      </c>
      <c r="BH37" s="17">
        <f t="shared" si="105"/>
        <v>0</v>
      </c>
      <c r="BI37" s="17">
        <f t="shared" si="105"/>
        <v>0</v>
      </c>
      <c r="BJ37" s="17">
        <f t="shared" si="105"/>
        <v>0</v>
      </c>
      <c r="BK37" s="17">
        <f t="shared" si="105"/>
        <v>0</v>
      </c>
      <c r="BL37" s="17">
        <f t="shared" si="105"/>
        <v>0</v>
      </c>
      <c r="BM37" s="17">
        <f t="shared" si="105"/>
        <v>0</v>
      </c>
      <c r="BN37" s="17">
        <f t="shared" si="105"/>
        <v>0</v>
      </c>
      <c r="BO37" s="17">
        <f>SUM(BO3:BO31)</f>
        <v>0</v>
      </c>
      <c r="BP37" s="17">
        <f>SUM(BP3:BP31)</f>
        <v>0</v>
      </c>
      <c r="BQ37" s="17">
        <f>SUM(BQ3:BQ31)</f>
        <v>0</v>
      </c>
      <c r="BR37" s="17">
        <f>SUM(BR3:BR31)</f>
        <v>0</v>
      </c>
      <c r="BS37" s="43">
        <f>+BF37-BO37+BP37+BQ37-BR37</f>
        <v>0</v>
      </c>
      <c r="BT37" s="17">
        <f aca="true" t="shared" si="106" ref="BT37:CB37">SUM(BT3:BT31)</f>
        <v>16193973.08</v>
      </c>
      <c r="BU37" s="17">
        <f t="shared" si="106"/>
        <v>105427.00000000001</v>
      </c>
      <c r="BV37" s="17">
        <f t="shared" si="106"/>
        <v>0</v>
      </c>
      <c r="BW37" s="17">
        <f t="shared" si="106"/>
        <v>187510.01</v>
      </c>
      <c r="BX37" s="17">
        <f t="shared" si="106"/>
        <v>16486910.090000002</v>
      </c>
      <c r="BY37" s="17">
        <f t="shared" si="106"/>
        <v>4686046.920000001</v>
      </c>
      <c r="BZ37" s="17">
        <f t="shared" si="106"/>
        <v>20000</v>
      </c>
      <c r="CA37" s="17">
        <f t="shared" si="106"/>
        <v>11780863.17</v>
      </c>
      <c r="CB37" s="17">
        <f t="shared" si="106"/>
        <v>16486910.089999998</v>
      </c>
      <c r="CC37" s="4">
        <f>BX37-CB37</f>
        <v>0</v>
      </c>
      <c r="CD37" s="74">
        <f>K37+L37+AV37-AW37</f>
        <v>-827519.0299999999</v>
      </c>
      <c r="CE37" s="76">
        <f>CD37+W37-AS37</f>
        <v>-827519.0299999999</v>
      </c>
      <c r="CF37" s="76">
        <f>BR37-BP37</f>
        <v>0</v>
      </c>
      <c r="CG37" s="76">
        <f>AU37-AM37-AT37-AS37</f>
        <v>12401851.820000002</v>
      </c>
      <c r="CH37" s="76">
        <f>I37-AG37+AY37+AH37+BQ37</f>
        <v>-256784.84999999983</v>
      </c>
      <c r="CI37" s="37">
        <f>CH37+K37</f>
        <v>-255434.84999999983</v>
      </c>
      <c r="CJ37" s="59" t="e">
        <f>CD37/CF37</f>
        <v>#DIV/0!</v>
      </c>
      <c r="CK37" s="140" t="e">
        <f>CE37/CF37</f>
        <v>#DIV/0!</v>
      </c>
      <c r="CL37" s="64">
        <f>CD37/CG37*1</f>
        <v>-0.06672544084630094</v>
      </c>
      <c r="CM37" s="64">
        <f>CE37/CG37</f>
        <v>-0.06672544084630094</v>
      </c>
      <c r="CN37" s="64">
        <f>CH37/CG37</f>
        <v>-0.020705363499497108</v>
      </c>
      <c r="CO37" s="64">
        <f>CI37/CG37</f>
        <v>-0.02059650878815288</v>
      </c>
      <c r="CP37" s="64">
        <f>(K37+L37)/(BU37+K37+L37)</f>
        <v>0.012643172218736246</v>
      </c>
      <c r="CQ37" s="64">
        <f>(K37)/(BU37+K37+L37)</f>
        <v>0.012643172218736246</v>
      </c>
      <c r="CR37" s="75">
        <f>CS37/CE37</f>
        <v>-13.906539599457913</v>
      </c>
      <c r="CS37" s="76">
        <f>BT37-BY37</f>
        <v>11507926.16</v>
      </c>
      <c r="CT37" s="80">
        <f>Y37-K37-L37-V37</f>
        <v>13280184.449999997</v>
      </c>
      <c r="CU37" s="80">
        <f>AU37-AR37</f>
        <v>12452665.520000001</v>
      </c>
      <c r="CV37" s="80">
        <f>CU37-CT37</f>
        <v>-827518.929999996</v>
      </c>
      <c r="CW37" s="80">
        <f>-V37+AR37</f>
        <v>0</v>
      </c>
      <c r="CX37" s="80">
        <f>CV37+CW37</f>
        <v>-827518.929999996</v>
      </c>
      <c r="CY37" s="80">
        <f>CX37-K37-L37</f>
        <v>-828868.929999996</v>
      </c>
      <c r="CZ37" s="80">
        <f>BR37-BP37</f>
        <v>0</v>
      </c>
      <c r="DA37" s="80">
        <f>K37+L37</f>
        <v>1350.0000000000002</v>
      </c>
      <c r="DB37" s="80">
        <f>-CZ37+DA37+CY37</f>
        <v>-827518.929999996</v>
      </c>
      <c r="DC37" s="80">
        <f aca="true" t="shared" si="107" ref="DC37:DC42">-CZ37+DA37+CY37+W37-AS37</f>
        <v>-827518.929999996</v>
      </c>
      <c r="DD37" s="80">
        <f>-BP37-DA37</f>
        <v>-1350.0000000000002</v>
      </c>
      <c r="DE37" s="80">
        <f>DB37+DD37+BR37</f>
        <v>-828868.929999996</v>
      </c>
      <c r="DF37" s="80">
        <f>Z37+AA37+AB37</f>
        <v>6034202.25</v>
      </c>
      <c r="DG37" s="80">
        <f>CS37/B37</f>
        <v>301.19941790771327</v>
      </c>
      <c r="DH37" s="80">
        <f>CH37/B37</f>
        <v>-6.720884916376575</v>
      </c>
      <c r="DI37" s="80">
        <f>DF37/B37</f>
        <v>157.93446881461512</v>
      </c>
      <c r="DJ37" s="81">
        <f>CZ37/B37</f>
        <v>0</v>
      </c>
      <c r="DK37" s="76">
        <f>DB37/B37</f>
        <v>-21.65883031905138</v>
      </c>
      <c r="DL37" s="145">
        <f>CA37-BW37-BU37</f>
        <v>11487926.16</v>
      </c>
      <c r="DM37" s="67"/>
      <c r="DN37" s="67"/>
      <c r="DO37" s="68"/>
    </row>
    <row r="38" ht="12.75">
      <c r="DC38" s="80">
        <f t="shared" si="107"/>
        <v>0</v>
      </c>
    </row>
    <row r="39" ht="12.75">
      <c r="DC39" s="80">
        <f t="shared" si="107"/>
        <v>0</v>
      </c>
    </row>
    <row r="40" spans="1:118" ht="12.75">
      <c r="A40" s="3" t="s">
        <v>215</v>
      </c>
      <c r="B40" s="136">
        <f>B11+B27</f>
        <v>6344</v>
      </c>
      <c r="G40" s="131">
        <v>274936.1</v>
      </c>
      <c r="H40" s="43">
        <v>41024.7</v>
      </c>
      <c r="I40" s="43">
        <v>0</v>
      </c>
      <c r="J40" s="43">
        <v>19000</v>
      </c>
      <c r="K40" s="43">
        <v>1350</v>
      </c>
      <c r="L40" s="43">
        <v>0</v>
      </c>
      <c r="M40" s="43">
        <f>SUM(K40:L40)</f>
        <v>1350</v>
      </c>
      <c r="N40" s="43">
        <v>0</v>
      </c>
      <c r="O40" s="43">
        <v>825.55</v>
      </c>
      <c r="P40" s="43">
        <f>2474683.15+250000</f>
        <v>2724683.15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f>SUM(R40:V40)</f>
        <v>0</v>
      </c>
      <c r="X40" s="43">
        <v>6566.7</v>
      </c>
      <c r="Y40" s="43">
        <f>SUM(G40:X40)-M40-W40</f>
        <v>3068386.2</v>
      </c>
      <c r="Z40" s="43">
        <v>1225091.2</v>
      </c>
      <c r="AA40" s="43">
        <v>0</v>
      </c>
      <c r="AB40" s="43">
        <v>0</v>
      </c>
      <c r="AC40" s="43">
        <v>104190.85</v>
      </c>
      <c r="AD40" s="43">
        <v>0</v>
      </c>
      <c r="AE40" s="43">
        <f>SUM(Z40:AD40)</f>
        <v>1329282.05</v>
      </c>
      <c r="AF40" s="43">
        <v>0</v>
      </c>
      <c r="AG40" s="43">
        <v>66985.15</v>
      </c>
      <c r="AH40" s="43">
        <v>0</v>
      </c>
      <c r="AI40" s="43">
        <v>1112079.55</v>
      </c>
      <c r="AJ40" s="43">
        <v>0</v>
      </c>
      <c r="AK40" s="43">
        <v>16120</v>
      </c>
      <c r="AL40" s="43">
        <v>0</v>
      </c>
      <c r="AM40" s="43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6566.7</v>
      </c>
      <c r="AU40" s="4">
        <f>SUM(Z40:AT40)-AE40-AH40-AS40</f>
        <v>2531033.45</v>
      </c>
      <c r="AV40" s="4">
        <v>0</v>
      </c>
      <c r="AW40" s="4">
        <v>537352.75</v>
      </c>
      <c r="AX40" s="4">
        <f>Y40-AU40+AV40-AW40</f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f>SUM(AZ40:BE40)</f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f>SUM(BG40:BN40)</f>
        <v>0</v>
      </c>
      <c r="BP40" s="43">
        <v>0</v>
      </c>
      <c r="BQ40" s="43">
        <v>0</v>
      </c>
      <c r="BR40" s="43">
        <v>0</v>
      </c>
      <c r="BS40" s="43">
        <f>+BF40-BO40+BP40+BQ40-BR40</f>
        <v>0</v>
      </c>
      <c r="BT40" s="4">
        <v>2312191.04</v>
      </c>
      <c r="BU40" s="4">
        <v>5424</v>
      </c>
      <c r="BV40" s="4">
        <v>0</v>
      </c>
      <c r="BW40" s="4">
        <v>0</v>
      </c>
      <c r="BX40" s="4">
        <f>SUM(BT40:BW40)</f>
        <v>2317615.04</v>
      </c>
      <c r="BY40" s="4">
        <v>573165.2</v>
      </c>
      <c r="BZ40" s="4">
        <v>0</v>
      </c>
      <c r="CA40" s="4">
        <v>1744449.84</v>
      </c>
      <c r="CB40" s="4">
        <f>SUM(BY40:CA40)</f>
        <v>2317615.04</v>
      </c>
      <c r="CC40" s="4">
        <f>BX40-CB40</f>
        <v>0</v>
      </c>
      <c r="CD40" s="74">
        <f>K40+L40+AV40-AW40</f>
        <v>-536002.75</v>
      </c>
      <c r="CE40" s="76">
        <f>CD40+W40-AS40</f>
        <v>-536002.75</v>
      </c>
      <c r="CF40" s="76">
        <f>BR40-BP40</f>
        <v>0</v>
      </c>
      <c r="CG40" s="76">
        <f>AU40-AM40-AT40-AS40</f>
        <v>2524466.75</v>
      </c>
      <c r="CH40" s="76">
        <f>I40-AG40+AY40+AH40+BQ40</f>
        <v>-66985.15</v>
      </c>
      <c r="CI40" s="37">
        <f>CH40+K40</f>
        <v>-65635.15</v>
      </c>
      <c r="CJ40" s="59" t="str">
        <f>IF(CF40=0,"-",(CD40/CF40))</f>
        <v>-</v>
      </c>
      <c r="CK40" s="59" t="str">
        <f>IF(CF40=0,"-",(CE40/CF40))</f>
        <v>-</v>
      </c>
      <c r="CL40" s="141">
        <f>IF(CG40=0,"-",(CD40/CG40*1))</f>
        <v>-0.2123231569597817</v>
      </c>
      <c r="CM40" s="141">
        <f>IF(CE40=0,"-",(CE40/CG40))</f>
        <v>-0.2123231569597817</v>
      </c>
      <c r="CN40" s="141">
        <f>IF(CG40=0,"-",(CH40/CG40))</f>
        <v>-0.026534376022183694</v>
      </c>
      <c r="CO40" s="141">
        <f>IF(CG40=0,"-",(CI40/CG40))</f>
        <v>-0.02599960962052679</v>
      </c>
      <c r="CP40" s="141">
        <f>IF(BU40+K40+L40=0,"-",((K40+L40)/(BU40+K40+L40)))</f>
        <v>0.19929140832595216</v>
      </c>
      <c r="CQ40" s="141">
        <f>IF(BU40+K40+L40=0,"-",((K40)/(BU40+K40+L40)))</f>
        <v>0.19929140832595216</v>
      </c>
      <c r="CR40" s="142">
        <f>IF(CE40=0,"-",(CS40/CE40))</f>
        <v>-3.244434548143643</v>
      </c>
      <c r="CS40" s="76">
        <f>BT40-BY40</f>
        <v>1739025.84</v>
      </c>
      <c r="CT40" s="80">
        <f>Y40-K40-L40-V40</f>
        <v>3067036.2</v>
      </c>
      <c r="CU40" s="80">
        <f>AU40-AR40</f>
        <v>2531033.45</v>
      </c>
      <c r="CV40" s="80">
        <f>CU40-CT40</f>
        <v>-536002.75</v>
      </c>
      <c r="CW40" s="80">
        <f>-V40+AR40</f>
        <v>0</v>
      </c>
      <c r="CX40" s="80">
        <f>CV40+CW40</f>
        <v>-536002.75</v>
      </c>
      <c r="CY40" s="80">
        <f>CX40-K40-L40</f>
        <v>-537352.75</v>
      </c>
      <c r="CZ40" s="80">
        <f>BR40-BP40</f>
        <v>0</v>
      </c>
      <c r="DA40" s="80">
        <f>K40+L40</f>
        <v>1350</v>
      </c>
      <c r="DB40" s="80">
        <f>-CZ40+DA40+CY40</f>
        <v>-536002.75</v>
      </c>
      <c r="DC40" s="80">
        <f t="shared" si="107"/>
        <v>-536002.75</v>
      </c>
      <c r="DD40" s="80">
        <f>-BP40-DA40</f>
        <v>-1350</v>
      </c>
      <c r="DE40" s="80">
        <f>DB40+DD40+BR40</f>
        <v>-537352.75</v>
      </c>
      <c r="DF40" s="80">
        <f>Z40+AA40+AB40</f>
        <v>1225091.2</v>
      </c>
      <c r="DG40" s="80">
        <f>CS40/B40</f>
        <v>274.1213493064313</v>
      </c>
      <c r="DH40" s="80">
        <f>CH40/B40</f>
        <v>-10.558819356872634</v>
      </c>
      <c r="DI40" s="80">
        <f>DF40/B40</f>
        <v>193.11021437578813</v>
      </c>
      <c r="DJ40" s="81">
        <f>CZ40/B40</f>
        <v>0</v>
      </c>
      <c r="DK40" s="76">
        <f>DB40/B40</f>
        <v>-84.48971469104666</v>
      </c>
      <c r="DL40" s="145">
        <f>CA40-BW40-BU40</f>
        <v>1739025.84</v>
      </c>
      <c r="DM40" s="64"/>
      <c r="DN40" s="65"/>
    </row>
    <row r="41" spans="1:118" ht="12.75">
      <c r="A41" s="3" t="s">
        <v>216</v>
      </c>
      <c r="B41" s="136">
        <f>B12+B14+B23</f>
        <v>1072</v>
      </c>
      <c r="G41" s="131">
        <f>550+9988.45+3200+730+200+9072.5+1166.05+6512.55-62.35-108.8</f>
        <v>31248.4</v>
      </c>
      <c r="H41" s="43">
        <f>2478.35+1554+390+1753.15+624.1+477+1643.2+211.4+450+336.8</f>
        <v>9918</v>
      </c>
      <c r="I41" s="43">
        <v>0</v>
      </c>
      <c r="J41" s="43">
        <v>0</v>
      </c>
      <c r="K41" s="43">
        <v>0</v>
      </c>
      <c r="L41" s="43">
        <v>0</v>
      </c>
      <c r="M41" s="43">
        <f>SUM(K41:L41)</f>
        <v>0</v>
      </c>
      <c r="N41" s="43">
        <v>0</v>
      </c>
      <c r="O41" s="43">
        <f>111.15</f>
        <v>111.15</v>
      </c>
      <c r="P41" s="43">
        <f>9348.75+2035.2+1106+1135+74689.75+1570.5+750+500+700.8+400+35898.2+52008.2+33450.4+9418.4+55330</f>
        <v>278341.19999999995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f>SUM(R41:V41)</f>
        <v>0</v>
      </c>
      <c r="X41" s="43">
        <v>0</v>
      </c>
      <c r="Y41" s="43">
        <f>SUM(G41:X41)-M41-W41</f>
        <v>319618.74999999994</v>
      </c>
      <c r="Z41" s="43">
        <f>66738.35+49095.3+870.85</f>
        <v>116704.50000000001</v>
      </c>
      <c r="AA41" s="43">
        <f>824.3</f>
        <v>824.3</v>
      </c>
      <c r="AB41" s="43">
        <v>0</v>
      </c>
      <c r="AC41" s="43">
        <f>17606</f>
        <v>17606</v>
      </c>
      <c r="AD41" s="43">
        <v>0</v>
      </c>
      <c r="AE41" s="43">
        <f>SUM(Z41:AD41)</f>
        <v>135134.80000000002</v>
      </c>
      <c r="AF41" s="43">
        <v>0</v>
      </c>
      <c r="AG41" s="43">
        <f>34069.9</f>
        <v>34069.9</v>
      </c>
      <c r="AH41" s="43">
        <v>0</v>
      </c>
      <c r="AI41" s="43">
        <f>35133+41871.7</f>
        <v>77004.7</v>
      </c>
      <c r="AJ41" s="43">
        <v>0</v>
      </c>
      <c r="AK41" s="43">
        <v>0</v>
      </c>
      <c r="AL41" s="43">
        <f>3077.25</f>
        <v>3077.25</v>
      </c>
      <c r="AM41" s="43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249286.65000000005</v>
      </c>
      <c r="AV41" s="4">
        <v>0</v>
      </c>
      <c r="AW41" s="4">
        <v>70332.1</v>
      </c>
      <c r="AX41" s="4">
        <f>Y41-AU41+AV41-AW41</f>
        <v>-1.1641532182693481E-10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f>SUM(AZ41:BE41)</f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f>SUM(BG41:BN41)</f>
        <v>0</v>
      </c>
      <c r="BP41" s="43">
        <v>0</v>
      </c>
      <c r="BQ41" s="43">
        <v>0</v>
      </c>
      <c r="BR41" s="43">
        <v>0</v>
      </c>
      <c r="BS41" s="43">
        <f>+BF41-BO41+BP41+BQ41-BR41</f>
        <v>0</v>
      </c>
      <c r="BT41" s="4">
        <v>1155166.83</v>
      </c>
      <c r="BU41" s="4">
        <v>1</v>
      </c>
      <c r="BV41" s="4">
        <v>0</v>
      </c>
      <c r="BW41" s="4">
        <v>0</v>
      </c>
      <c r="BX41" s="4">
        <f>SUM(BT41:BW41)</f>
        <v>1155167.83</v>
      </c>
      <c r="BY41" s="4">
        <v>108755.15</v>
      </c>
      <c r="BZ41" s="4">
        <v>0</v>
      </c>
      <c r="CA41" s="4">
        <v>1046412.68</v>
      </c>
      <c r="CB41" s="4">
        <f>SUM(BY41:CA41)</f>
        <v>1155167.83</v>
      </c>
      <c r="CC41" s="4">
        <f>BX41-CB41</f>
        <v>0</v>
      </c>
      <c r="CD41" s="74">
        <f>K41+L41+AV41-AW41</f>
        <v>-70332.1</v>
      </c>
      <c r="CE41" s="76">
        <f>CD41+W41-AS41</f>
        <v>-70332.1</v>
      </c>
      <c r="CF41" s="76">
        <f>BR41-BP41</f>
        <v>0</v>
      </c>
      <c r="CG41" s="76">
        <f>AU41-AM41-AT41-AS41</f>
        <v>249286.65000000005</v>
      </c>
      <c r="CH41" s="76">
        <f>I41-AG41+AY41+AH41+BQ41</f>
        <v>-34069.9</v>
      </c>
      <c r="CI41" s="37">
        <f>CH41+K41</f>
        <v>-34069.9</v>
      </c>
      <c r="CJ41" s="59" t="str">
        <f>IF(CF41=0,"-",(CD41/CF41))</f>
        <v>-</v>
      </c>
      <c r="CK41" s="59" t="str">
        <f>IF(CF41=0,"-",(CE41/CF41))</f>
        <v>-</v>
      </c>
      <c r="CL41" s="141">
        <f>IF(CG41=0,"-",(CD41/CG41*1))</f>
        <v>-0.2821334395564303</v>
      </c>
      <c r="CM41" s="141">
        <f>IF(CE41=0,"-",(CE41/CG41))</f>
        <v>-0.2821334395564303</v>
      </c>
      <c r="CN41" s="141">
        <f>IF(CG41=0,"-",(CH41/CG41))</f>
        <v>-0.13666957295948257</v>
      </c>
      <c r="CO41" s="141">
        <f>IF(CG41=0,"-",(CI41/CG41))</f>
        <v>-0.13666957295948257</v>
      </c>
      <c r="CP41" s="141">
        <f>IF(BU41+K41+L41=0,"-",((K41+L41)/(BU41+K41+L41)))</f>
        <v>0</v>
      </c>
      <c r="CQ41" s="141">
        <f>IF(BU41+K41+L41=0,"-",((K41)/(BU41+K41+L41)))</f>
        <v>0</v>
      </c>
      <c r="CR41" s="142">
        <f>IF(CE41=0,"-",(CS41/CE41))</f>
        <v>-14.878152081339815</v>
      </c>
      <c r="CS41" s="76">
        <f>BT41-BY41</f>
        <v>1046411.68</v>
      </c>
      <c r="CT41" s="80">
        <f>Y41-K41-L41-V41</f>
        <v>319618.74999999994</v>
      </c>
      <c r="CU41" s="80">
        <f>AU41-AR41</f>
        <v>249286.65000000005</v>
      </c>
      <c r="CV41" s="80">
        <f>CU41-CT41</f>
        <v>-70332.09999999989</v>
      </c>
      <c r="CW41" s="80">
        <f>-V41+AR41</f>
        <v>0</v>
      </c>
      <c r="CX41" s="80">
        <f>CV41+CW41</f>
        <v>-70332.09999999989</v>
      </c>
      <c r="CY41" s="80">
        <f>CX41-K41-L41</f>
        <v>-70332.09999999989</v>
      </c>
      <c r="CZ41" s="80">
        <f>BR41-BP41</f>
        <v>0</v>
      </c>
      <c r="DA41" s="80">
        <f>K41+L41</f>
        <v>0</v>
      </c>
      <c r="DB41" s="80">
        <f>-CZ41+DA41+CY41</f>
        <v>-70332.09999999989</v>
      </c>
      <c r="DC41" s="80">
        <f t="shared" si="107"/>
        <v>-70332.09999999989</v>
      </c>
      <c r="DD41" s="80">
        <f>-BP41-DA41</f>
        <v>0</v>
      </c>
      <c r="DE41" s="80">
        <f>DB41+DD41+BR41</f>
        <v>-70332.09999999989</v>
      </c>
      <c r="DF41" s="80">
        <f>Z41+AA41+AB41</f>
        <v>117528.80000000002</v>
      </c>
      <c r="DG41" s="80">
        <f>CS41/B41</f>
        <v>976.1302985074627</v>
      </c>
      <c r="DH41" s="80">
        <f>CH41/B41</f>
        <v>-31.78162313432836</v>
      </c>
      <c r="DI41" s="80">
        <f>DF41/B41</f>
        <v>109.63507462686569</v>
      </c>
      <c r="DJ41" s="81">
        <f>CZ41/B41</f>
        <v>0</v>
      </c>
      <c r="DK41" s="76">
        <f>DB41/B41</f>
        <v>-65.60830223880586</v>
      </c>
      <c r="DL41" s="145">
        <f>CA41-BW41-BU41</f>
        <v>1046411.68</v>
      </c>
      <c r="DM41" s="64"/>
      <c r="DN41" s="65"/>
    </row>
    <row r="42" spans="1:118" ht="12.75">
      <c r="A42" s="3" t="s">
        <v>217</v>
      </c>
      <c r="B42" s="136">
        <f>B5+B28</f>
        <v>897</v>
      </c>
      <c r="G42" s="131">
        <v>17787.05</v>
      </c>
      <c r="H42" s="43">
        <v>9689.75</v>
      </c>
      <c r="I42" s="43">
        <v>0</v>
      </c>
      <c r="J42" s="43">
        <v>0</v>
      </c>
      <c r="K42" s="43">
        <v>0</v>
      </c>
      <c r="L42" s="43">
        <v>0</v>
      </c>
      <c r="M42" s="43">
        <f>SUM(K42:L42)</f>
        <v>0</v>
      </c>
      <c r="N42" s="43">
        <v>0</v>
      </c>
      <c r="O42" s="43">
        <v>0</v>
      </c>
      <c r="P42" s="43">
        <v>353355.9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f>SUM(R42:V42)</f>
        <v>0</v>
      </c>
      <c r="X42" s="43">
        <v>0</v>
      </c>
      <c r="Y42" s="43">
        <f>SUM(G42:X42)-M42-W42</f>
        <v>380832.7</v>
      </c>
      <c r="Z42" s="43">
        <v>123628.2</v>
      </c>
      <c r="AA42" s="43">
        <v>0</v>
      </c>
      <c r="AB42" s="43">
        <v>0</v>
      </c>
      <c r="AC42" s="43">
        <v>14731.8</v>
      </c>
      <c r="AD42" s="43">
        <v>0</v>
      </c>
      <c r="AE42" s="43">
        <f>SUM(Z42:AD42)</f>
        <v>138360</v>
      </c>
      <c r="AF42" s="43">
        <v>0</v>
      </c>
      <c r="AG42" s="43">
        <v>64835.15</v>
      </c>
      <c r="AH42" s="43">
        <v>0</v>
      </c>
      <c r="AI42" s="43">
        <v>88059.65</v>
      </c>
      <c r="AJ42" s="43">
        <v>0</v>
      </c>
      <c r="AK42" s="43">
        <v>6750</v>
      </c>
      <c r="AL42" s="43">
        <v>0</v>
      </c>
      <c r="AM42" s="43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0</v>
      </c>
      <c r="AU42" s="4">
        <f>SUM(Z42:AT42)-AE42-AH42-AS42</f>
        <v>298004.80000000005</v>
      </c>
      <c r="AV42" s="4">
        <v>0</v>
      </c>
      <c r="AW42" s="4">
        <v>82827.9</v>
      </c>
      <c r="AX42" s="4">
        <f>Y42-AU42+AV42-AW42</f>
        <v>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f>SUM(AZ42:BE42)</f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f>SUM(BG42:BN42)</f>
        <v>0</v>
      </c>
      <c r="BP42" s="43">
        <v>0</v>
      </c>
      <c r="BQ42" s="43">
        <v>0</v>
      </c>
      <c r="BR42" s="43">
        <v>0</v>
      </c>
      <c r="BS42" s="43">
        <f>+BF42-BO42+BP42+BQ42-BR42</f>
        <v>0</v>
      </c>
      <c r="BT42" s="4">
        <v>382566</v>
      </c>
      <c r="BU42" s="4">
        <v>0</v>
      </c>
      <c r="BV42" s="4">
        <v>0</v>
      </c>
      <c r="BW42" s="4">
        <v>0</v>
      </c>
      <c r="BX42" s="4">
        <f>SUM(BT42:BW42)</f>
        <v>382566</v>
      </c>
      <c r="BY42" s="4">
        <v>71597.45</v>
      </c>
      <c r="BZ42" s="4">
        <v>0</v>
      </c>
      <c r="CA42" s="4">
        <v>310968.55</v>
      </c>
      <c r="CB42" s="4">
        <f>SUM(BY42:CA42)</f>
        <v>382566</v>
      </c>
      <c r="CC42" s="4">
        <f>BX42-CB42</f>
        <v>0</v>
      </c>
      <c r="CD42" s="74">
        <f>K42+L42+AV42-AW42</f>
        <v>-82827.9</v>
      </c>
      <c r="CE42" s="76">
        <f>CD42+W42-AS42</f>
        <v>-82827.9</v>
      </c>
      <c r="CF42" s="76">
        <f>BR42-BP42</f>
        <v>0</v>
      </c>
      <c r="CG42" s="76">
        <f>AU42-AM42-AT42-AS42</f>
        <v>298004.80000000005</v>
      </c>
      <c r="CH42" s="76">
        <f>I42-AG42+AY42+AH42+BQ42</f>
        <v>-64835.15</v>
      </c>
      <c r="CI42" s="37">
        <f>CH42+K42</f>
        <v>-64835.15</v>
      </c>
      <c r="CJ42" s="59" t="str">
        <f>IF(CF42=0,"-",(CD42/CF42))</f>
        <v>-</v>
      </c>
      <c r="CK42" s="59" t="str">
        <f>IF(CF42=0,"-",(CE42/CF42))</f>
        <v>-</v>
      </c>
      <c r="CL42" s="141">
        <f>IF(CG42=0,"-",(CD42/CG42*1))</f>
        <v>-0.2779414962443557</v>
      </c>
      <c r="CM42" s="141">
        <f>IF(CE42=0,"-",(CE42/CG42))</f>
        <v>-0.2779414962443557</v>
      </c>
      <c r="CN42" s="141">
        <f>IF(CG42=0,"-",(CH42/CG42))</f>
        <v>-0.2175641130612661</v>
      </c>
      <c r="CO42" s="141">
        <f>IF(CG42=0,"-",(CI42/CG42))</f>
        <v>-0.2175641130612661</v>
      </c>
      <c r="CP42" s="141" t="str">
        <f>IF(BU42+K42+L42=0,"-",((K42+L42)/(BU42+K42+L42)))</f>
        <v>-</v>
      </c>
      <c r="CQ42" s="141" t="str">
        <f>IF(BU42+K42+L42=0,"-",((K42)/(BU42+K42+L42)))</f>
        <v>-</v>
      </c>
      <c r="CR42" s="142">
        <f>IF(CE42=0,"-",(CS42/CE42))</f>
        <v>-3.7543937489662302</v>
      </c>
      <c r="CS42" s="76">
        <f>BT42-BY42</f>
        <v>310968.55</v>
      </c>
      <c r="CT42" s="80">
        <f>Y42-K42-L42-V42</f>
        <v>380832.7</v>
      </c>
      <c r="CU42" s="80">
        <f>AU42-AR42</f>
        <v>298004.80000000005</v>
      </c>
      <c r="CV42" s="80">
        <f>CU42-CT42</f>
        <v>-82827.89999999997</v>
      </c>
      <c r="CW42" s="80">
        <f>-V42+AR42</f>
        <v>0</v>
      </c>
      <c r="CX42" s="80">
        <f>CV42+CW42</f>
        <v>-82827.89999999997</v>
      </c>
      <c r="CY42" s="80">
        <f>CX42-K42-L42</f>
        <v>-82827.89999999997</v>
      </c>
      <c r="CZ42" s="80">
        <f>BR42-BP42</f>
        <v>0</v>
      </c>
      <c r="DA42" s="80">
        <f>K42+L42</f>
        <v>0</v>
      </c>
      <c r="DB42" s="80">
        <f>-CZ42+DA42+CY42</f>
        <v>-82827.89999999997</v>
      </c>
      <c r="DC42" s="80">
        <f t="shared" si="107"/>
        <v>-82827.89999999997</v>
      </c>
      <c r="DD42" s="80">
        <f>-BP42-DA42</f>
        <v>0</v>
      </c>
      <c r="DE42" s="80">
        <f>DB42+DD42+BR42</f>
        <v>-82827.89999999997</v>
      </c>
      <c r="DF42" s="80">
        <f>Z42+AA42+AB42</f>
        <v>123628.2</v>
      </c>
      <c r="DG42" s="80">
        <f>CS42/B42</f>
        <v>346.6761984392419</v>
      </c>
      <c r="DH42" s="80">
        <f>CH42/B42</f>
        <v>-72.27998885172798</v>
      </c>
      <c r="DI42" s="80">
        <f>DF42/B42</f>
        <v>137.82408026755851</v>
      </c>
      <c r="DJ42" s="81">
        <f>CZ42/B42</f>
        <v>0</v>
      </c>
      <c r="DK42" s="76">
        <f>DB42/B42</f>
        <v>-92.33879598662203</v>
      </c>
      <c r="DL42" s="145">
        <f>CA42-BW42-BU42</f>
        <v>310968.55</v>
      </c>
      <c r="DM42" s="64"/>
      <c r="DN42" s="65"/>
    </row>
    <row r="60" spans="1:116" ht="12.75">
      <c r="A60" s="3" t="s">
        <v>242</v>
      </c>
      <c r="B60" s="62">
        <f>B10+B20+B26</f>
        <v>1389</v>
      </c>
      <c r="C60" s="62">
        <f aca="true" t="shared" si="108" ref="C60:BN60">C10+C20+C26</f>
        <v>3351835</v>
      </c>
      <c r="D60" s="62">
        <f>(D10+D20+D26)/3</f>
        <v>2431.28</v>
      </c>
      <c r="E60" s="62">
        <f>(E10+E20+E26)/3</f>
        <v>73.29666666666667</v>
      </c>
      <c r="F60" s="62">
        <f>(F10+F20+F26)/3</f>
        <v>4</v>
      </c>
      <c r="G60" s="62">
        <f t="shared" si="108"/>
        <v>19340.75</v>
      </c>
      <c r="H60" s="62">
        <f t="shared" si="108"/>
        <v>58393.35</v>
      </c>
      <c r="I60" s="62">
        <f t="shared" si="108"/>
        <v>1225.8</v>
      </c>
      <c r="J60" s="62">
        <f t="shared" si="108"/>
        <v>0</v>
      </c>
      <c r="K60" s="62">
        <f t="shared" si="108"/>
        <v>0</v>
      </c>
      <c r="L60" s="62">
        <f t="shared" si="108"/>
        <v>0</v>
      </c>
      <c r="M60" s="62">
        <f t="shared" si="108"/>
        <v>0</v>
      </c>
      <c r="N60" s="62">
        <f t="shared" si="108"/>
        <v>0</v>
      </c>
      <c r="O60" s="62">
        <f t="shared" si="108"/>
        <v>2227.25</v>
      </c>
      <c r="P60" s="62">
        <f t="shared" si="108"/>
        <v>518285.25</v>
      </c>
      <c r="Q60" s="62">
        <f t="shared" si="108"/>
        <v>0</v>
      </c>
      <c r="R60" s="62">
        <f t="shared" si="108"/>
        <v>0</v>
      </c>
      <c r="S60" s="62">
        <f t="shared" si="108"/>
        <v>0</v>
      </c>
      <c r="T60" s="62">
        <f t="shared" si="108"/>
        <v>0</v>
      </c>
      <c r="U60" s="62">
        <f t="shared" si="108"/>
        <v>0</v>
      </c>
      <c r="V60" s="62">
        <f t="shared" si="108"/>
        <v>0</v>
      </c>
      <c r="W60" s="62">
        <f t="shared" si="108"/>
        <v>0</v>
      </c>
      <c r="X60" s="62">
        <f t="shared" si="108"/>
        <v>0</v>
      </c>
      <c r="Y60" s="62">
        <f t="shared" si="108"/>
        <v>599472.4</v>
      </c>
      <c r="Z60" s="62">
        <f t="shared" si="108"/>
        <v>188622.25</v>
      </c>
      <c r="AA60" s="62">
        <f t="shared" si="108"/>
        <v>36724.200000000004</v>
      </c>
      <c r="AB60" s="62">
        <f t="shared" si="108"/>
        <v>0</v>
      </c>
      <c r="AC60" s="62">
        <f t="shared" si="108"/>
        <v>22812.25</v>
      </c>
      <c r="AD60" s="62">
        <f t="shared" si="108"/>
        <v>0</v>
      </c>
      <c r="AE60" s="62">
        <f t="shared" si="108"/>
        <v>248158.69999999998</v>
      </c>
      <c r="AF60" s="62">
        <f t="shared" si="108"/>
        <v>0</v>
      </c>
      <c r="AG60" s="62">
        <f t="shared" si="108"/>
        <v>12117.6</v>
      </c>
      <c r="AH60" s="62">
        <f t="shared" si="108"/>
        <v>0</v>
      </c>
      <c r="AI60" s="62">
        <f t="shared" si="108"/>
        <v>295901.6</v>
      </c>
      <c r="AJ60" s="62">
        <f t="shared" si="108"/>
        <v>0</v>
      </c>
      <c r="AK60" s="62">
        <f t="shared" si="108"/>
        <v>3000</v>
      </c>
      <c r="AL60" s="62">
        <f t="shared" si="108"/>
        <v>0</v>
      </c>
      <c r="AM60" s="62">
        <f t="shared" si="108"/>
        <v>0</v>
      </c>
      <c r="AN60" s="62">
        <f t="shared" si="108"/>
        <v>0</v>
      </c>
      <c r="AO60" s="62">
        <f t="shared" si="108"/>
        <v>0</v>
      </c>
      <c r="AP60" s="62">
        <f t="shared" si="108"/>
        <v>0</v>
      </c>
      <c r="AQ60" s="62">
        <f t="shared" si="108"/>
        <v>0</v>
      </c>
      <c r="AR60" s="62">
        <f t="shared" si="108"/>
        <v>0</v>
      </c>
      <c r="AS60" s="62">
        <f t="shared" si="108"/>
        <v>0</v>
      </c>
      <c r="AT60" s="62">
        <f t="shared" si="108"/>
        <v>0</v>
      </c>
      <c r="AU60" s="62">
        <f t="shared" si="108"/>
        <v>559177.9</v>
      </c>
      <c r="AV60" s="62">
        <f t="shared" si="108"/>
        <v>12506.2</v>
      </c>
      <c r="AW60" s="62">
        <f t="shared" si="108"/>
        <v>52800.8</v>
      </c>
      <c r="AX60" s="62">
        <f t="shared" si="108"/>
        <v>-0.09999999996944098</v>
      </c>
      <c r="AY60" s="62">
        <f t="shared" si="108"/>
        <v>46153.05</v>
      </c>
      <c r="AZ60" s="62">
        <f t="shared" si="108"/>
        <v>0</v>
      </c>
      <c r="BA60" s="62">
        <f t="shared" si="108"/>
        <v>0</v>
      </c>
      <c r="BB60" s="62">
        <f t="shared" si="108"/>
        <v>0</v>
      </c>
      <c r="BC60" s="62">
        <f t="shared" si="108"/>
        <v>0</v>
      </c>
      <c r="BD60" s="62">
        <f t="shared" si="108"/>
        <v>0</v>
      </c>
      <c r="BE60" s="62">
        <f t="shared" si="108"/>
        <v>0</v>
      </c>
      <c r="BF60" s="62">
        <f t="shared" si="108"/>
        <v>0</v>
      </c>
      <c r="BG60" s="62">
        <f t="shared" si="108"/>
        <v>0</v>
      </c>
      <c r="BH60" s="62">
        <f t="shared" si="108"/>
        <v>0</v>
      </c>
      <c r="BI60" s="62">
        <f t="shared" si="108"/>
        <v>0</v>
      </c>
      <c r="BJ60" s="62">
        <f t="shared" si="108"/>
        <v>0</v>
      </c>
      <c r="BK60" s="62">
        <f t="shared" si="108"/>
        <v>0</v>
      </c>
      <c r="BL60" s="62">
        <f t="shared" si="108"/>
        <v>0</v>
      </c>
      <c r="BM60" s="62">
        <f t="shared" si="108"/>
        <v>0</v>
      </c>
      <c r="BN60" s="62">
        <f t="shared" si="108"/>
        <v>0</v>
      </c>
      <c r="BO60" s="62">
        <f aca="true" t="shared" si="109" ref="BO60:CI60">BO10+BO20+BO26</f>
        <v>0</v>
      </c>
      <c r="BP60" s="62">
        <f t="shared" si="109"/>
        <v>0</v>
      </c>
      <c r="BQ60" s="62">
        <f t="shared" si="109"/>
        <v>0</v>
      </c>
      <c r="BR60" s="62">
        <f t="shared" si="109"/>
        <v>0</v>
      </c>
      <c r="BS60" s="62">
        <f t="shared" si="109"/>
        <v>0</v>
      </c>
      <c r="BT60" s="62">
        <f t="shared" si="109"/>
        <v>735195.9099999999</v>
      </c>
      <c r="BU60" s="62">
        <f t="shared" si="109"/>
        <v>0</v>
      </c>
      <c r="BV60" s="62">
        <f t="shared" si="109"/>
        <v>0</v>
      </c>
      <c r="BW60" s="62">
        <f t="shared" si="109"/>
        <v>0</v>
      </c>
      <c r="BX60" s="62">
        <f t="shared" si="109"/>
        <v>735195.9099999999</v>
      </c>
      <c r="BY60" s="62">
        <f t="shared" si="109"/>
        <v>248074.7</v>
      </c>
      <c r="BZ60" s="62">
        <f t="shared" si="109"/>
        <v>0</v>
      </c>
      <c r="CA60" s="62">
        <f t="shared" si="109"/>
        <v>487121.20999999996</v>
      </c>
      <c r="CB60" s="62">
        <f t="shared" si="109"/>
        <v>735195.9099999999</v>
      </c>
      <c r="CC60" s="62">
        <f t="shared" si="109"/>
        <v>0</v>
      </c>
      <c r="CD60" s="62">
        <f t="shared" si="109"/>
        <v>-40294.6</v>
      </c>
      <c r="CE60" s="62">
        <f t="shared" si="109"/>
        <v>-40294.6</v>
      </c>
      <c r="CF60" s="62">
        <f t="shared" si="109"/>
        <v>0</v>
      </c>
      <c r="CG60" s="62">
        <f t="shared" si="109"/>
        <v>559177.9</v>
      </c>
      <c r="CH60" s="62">
        <f t="shared" si="109"/>
        <v>35261.25</v>
      </c>
      <c r="CI60" s="62">
        <f t="shared" si="109"/>
        <v>35261.25</v>
      </c>
      <c r="CJ60" s="153" t="e">
        <f aca="true" t="shared" si="110" ref="CJ60:CJ65">CD60/CF60</f>
        <v>#DIV/0!</v>
      </c>
      <c r="CK60" s="153" t="e">
        <f aca="true" t="shared" si="111" ref="CK60:CK65">CE60/CF60</f>
        <v>#DIV/0!</v>
      </c>
      <c r="CL60" s="154">
        <f aca="true" t="shared" si="112" ref="CL60:CL65">CD60/CG60*1</f>
        <v>-0.07206043014217836</v>
      </c>
      <c r="CM60" s="154">
        <f aca="true" t="shared" si="113" ref="CM60:CM65">CE60/CG60</f>
        <v>-0.07206043014217836</v>
      </c>
      <c r="CN60" s="154">
        <f aca="true" t="shared" si="114" ref="CN60:CN65">CH60/CG60</f>
        <v>0.06305909085462784</v>
      </c>
      <c r="CO60" s="154">
        <f aca="true" t="shared" si="115" ref="CO60:CO65">CI60/CG60</f>
        <v>0.06305909085462784</v>
      </c>
      <c r="CP60" s="154" t="e">
        <f aca="true" t="shared" si="116" ref="CP60:CP65">(K60+L60)/(BU60+K60+L60)</f>
        <v>#DIV/0!</v>
      </c>
      <c r="CQ60" s="154" t="e">
        <f aca="true" t="shared" si="117" ref="CQ60:CQ65">(K60)/(BU60+K60+L60)</f>
        <v>#DIV/0!</v>
      </c>
      <c r="CR60" s="155">
        <f aca="true" t="shared" si="118" ref="CR60:CR65">CS60/CE60</f>
        <v>-12.088994803273886</v>
      </c>
      <c r="CS60" s="156">
        <f aca="true" t="shared" si="119" ref="CS60:CS65">BT60-BY60</f>
        <v>487121.2099999999</v>
      </c>
      <c r="CT60" s="156">
        <f aca="true" t="shared" si="120" ref="CT60:CT65">Y60-K60-L60-V60</f>
        <v>599472.4</v>
      </c>
      <c r="CU60" s="156">
        <f aca="true" t="shared" si="121" ref="CU60:CU65">AU60-AR60</f>
        <v>559177.9</v>
      </c>
      <c r="CV60" s="156">
        <f aca="true" t="shared" si="122" ref="CV60:CV65">CU60-CT60</f>
        <v>-40294.5</v>
      </c>
      <c r="CW60" s="156">
        <f aca="true" t="shared" si="123" ref="CW60:CW65">-V60+AR60</f>
        <v>0</v>
      </c>
      <c r="CX60" s="156">
        <f aca="true" t="shared" si="124" ref="CX60:CX65">CV60+CW60</f>
        <v>-40294.5</v>
      </c>
      <c r="CY60" s="156">
        <f aca="true" t="shared" si="125" ref="CY60:CY65">CX60-K60-L60</f>
        <v>-40294.5</v>
      </c>
      <c r="CZ60" s="156">
        <f aca="true" t="shared" si="126" ref="CZ60:CZ65">BR60-BP60</f>
        <v>0</v>
      </c>
      <c r="DA60" s="156">
        <f aca="true" t="shared" si="127" ref="DA60:DA65">K60+L60</f>
        <v>0</v>
      </c>
      <c r="DB60" s="156">
        <f aca="true" t="shared" si="128" ref="DB60:DB65">-CZ60+DA60+CY60</f>
        <v>-40294.5</v>
      </c>
      <c r="DC60" s="156">
        <f aca="true" t="shared" si="129" ref="DC60:DC65">-CZ60+DA60+CY60+W60-AS60</f>
        <v>-40294.5</v>
      </c>
      <c r="DD60" s="156">
        <f aca="true" t="shared" si="130" ref="DD60:DD65">-BP60-DA60</f>
        <v>0</v>
      </c>
      <c r="DE60" s="156">
        <f aca="true" t="shared" si="131" ref="DE60:DE65">DB60+DD60+BR60</f>
        <v>-40294.5</v>
      </c>
      <c r="DF60" s="156">
        <f aca="true" t="shared" si="132" ref="DF60:DF65">Z60+AA60+AB60</f>
        <v>225346.45</v>
      </c>
      <c r="DG60" s="156">
        <f aca="true" t="shared" si="133" ref="DG60:DG65">CS60/B60</f>
        <v>350.6992152627789</v>
      </c>
      <c r="DH60" s="156">
        <f aca="true" t="shared" si="134" ref="DH60:DH65">CH60/B60</f>
        <v>25.386069114470843</v>
      </c>
      <c r="DI60" s="156">
        <f aca="true" t="shared" si="135" ref="DI60:DI65">DF60/B60</f>
        <v>162.2364650827934</v>
      </c>
      <c r="DJ60" s="157">
        <f aca="true" t="shared" si="136" ref="DJ60:DJ65">CZ60/B60</f>
        <v>0</v>
      </c>
      <c r="DK60" s="156">
        <f aca="true" t="shared" si="137" ref="DK60:DK65">DB60/B60</f>
        <v>-29.009719222462202</v>
      </c>
      <c r="DL60" s="158">
        <f aca="true" t="shared" si="138" ref="DL60:DL65">CA60-BW60-BU60</f>
        <v>487121.20999999996</v>
      </c>
    </row>
    <row r="61" spans="1:116" ht="12.75">
      <c r="A61" s="3" t="s">
        <v>243</v>
      </c>
      <c r="B61" s="62">
        <f>B4+B19+B21+B24+B25</f>
        <v>14287</v>
      </c>
      <c r="C61" s="62">
        <f aca="true" t="shared" si="139" ref="C61:BN61">C4+C19+C21+C24+C25</f>
        <v>46009683</v>
      </c>
      <c r="D61" s="62">
        <f>(D4+D19+D21+D24+D25)/5</f>
        <v>3028.5620000000004</v>
      </c>
      <c r="E61" s="62">
        <f>(E4+E19+E21+E24+E25)/5</f>
        <v>91.30600000000001</v>
      </c>
      <c r="F61" s="62">
        <f>(F4+F19+F21+F24+F25)/5</f>
        <v>2</v>
      </c>
      <c r="G61" s="62">
        <f t="shared" si="139"/>
        <v>315697.94999999995</v>
      </c>
      <c r="H61" s="62">
        <f t="shared" si="139"/>
        <v>85284.8</v>
      </c>
      <c r="I61" s="62">
        <f t="shared" si="139"/>
        <v>50569</v>
      </c>
      <c r="J61" s="62">
        <f t="shared" si="139"/>
        <v>0</v>
      </c>
      <c r="K61" s="62">
        <f t="shared" si="139"/>
        <v>0</v>
      </c>
      <c r="L61" s="62">
        <f t="shared" si="139"/>
        <v>0</v>
      </c>
      <c r="M61" s="62">
        <f t="shared" si="139"/>
        <v>0</v>
      </c>
      <c r="N61" s="62">
        <f t="shared" si="139"/>
        <v>0</v>
      </c>
      <c r="O61" s="62">
        <f t="shared" si="139"/>
        <v>1809.1</v>
      </c>
      <c r="P61" s="62">
        <f t="shared" si="139"/>
        <v>3988015.6500000004</v>
      </c>
      <c r="Q61" s="62">
        <f t="shared" si="139"/>
        <v>0</v>
      </c>
      <c r="R61" s="62">
        <f t="shared" si="139"/>
        <v>0</v>
      </c>
      <c r="S61" s="62">
        <f t="shared" si="139"/>
        <v>0</v>
      </c>
      <c r="T61" s="62">
        <f t="shared" si="139"/>
        <v>0</v>
      </c>
      <c r="U61" s="62">
        <f t="shared" si="139"/>
        <v>0</v>
      </c>
      <c r="V61" s="62">
        <f t="shared" si="139"/>
        <v>0</v>
      </c>
      <c r="W61" s="62">
        <f t="shared" si="139"/>
        <v>0</v>
      </c>
      <c r="X61" s="62">
        <f t="shared" si="139"/>
        <v>44247</v>
      </c>
      <c r="Y61" s="62">
        <f t="shared" si="139"/>
        <v>4485623.5</v>
      </c>
      <c r="Z61" s="62">
        <f t="shared" si="139"/>
        <v>1685564.3</v>
      </c>
      <c r="AA61" s="62">
        <f t="shared" si="139"/>
        <v>233018</v>
      </c>
      <c r="AB61" s="62">
        <f t="shared" si="139"/>
        <v>0</v>
      </c>
      <c r="AC61" s="62">
        <f t="shared" si="139"/>
        <v>203027.55</v>
      </c>
      <c r="AD61" s="62">
        <f t="shared" si="139"/>
        <v>0</v>
      </c>
      <c r="AE61" s="62">
        <f t="shared" si="139"/>
        <v>2121609.85</v>
      </c>
      <c r="AF61" s="62">
        <f t="shared" si="139"/>
        <v>50000</v>
      </c>
      <c r="AG61" s="62">
        <f t="shared" si="139"/>
        <v>67716.70000000001</v>
      </c>
      <c r="AH61" s="62">
        <f t="shared" si="139"/>
        <v>139.65</v>
      </c>
      <c r="AI61" s="62">
        <f t="shared" si="139"/>
        <v>2225623.4699999997</v>
      </c>
      <c r="AJ61" s="62">
        <f t="shared" si="139"/>
        <v>3547</v>
      </c>
      <c r="AK61" s="62">
        <f t="shared" si="139"/>
        <v>98887.35</v>
      </c>
      <c r="AL61" s="62">
        <f t="shared" si="139"/>
        <v>107971.9</v>
      </c>
      <c r="AM61" s="62">
        <f t="shared" si="139"/>
        <v>0</v>
      </c>
      <c r="AN61" s="62">
        <f t="shared" si="139"/>
        <v>0</v>
      </c>
      <c r="AO61" s="62">
        <f t="shared" si="139"/>
        <v>0</v>
      </c>
      <c r="AP61" s="62">
        <f t="shared" si="139"/>
        <v>0</v>
      </c>
      <c r="AQ61" s="62">
        <f t="shared" si="139"/>
        <v>0</v>
      </c>
      <c r="AR61" s="62">
        <f t="shared" si="139"/>
        <v>0</v>
      </c>
      <c r="AS61" s="62">
        <f t="shared" si="139"/>
        <v>0</v>
      </c>
      <c r="AT61" s="62">
        <f t="shared" si="139"/>
        <v>44247</v>
      </c>
      <c r="AU61" s="62">
        <f t="shared" si="139"/>
        <v>4719603.27</v>
      </c>
      <c r="AV61" s="62">
        <f t="shared" si="139"/>
        <v>439259.81999999995</v>
      </c>
      <c r="AW61" s="62">
        <f t="shared" si="139"/>
        <v>205280.05</v>
      </c>
      <c r="AX61" s="62">
        <f t="shared" si="139"/>
        <v>4.0745362639427185E-10</v>
      </c>
      <c r="AY61" s="62">
        <f t="shared" si="139"/>
        <v>0</v>
      </c>
      <c r="AZ61" s="62">
        <f t="shared" si="139"/>
        <v>0</v>
      </c>
      <c r="BA61" s="62">
        <f t="shared" si="139"/>
        <v>0</v>
      </c>
      <c r="BB61" s="62">
        <f t="shared" si="139"/>
        <v>0</v>
      </c>
      <c r="BC61" s="62">
        <f t="shared" si="139"/>
        <v>0</v>
      </c>
      <c r="BD61" s="62">
        <f t="shared" si="139"/>
        <v>0</v>
      </c>
      <c r="BE61" s="62">
        <f t="shared" si="139"/>
        <v>0</v>
      </c>
      <c r="BF61" s="62">
        <f t="shared" si="139"/>
        <v>0</v>
      </c>
      <c r="BG61" s="62">
        <f t="shared" si="139"/>
        <v>0</v>
      </c>
      <c r="BH61" s="62">
        <f t="shared" si="139"/>
        <v>0</v>
      </c>
      <c r="BI61" s="62">
        <f t="shared" si="139"/>
        <v>0</v>
      </c>
      <c r="BJ61" s="62">
        <f t="shared" si="139"/>
        <v>0</v>
      </c>
      <c r="BK61" s="62">
        <f t="shared" si="139"/>
        <v>0</v>
      </c>
      <c r="BL61" s="62">
        <f t="shared" si="139"/>
        <v>0</v>
      </c>
      <c r="BM61" s="62">
        <f t="shared" si="139"/>
        <v>0</v>
      </c>
      <c r="BN61" s="62">
        <f t="shared" si="139"/>
        <v>0</v>
      </c>
      <c r="BO61" s="62">
        <f aca="true" t="shared" si="140" ref="BO61:CI61">BO4+BO19+BO21+BO24+BO25</f>
        <v>0</v>
      </c>
      <c r="BP61" s="62">
        <f t="shared" si="140"/>
        <v>0</v>
      </c>
      <c r="BQ61" s="62">
        <f t="shared" si="140"/>
        <v>0</v>
      </c>
      <c r="BR61" s="62">
        <f t="shared" si="140"/>
        <v>0</v>
      </c>
      <c r="BS61" s="62">
        <f t="shared" si="140"/>
        <v>0</v>
      </c>
      <c r="BT61" s="62">
        <f t="shared" si="140"/>
        <v>4930767.47</v>
      </c>
      <c r="BU61" s="62">
        <f t="shared" si="140"/>
        <v>0</v>
      </c>
      <c r="BV61" s="62">
        <f t="shared" si="140"/>
        <v>0</v>
      </c>
      <c r="BW61" s="62">
        <f t="shared" si="140"/>
        <v>155202.51</v>
      </c>
      <c r="BX61" s="62">
        <f t="shared" si="140"/>
        <v>5085969.9799999995</v>
      </c>
      <c r="BY61" s="62">
        <f t="shared" si="140"/>
        <v>1782976.3699999996</v>
      </c>
      <c r="BZ61" s="62">
        <f t="shared" si="140"/>
        <v>20000</v>
      </c>
      <c r="CA61" s="62">
        <f t="shared" si="140"/>
        <v>3282993.61</v>
      </c>
      <c r="CB61" s="62">
        <f t="shared" si="140"/>
        <v>5085969.9799999995</v>
      </c>
      <c r="CC61" s="62">
        <f t="shared" si="140"/>
        <v>0</v>
      </c>
      <c r="CD61" s="62">
        <f t="shared" si="140"/>
        <v>233979.77</v>
      </c>
      <c r="CE61" s="62">
        <f t="shared" si="140"/>
        <v>233979.77</v>
      </c>
      <c r="CF61" s="62">
        <f t="shared" si="140"/>
        <v>0</v>
      </c>
      <c r="CG61" s="62">
        <f t="shared" si="140"/>
        <v>4675356.27</v>
      </c>
      <c r="CH61" s="62">
        <f t="shared" si="140"/>
        <v>-17008.049999999996</v>
      </c>
      <c r="CI61" s="62">
        <f t="shared" si="140"/>
        <v>-17008.049999999996</v>
      </c>
      <c r="CJ61" s="153" t="e">
        <f t="shared" si="110"/>
        <v>#DIV/0!</v>
      </c>
      <c r="CK61" s="153" t="e">
        <f t="shared" si="111"/>
        <v>#DIV/0!</v>
      </c>
      <c r="CL61" s="154">
        <f t="shared" si="112"/>
        <v>0.05004533483391631</v>
      </c>
      <c r="CM61" s="154">
        <f t="shared" si="113"/>
        <v>0.05004533483391631</v>
      </c>
      <c r="CN61" s="154">
        <f t="shared" si="114"/>
        <v>-0.003637808333267402</v>
      </c>
      <c r="CO61" s="154">
        <f t="shared" si="115"/>
        <v>-0.003637808333267402</v>
      </c>
      <c r="CP61" s="154" t="e">
        <f t="shared" si="116"/>
        <v>#DIV/0!</v>
      </c>
      <c r="CQ61" s="154" t="e">
        <f t="shared" si="117"/>
        <v>#DIV/0!</v>
      </c>
      <c r="CR61" s="155">
        <f t="shared" si="118"/>
        <v>13.453261792675496</v>
      </c>
      <c r="CS61" s="156">
        <f t="shared" si="119"/>
        <v>3147791.1</v>
      </c>
      <c r="CT61" s="156">
        <f t="shared" si="120"/>
        <v>4485623.5</v>
      </c>
      <c r="CU61" s="156">
        <f t="shared" si="121"/>
        <v>4719603.27</v>
      </c>
      <c r="CV61" s="156">
        <f t="shared" si="122"/>
        <v>233979.76999999955</v>
      </c>
      <c r="CW61" s="156">
        <f t="shared" si="123"/>
        <v>0</v>
      </c>
      <c r="CX61" s="156">
        <f t="shared" si="124"/>
        <v>233979.76999999955</v>
      </c>
      <c r="CY61" s="156">
        <f t="shared" si="125"/>
        <v>233979.76999999955</v>
      </c>
      <c r="CZ61" s="156">
        <f t="shared" si="126"/>
        <v>0</v>
      </c>
      <c r="DA61" s="156">
        <f t="shared" si="127"/>
        <v>0</v>
      </c>
      <c r="DB61" s="156">
        <f t="shared" si="128"/>
        <v>233979.76999999955</v>
      </c>
      <c r="DC61" s="156">
        <f t="shared" si="129"/>
        <v>233979.76999999955</v>
      </c>
      <c r="DD61" s="156">
        <f t="shared" si="130"/>
        <v>0</v>
      </c>
      <c r="DE61" s="156">
        <f t="shared" si="131"/>
        <v>233979.76999999955</v>
      </c>
      <c r="DF61" s="156">
        <f t="shared" si="132"/>
        <v>1918582.3</v>
      </c>
      <c r="DG61" s="156">
        <f t="shared" si="133"/>
        <v>220.32554770070695</v>
      </c>
      <c r="DH61" s="156">
        <f t="shared" si="134"/>
        <v>-1.1904563589276962</v>
      </c>
      <c r="DI61" s="156">
        <f t="shared" si="135"/>
        <v>134.28867501924827</v>
      </c>
      <c r="DJ61" s="157">
        <f t="shared" si="136"/>
        <v>0</v>
      </c>
      <c r="DK61" s="156">
        <f t="shared" si="137"/>
        <v>16.37710996010356</v>
      </c>
      <c r="DL61" s="158">
        <f t="shared" si="138"/>
        <v>3127791.0999999996</v>
      </c>
    </row>
    <row r="62" spans="1:116" ht="12.75">
      <c r="A62" s="3" t="s">
        <v>244</v>
      </c>
      <c r="B62" s="62">
        <f>B9+B11+B22+B27</f>
        <v>11873</v>
      </c>
      <c r="C62" s="62">
        <f aca="true" t="shared" si="141" ref="C62:BN62">C9+C11+C22+C27</f>
        <v>43065808</v>
      </c>
      <c r="D62" s="62">
        <f>(D9+D11+D22+D27)/4</f>
        <v>3425.0475</v>
      </c>
      <c r="E62" s="62">
        <f>(E9+E11+E22+E27)/4</f>
        <v>103.25999999999999</v>
      </c>
      <c r="F62" s="62">
        <f>(F9+F11+F22+F27)/4</f>
        <v>1.25</v>
      </c>
      <c r="G62" s="62">
        <f t="shared" si="141"/>
        <v>348378.65</v>
      </c>
      <c r="H62" s="62">
        <f t="shared" si="141"/>
        <v>69324.5</v>
      </c>
      <c r="I62" s="62">
        <f t="shared" si="141"/>
        <v>12.25</v>
      </c>
      <c r="J62" s="62">
        <f t="shared" si="141"/>
        <v>26462</v>
      </c>
      <c r="K62" s="62">
        <f t="shared" si="141"/>
        <v>1350.0000000000002</v>
      </c>
      <c r="L62" s="62">
        <f t="shared" si="141"/>
        <v>0</v>
      </c>
      <c r="M62" s="62">
        <f t="shared" si="141"/>
        <v>1350.0000000000002</v>
      </c>
      <c r="N62" s="62">
        <f t="shared" si="141"/>
        <v>0</v>
      </c>
      <c r="O62" s="62">
        <f t="shared" si="141"/>
        <v>13444.099999999999</v>
      </c>
      <c r="P62" s="62">
        <f t="shared" si="141"/>
        <v>4735597.5</v>
      </c>
      <c r="Q62" s="62">
        <f t="shared" si="141"/>
        <v>0</v>
      </c>
      <c r="R62" s="62">
        <f t="shared" si="141"/>
        <v>0</v>
      </c>
      <c r="S62" s="62">
        <f t="shared" si="141"/>
        <v>0</v>
      </c>
      <c r="T62" s="62">
        <f t="shared" si="141"/>
        <v>0</v>
      </c>
      <c r="U62" s="62">
        <f t="shared" si="141"/>
        <v>0</v>
      </c>
      <c r="V62" s="62">
        <f t="shared" si="141"/>
        <v>0</v>
      </c>
      <c r="W62" s="62">
        <f t="shared" si="141"/>
        <v>0</v>
      </c>
      <c r="X62" s="62">
        <f t="shared" si="141"/>
        <v>6566.700000000001</v>
      </c>
      <c r="Y62" s="62">
        <f t="shared" si="141"/>
        <v>5201135.7</v>
      </c>
      <c r="Z62" s="62">
        <f t="shared" si="141"/>
        <v>1887933.4999999998</v>
      </c>
      <c r="AA62" s="62">
        <f t="shared" si="141"/>
        <v>75078.35</v>
      </c>
      <c r="AB62" s="62">
        <f t="shared" si="141"/>
        <v>0</v>
      </c>
      <c r="AC62" s="62">
        <f t="shared" si="141"/>
        <v>232159.75</v>
      </c>
      <c r="AD62" s="62">
        <f t="shared" si="141"/>
        <v>0</v>
      </c>
      <c r="AE62" s="62">
        <f t="shared" si="141"/>
        <v>2195171.5999999996</v>
      </c>
      <c r="AF62" s="62">
        <f t="shared" si="141"/>
        <v>0</v>
      </c>
      <c r="AG62" s="62">
        <f t="shared" si="141"/>
        <v>110804.5</v>
      </c>
      <c r="AH62" s="62">
        <f t="shared" si="141"/>
        <v>18456</v>
      </c>
      <c r="AI62" s="62">
        <f t="shared" si="141"/>
        <v>2023187.5</v>
      </c>
      <c r="AJ62" s="62">
        <f t="shared" si="141"/>
        <v>0</v>
      </c>
      <c r="AK62" s="62">
        <f t="shared" si="141"/>
        <v>38120</v>
      </c>
      <c r="AL62" s="62">
        <f t="shared" si="141"/>
        <v>0</v>
      </c>
      <c r="AM62" s="62">
        <f t="shared" si="141"/>
        <v>0</v>
      </c>
      <c r="AN62" s="62">
        <f t="shared" si="141"/>
        <v>0</v>
      </c>
      <c r="AO62" s="62">
        <f t="shared" si="141"/>
        <v>0</v>
      </c>
      <c r="AP62" s="62">
        <f t="shared" si="141"/>
        <v>0</v>
      </c>
      <c r="AQ62" s="62">
        <f t="shared" si="141"/>
        <v>0</v>
      </c>
      <c r="AR62" s="62">
        <f t="shared" si="141"/>
        <v>0</v>
      </c>
      <c r="AS62" s="62">
        <f t="shared" si="141"/>
        <v>0</v>
      </c>
      <c r="AT62" s="62">
        <f t="shared" si="141"/>
        <v>6566.700000000001</v>
      </c>
      <c r="AU62" s="62">
        <f t="shared" si="141"/>
        <v>4373850.3</v>
      </c>
      <c r="AV62" s="62">
        <f t="shared" si="141"/>
        <v>0</v>
      </c>
      <c r="AW62" s="62">
        <f t="shared" si="141"/>
        <v>827285.4</v>
      </c>
      <c r="AX62" s="62">
        <f t="shared" si="141"/>
        <v>0</v>
      </c>
      <c r="AY62" s="62">
        <f t="shared" si="141"/>
        <v>0</v>
      </c>
      <c r="AZ62" s="62">
        <f t="shared" si="141"/>
        <v>0</v>
      </c>
      <c r="BA62" s="62">
        <f t="shared" si="141"/>
        <v>0</v>
      </c>
      <c r="BB62" s="62">
        <f t="shared" si="141"/>
        <v>0</v>
      </c>
      <c r="BC62" s="62">
        <f t="shared" si="141"/>
        <v>0</v>
      </c>
      <c r="BD62" s="62">
        <f t="shared" si="141"/>
        <v>0</v>
      </c>
      <c r="BE62" s="62">
        <f t="shared" si="141"/>
        <v>0</v>
      </c>
      <c r="BF62" s="62">
        <f t="shared" si="141"/>
        <v>0</v>
      </c>
      <c r="BG62" s="62">
        <f t="shared" si="141"/>
        <v>0</v>
      </c>
      <c r="BH62" s="62">
        <f t="shared" si="141"/>
        <v>0</v>
      </c>
      <c r="BI62" s="62">
        <f t="shared" si="141"/>
        <v>0</v>
      </c>
      <c r="BJ62" s="62">
        <f t="shared" si="141"/>
        <v>0</v>
      </c>
      <c r="BK62" s="62">
        <f t="shared" si="141"/>
        <v>0</v>
      </c>
      <c r="BL62" s="62">
        <f t="shared" si="141"/>
        <v>0</v>
      </c>
      <c r="BM62" s="62">
        <f t="shared" si="141"/>
        <v>0</v>
      </c>
      <c r="BN62" s="62">
        <f t="shared" si="141"/>
        <v>0</v>
      </c>
      <c r="BO62" s="62">
        <f aca="true" t="shared" si="142" ref="BO62:CI62">BO9+BO11+BO22+BO27</f>
        <v>0</v>
      </c>
      <c r="BP62" s="62">
        <f t="shared" si="142"/>
        <v>0</v>
      </c>
      <c r="BQ62" s="62">
        <f t="shared" si="142"/>
        <v>0</v>
      </c>
      <c r="BR62" s="62">
        <f t="shared" si="142"/>
        <v>0</v>
      </c>
      <c r="BS62" s="62">
        <f t="shared" si="142"/>
        <v>0</v>
      </c>
      <c r="BT62" s="62">
        <f t="shared" si="142"/>
        <v>3898993.1900000004</v>
      </c>
      <c r="BU62" s="62">
        <f t="shared" si="142"/>
        <v>5426</v>
      </c>
      <c r="BV62" s="62">
        <f t="shared" si="142"/>
        <v>0</v>
      </c>
      <c r="BW62" s="62">
        <f t="shared" si="142"/>
        <v>0</v>
      </c>
      <c r="BX62" s="62">
        <f t="shared" si="142"/>
        <v>3904419.1900000004</v>
      </c>
      <c r="BY62" s="62">
        <f t="shared" si="142"/>
        <v>984903.7</v>
      </c>
      <c r="BZ62" s="62">
        <f t="shared" si="142"/>
        <v>0</v>
      </c>
      <c r="CA62" s="62">
        <f t="shared" si="142"/>
        <v>2919515.4899999998</v>
      </c>
      <c r="CB62" s="62">
        <f t="shared" si="142"/>
        <v>3904419.19</v>
      </c>
      <c r="CC62" s="62">
        <f t="shared" si="142"/>
        <v>0</v>
      </c>
      <c r="CD62" s="62">
        <f t="shared" si="142"/>
        <v>-825935.3999999999</v>
      </c>
      <c r="CE62" s="62">
        <f t="shared" si="142"/>
        <v>-825935.3999999999</v>
      </c>
      <c r="CF62" s="62">
        <f t="shared" si="142"/>
        <v>0</v>
      </c>
      <c r="CG62" s="62">
        <f t="shared" si="142"/>
        <v>4367283.6</v>
      </c>
      <c r="CH62" s="62">
        <f t="shared" si="142"/>
        <v>-92336.25</v>
      </c>
      <c r="CI62" s="62">
        <f t="shared" si="142"/>
        <v>-90986.24999999999</v>
      </c>
      <c r="CJ62" s="153" t="e">
        <f t="shared" si="110"/>
        <v>#DIV/0!</v>
      </c>
      <c r="CK62" s="153" t="e">
        <f t="shared" si="111"/>
        <v>#DIV/0!</v>
      </c>
      <c r="CL62" s="154">
        <f t="shared" si="112"/>
        <v>-0.18911879228543801</v>
      </c>
      <c r="CM62" s="154">
        <f t="shared" si="113"/>
        <v>-0.18911879228543801</v>
      </c>
      <c r="CN62" s="154">
        <f t="shared" si="114"/>
        <v>-0.021142719011881896</v>
      </c>
      <c r="CO62" s="154">
        <f t="shared" si="115"/>
        <v>-0.020833602379291327</v>
      </c>
      <c r="CP62" s="154">
        <f t="shared" si="116"/>
        <v>0.199232585596222</v>
      </c>
      <c r="CQ62" s="154">
        <f t="shared" si="117"/>
        <v>0.199232585596222</v>
      </c>
      <c r="CR62" s="155">
        <f t="shared" si="118"/>
        <v>-3.5282293143023056</v>
      </c>
      <c r="CS62" s="156">
        <f t="shared" si="119"/>
        <v>2914089.49</v>
      </c>
      <c r="CT62" s="156">
        <f t="shared" si="120"/>
        <v>5199785.7</v>
      </c>
      <c r="CU62" s="156">
        <f t="shared" si="121"/>
        <v>4373850.3</v>
      </c>
      <c r="CV62" s="156">
        <f t="shared" si="122"/>
        <v>-825935.4000000004</v>
      </c>
      <c r="CW62" s="156">
        <f t="shared" si="123"/>
        <v>0</v>
      </c>
      <c r="CX62" s="156">
        <f t="shared" si="124"/>
        <v>-825935.4000000004</v>
      </c>
      <c r="CY62" s="156">
        <f t="shared" si="125"/>
        <v>-827285.4000000004</v>
      </c>
      <c r="CZ62" s="156">
        <f t="shared" si="126"/>
        <v>0</v>
      </c>
      <c r="DA62" s="156">
        <f t="shared" si="127"/>
        <v>1350.0000000000002</v>
      </c>
      <c r="DB62" s="156">
        <f t="shared" si="128"/>
        <v>-825935.4000000004</v>
      </c>
      <c r="DC62" s="156">
        <f t="shared" si="129"/>
        <v>-825935.4000000004</v>
      </c>
      <c r="DD62" s="156">
        <f t="shared" si="130"/>
        <v>-1350.0000000000002</v>
      </c>
      <c r="DE62" s="156">
        <f t="shared" si="131"/>
        <v>-827285.4000000004</v>
      </c>
      <c r="DF62" s="156">
        <f t="shared" si="132"/>
        <v>1963011.8499999999</v>
      </c>
      <c r="DG62" s="156">
        <f t="shared" si="133"/>
        <v>245.4383466689127</v>
      </c>
      <c r="DH62" s="156">
        <f t="shared" si="134"/>
        <v>-7.776994020045481</v>
      </c>
      <c r="DI62" s="156">
        <f t="shared" si="135"/>
        <v>165.3341067969342</v>
      </c>
      <c r="DJ62" s="157">
        <f t="shared" si="136"/>
        <v>0</v>
      </c>
      <c r="DK62" s="156">
        <f t="shared" si="137"/>
        <v>-69.56417080771502</v>
      </c>
      <c r="DL62" s="158">
        <f t="shared" si="138"/>
        <v>2914089.4899999998</v>
      </c>
    </row>
    <row r="63" spans="1:116" ht="12.75">
      <c r="A63" s="3" t="s">
        <v>245</v>
      </c>
      <c r="B63" s="62">
        <f>B7+B8+B17</f>
        <v>1792</v>
      </c>
      <c r="C63" s="62">
        <f aca="true" t="shared" si="143" ref="C63:BN63">C7+C8+C17</f>
        <v>4434646</v>
      </c>
      <c r="D63" s="62">
        <f>(D7+D8+D17)/3</f>
        <v>2486.9933333333333</v>
      </c>
      <c r="E63" s="62">
        <f>(E7+E8+E17)/3</f>
        <v>74.98</v>
      </c>
      <c r="F63" s="62">
        <f>(F7+F8+F17)/3</f>
        <v>4</v>
      </c>
      <c r="G63" s="62">
        <f t="shared" si="143"/>
        <v>44487</v>
      </c>
      <c r="H63" s="62">
        <f t="shared" si="143"/>
        <v>8719.25</v>
      </c>
      <c r="I63" s="62">
        <f t="shared" si="143"/>
        <v>7174.2</v>
      </c>
      <c r="J63" s="62">
        <f t="shared" si="143"/>
        <v>0</v>
      </c>
      <c r="K63" s="62">
        <f t="shared" si="143"/>
        <v>0</v>
      </c>
      <c r="L63" s="62">
        <f t="shared" si="143"/>
        <v>0</v>
      </c>
      <c r="M63" s="62">
        <f t="shared" si="143"/>
        <v>0</v>
      </c>
      <c r="N63" s="62">
        <f t="shared" si="143"/>
        <v>0</v>
      </c>
      <c r="O63" s="62">
        <f t="shared" si="143"/>
        <v>1000</v>
      </c>
      <c r="P63" s="62">
        <f t="shared" si="143"/>
        <v>349278.9</v>
      </c>
      <c r="Q63" s="62">
        <f t="shared" si="143"/>
        <v>0</v>
      </c>
      <c r="R63" s="62">
        <f t="shared" si="143"/>
        <v>0</v>
      </c>
      <c r="S63" s="62">
        <f t="shared" si="143"/>
        <v>0</v>
      </c>
      <c r="T63" s="62">
        <f t="shared" si="143"/>
        <v>0</v>
      </c>
      <c r="U63" s="62">
        <f t="shared" si="143"/>
        <v>0</v>
      </c>
      <c r="V63" s="62">
        <f t="shared" si="143"/>
        <v>0</v>
      </c>
      <c r="W63" s="62">
        <f t="shared" si="143"/>
        <v>0</v>
      </c>
      <c r="X63" s="62">
        <f t="shared" si="143"/>
        <v>0</v>
      </c>
      <c r="Y63" s="62">
        <f t="shared" si="143"/>
        <v>410659.35</v>
      </c>
      <c r="Z63" s="62">
        <f t="shared" si="143"/>
        <v>261442.35</v>
      </c>
      <c r="AA63" s="62">
        <f t="shared" si="143"/>
        <v>28711.199999999997</v>
      </c>
      <c r="AB63" s="62">
        <f t="shared" si="143"/>
        <v>0</v>
      </c>
      <c r="AC63" s="62">
        <f t="shared" si="143"/>
        <v>29430.949999999997</v>
      </c>
      <c r="AD63" s="62">
        <f t="shared" si="143"/>
        <v>0</v>
      </c>
      <c r="AE63" s="62">
        <f t="shared" si="143"/>
        <v>319584.5</v>
      </c>
      <c r="AF63" s="62">
        <f t="shared" si="143"/>
        <v>0</v>
      </c>
      <c r="AG63" s="62">
        <f t="shared" si="143"/>
        <v>13267.3</v>
      </c>
      <c r="AH63" s="62">
        <f t="shared" si="143"/>
        <v>0</v>
      </c>
      <c r="AI63" s="62">
        <f t="shared" si="143"/>
        <v>61549.65</v>
      </c>
      <c r="AJ63" s="62">
        <f t="shared" si="143"/>
        <v>2533</v>
      </c>
      <c r="AK63" s="62">
        <f t="shared" si="143"/>
        <v>3000</v>
      </c>
      <c r="AL63" s="62">
        <f t="shared" si="143"/>
        <v>0</v>
      </c>
      <c r="AM63" s="62">
        <f t="shared" si="143"/>
        <v>0</v>
      </c>
      <c r="AN63" s="62">
        <f t="shared" si="143"/>
        <v>0</v>
      </c>
      <c r="AO63" s="62">
        <f t="shared" si="143"/>
        <v>0</v>
      </c>
      <c r="AP63" s="62">
        <f t="shared" si="143"/>
        <v>0</v>
      </c>
      <c r="AQ63" s="62">
        <f t="shared" si="143"/>
        <v>0</v>
      </c>
      <c r="AR63" s="62">
        <f t="shared" si="143"/>
        <v>0</v>
      </c>
      <c r="AS63" s="62">
        <f t="shared" si="143"/>
        <v>0</v>
      </c>
      <c r="AT63" s="62">
        <f t="shared" si="143"/>
        <v>0</v>
      </c>
      <c r="AU63" s="62">
        <f t="shared" si="143"/>
        <v>399934.45</v>
      </c>
      <c r="AV63" s="62">
        <f t="shared" si="143"/>
        <v>26460.4</v>
      </c>
      <c r="AW63" s="62">
        <f t="shared" si="143"/>
        <v>37185.299999999996</v>
      </c>
      <c r="AX63" s="62">
        <f t="shared" si="143"/>
        <v>2.637534635141492E-11</v>
      </c>
      <c r="AY63" s="62">
        <f t="shared" si="143"/>
        <v>0</v>
      </c>
      <c r="AZ63" s="62">
        <f t="shared" si="143"/>
        <v>0</v>
      </c>
      <c r="BA63" s="62">
        <f t="shared" si="143"/>
        <v>0</v>
      </c>
      <c r="BB63" s="62">
        <f t="shared" si="143"/>
        <v>0</v>
      </c>
      <c r="BC63" s="62">
        <f t="shared" si="143"/>
        <v>0</v>
      </c>
      <c r="BD63" s="62">
        <f t="shared" si="143"/>
        <v>0</v>
      </c>
      <c r="BE63" s="62">
        <f t="shared" si="143"/>
        <v>0</v>
      </c>
      <c r="BF63" s="62">
        <f t="shared" si="143"/>
        <v>0</v>
      </c>
      <c r="BG63" s="62">
        <f t="shared" si="143"/>
        <v>0</v>
      </c>
      <c r="BH63" s="62">
        <f t="shared" si="143"/>
        <v>0</v>
      </c>
      <c r="BI63" s="62">
        <f t="shared" si="143"/>
        <v>0</v>
      </c>
      <c r="BJ63" s="62">
        <f t="shared" si="143"/>
        <v>0</v>
      </c>
      <c r="BK63" s="62">
        <f t="shared" si="143"/>
        <v>0</v>
      </c>
      <c r="BL63" s="62">
        <f t="shared" si="143"/>
        <v>0</v>
      </c>
      <c r="BM63" s="62">
        <f t="shared" si="143"/>
        <v>0</v>
      </c>
      <c r="BN63" s="62">
        <f t="shared" si="143"/>
        <v>0</v>
      </c>
      <c r="BO63" s="62">
        <f aca="true" t="shared" si="144" ref="BO63:CI63">BO7+BO8+BO17</f>
        <v>0</v>
      </c>
      <c r="BP63" s="62">
        <f t="shared" si="144"/>
        <v>0</v>
      </c>
      <c r="BQ63" s="62">
        <f t="shared" si="144"/>
        <v>0</v>
      </c>
      <c r="BR63" s="62">
        <f t="shared" si="144"/>
        <v>0</v>
      </c>
      <c r="BS63" s="62">
        <f t="shared" si="144"/>
        <v>0</v>
      </c>
      <c r="BT63" s="62">
        <f t="shared" si="144"/>
        <v>859087.77</v>
      </c>
      <c r="BU63" s="62">
        <f t="shared" si="144"/>
        <v>95000</v>
      </c>
      <c r="BV63" s="62">
        <f t="shared" si="144"/>
        <v>0</v>
      </c>
      <c r="BW63" s="62">
        <f t="shared" si="144"/>
        <v>32307.5</v>
      </c>
      <c r="BX63" s="62">
        <f t="shared" si="144"/>
        <v>986395.27</v>
      </c>
      <c r="BY63" s="62">
        <f t="shared" si="144"/>
        <v>416571.65</v>
      </c>
      <c r="BZ63" s="62">
        <f t="shared" si="144"/>
        <v>0</v>
      </c>
      <c r="CA63" s="62">
        <f t="shared" si="144"/>
        <v>569823.62</v>
      </c>
      <c r="CB63" s="62">
        <f t="shared" si="144"/>
        <v>986395.27</v>
      </c>
      <c r="CC63" s="62">
        <f t="shared" si="144"/>
        <v>0</v>
      </c>
      <c r="CD63" s="62">
        <f t="shared" si="144"/>
        <v>-10724.899999999998</v>
      </c>
      <c r="CE63" s="62">
        <f t="shared" si="144"/>
        <v>-10724.899999999998</v>
      </c>
      <c r="CF63" s="62">
        <f t="shared" si="144"/>
        <v>0</v>
      </c>
      <c r="CG63" s="62">
        <f t="shared" si="144"/>
        <v>399934.45</v>
      </c>
      <c r="CH63" s="62">
        <f t="shared" si="144"/>
        <v>-6093.1</v>
      </c>
      <c r="CI63" s="62">
        <f t="shared" si="144"/>
        <v>-6093.1</v>
      </c>
      <c r="CJ63" s="153" t="e">
        <f t="shared" si="110"/>
        <v>#DIV/0!</v>
      </c>
      <c r="CK63" s="153" t="e">
        <f t="shared" si="111"/>
        <v>#DIV/0!</v>
      </c>
      <c r="CL63" s="154">
        <f t="shared" si="112"/>
        <v>-0.026816644577630153</v>
      </c>
      <c r="CM63" s="154">
        <f t="shared" si="113"/>
        <v>-0.026816644577630153</v>
      </c>
      <c r="CN63" s="154">
        <f t="shared" si="114"/>
        <v>-0.015235246676049039</v>
      </c>
      <c r="CO63" s="154">
        <f t="shared" si="115"/>
        <v>-0.015235246676049039</v>
      </c>
      <c r="CP63" s="154">
        <f t="shared" si="116"/>
        <v>0</v>
      </c>
      <c r="CQ63" s="154">
        <f t="shared" si="117"/>
        <v>0</v>
      </c>
      <c r="CR63" s="155">
        <f t="shared" si="118"/>
        <v>-41.26062900353384</v>
      </c>
      <c r="CS63" s="156">
        <f t="shared" si="119"/>
        <v>442516.12</v>
      </c>
      <c r="CT63" s="156">
        <f t="shared" si="120"/>
        <v>410659.35</v>
      </c>
      <c r="CU63" s="156">
        <f t="shared" si="121"/>
        <v>399934.45</v>
      </c>
      <c r="CV63" s="156">
        <f t="shared" si="122"/>
        <v>-10724.899999999965</v>
      </c>
      <c r="CW63" s="156">
        <f t="shared" si="123"/>
        <v>0</v>
      </c>
      <c r="CX63" s="156">
        <f t="shared" si="124"/>
        <v>-10724.899999999965</v>
      </c>
      <c r="CY63" s="156">
        <f t="shared" si="125"/>
        <v>-10724.899999999965</v>
      </c>
      <c r="CZ63" s="156">
        <f t="shared" si="126"/>
        <v>0</v>
      </c>
      <c r="DA63" s="156">
        <f t="shared" si="127"/>
        <v>0</v>
      </c>
      <c r="DB63" s="156">
        <f t="shared" si="128"/>
        <v>-10724.899999999965</v>
      </c>
      <c r="DC63" s="156">
        <f t="shared" si="129"/>
        <v>-10724.899999999965</v>
      </c>
      <c r="DD63" s="156">
        <f t="shared" si="130"/>
        <v>0</v>
      </c>
      <c r="DE63" s="156">
        <f t="shared" si="131"/>
        <v>-10724.899999999965</v>
      </c>
      <c r="DF63" s="156">
        <f t="shared" si="132"/>
        <v>290153.55</v>
      </c>
      <c r="DG63" s="156">
        <f t="shared" si="133"/>
        <v>246.93979910714285</v>
      </c>
      <c r="DH63" s="156">
        <f t="shared" si="134"/>
        <v>-3.400167410714286</v>
      </c>
      <c r="DI63" s="156">
        <f t="shared" si="135"/>
        <v>161.9160435267857</v>
      </c>
      <c r="DJ63" s="157">
        <f t="shared" si="136"/>
        <v>0</v>
      </c>
      <c r="DK63" s="156">
        <f t="shared" si="137"/>
        <v>-5.984877232142837</v>
      </c>
      <c r="DL63" s="158">
        <f t="shared" si="138"/>
        <v>442516.12</v>
      </c>
    </row>
    <row r="64" spans="1:116" ht="12.75">
      <c r="A64" s="3" t="s">
        <v>246</v>
      </c>
      <c r="B64" s="62">
        <f>B3+B5+B6+B12+B13+B14+B15+B16+B18+B23+B28++B29+B30+B31</f>
        <v>8866</v>
      </c>
      <c r="C64" s="62">
        <f>C3+C5+C6+C12+C13+C14+C15+C16+C18+C23+C28++C29+C30+C31</f>
        <v>29866871</v>
      </c>
      <c r="D64" s="62">
        <f>(D3+D5+D6+D12+D13+D14+D15+D16+D18+D23+D28+D29+D30+D31)/14</f>
        <v>2953.7714285714283</v>
      </c>
      <c r="E64" s="62">
        <f>(E3+E5+E6+E12+E13+E14+E15+E16+E18+E23+E28+E29+E30+E31)/14</f>
        <v>89.05285714285716</v>
      </c>
      <c r="F64" s="62">
        <f>(F3+F5+F6+F12+F13+F14+F15+F16+F18+F23+F28+F29+F30+F31)/14</f>
        <v>2.9285714285714284</v>
      </c>
      <c r="G64" s="62">
        <f>G3+G5+G6+G12+G13+G14+G15+G16+G18+G23+G28+G29+G30+G31</f>
        <v>218886.20000000004</v>
      </c>
      <c r="H64" s="62">
        <f aca="true" t="shared" si="145" ref="H64:BS64">H3+H5+H6+H12+H13+H14+H15+H16+H18+H23+H28+H29+H30+H31</f>
        <v>366864.4</v>
      </c>
      <c r="I64" s="62">
        <f t="shared" si="145"/>
        <v>5874.9</v>
      </c>
      <c r="J64" s="62">
        <f t="shared" si="145"/>
        <v>0</v>
      </c>
      <c r="K64" s="62">
        <f t="shared" si="145"/>
        <v>0</v>
      </c>
      <c r="L64" s="62">
        <f t="shared" si="145"/>
        <v>0</v>
      </c>
      <c r="M64" s="62">
        <f t="shared" si="145"/>
        <v>0</v>
      </c>
      <c r="N64" s="62">
        <f t="shared" si="145"/>
        <v>602200.15</v>
      </c>
      <c r="O64" s="62">
        <f t="shared" si="145"/>
        <v>37734.75</v>
      </c>
      <c r="P64" s="62">
        <f t="shared" si="145"/>
        <v>1353083.1</v>
      </c>
      <c r="Q64" s="62">
        <f t="shared" si="145"/>
        <v>0</v>
      </c>
      <c r="R64" s="62">
        <f t="shared" si="145"/>
        <v>0</v>
      </c>
      <c r="S64" s="62">
        <f t="shared" si="145"/>
        <v>0</v>
      </c>
      <c r="T64" s="62">
        <f t="shared" si="145"/>
        <v>0</v>
      </c>
      <c r="U64" s="62">
        <f t="shared" si="145"/>
        <v>0</v>
      </c>
      <c r="V64" s="62">
        <f t="shared" si="145"/>
        <v>0</v>
      </c>
      <c r="W64" s="62">
        <f t="shared" si="145"/>
        <v>0</v>
      </c>
      <c r="X64" s="62">
        <f t="shared" si="145"/>
        <v>0</v>
      </c>
      <c r="Y64" s="62">
        <f t="shared" si="145"/>
        <v>2584643.5</v>
      </c>
      <c r="Z64" s="62">
        <f t="shared" si="145"/>
        <v>1579690.75</v>
      </c>
      <c r="AA64" s="62">
        <f t="shared" si="145"/>
        <v>57417.35</v>
      </c>
      <c r="AB64" s="62">
        <f t="shared" si="145"/>
        <v>0</v>
      </c>
      <c r="AC64" s="62">
        <f t="shared" si="145"/>
        <v>138565.05</v>
      </c>
      <c r="AD64" s="62">
        <f t="shared" si="145"/>
        <v>0</v>
      </c>
      <c r="AE64" s="62">
        <f t="shared" si="145"/>
        <v>1775673.1500000001</v>
      </c>
      <c r="AF64" s="62">
        <f t="shared" si="145"/>
        <v>0</v>
      </c>
      <c r="AG64" s="62">
        <f t="shared" si="145"/>
        <v>182483.59999999998</v>
      </c>
      <c r="AH64" s="62">
        <f t="shared" si="145"/>
        <v>0</v>
      </c>
      <c r="AI64" s="62">
        <f t="shared" si="145"/>
        <v>412616.5999999999</v>
      </c>
      <c r="AJ64" s="62">
        <f t="shared" si="145"/>
        <v>0</v>
      </c>
      <c r="AK64" s="62">
        <f t="shared" si="145"/>
        <v>14250</v>
      </c>
      <c r="AL64" s="62">
        <f t="shared" si="145"/>
        <v>15076.25</v>
      </c>
      <c r="AM64" s="62">
        <f t="shared" si="145"/>
        <v>0</v>
      </c>
      <c r="AN64" s="62">
        <f t="shared" si="145"/>
        <v>0</v>
      </c>
      <c r="AO64" s="62">
        <f t="shared" si="145"/>
        <v>0</v>
      </c>
      <c r="AP64" s="62">
        <f t="shared" si="145"/>
        <v>0</v>
      </c>
      <c r="AQ64" s="62">
        <f t="shared" si="145"/>
        <v>0</v>
      </c>
      <c r="AR64" s="62">
        <f t="shared" si="145"/>
        <v>0</v>
      </c>
      <c r="AS64" s="62">
        <f t="shared" si="145"/>
        <v>0</v>
      </c>
      <c r="AT64" s="62">
        <f t="shared" si="145"/>
        <v>0</v>
      </c>
      <c r="AU64" s="62">
        <f t="shared" si="145"/>
        <v>2400099.6</v>
      </c>
      <c r="AV64" s="62">
        <f t="shared" si="145"/>
        <v>69754.45</v>
      </c>
      <c r="AW64" s="62">
        <f t="shared" si="145"/>
        <v>254298.35</v>
      </c>
      <c r="AX64" s="62">
        <f t="shared" si="145"/>
        <v>-1.5052137314341962E-10</v>
      </c>
      <c r="AY64" s="62">
        <f t="shared" si="145"/>
        <v>0</v>
      </c>
      <c r="AZ64" s="62">
        <f t="shared" si="145"/>
        <v>0</v>
      </c>
      <c r="BA64" s="62">
        <f t="shared" si="145"/>
        <v>0</v>
      </c>
      <c r="BB64" s="62">
        <f t="shared" si="145"/>
        <v>0</v>
      </c>
      <c r="BC64" s="62">
        <f t="shared" si="145"/>
        <v>0</v>
      </c>
      <c r="BD64" s="62">
        <f t="shared" si="145"/>
        <v>0</v>
      </c>
      <c r="BE64" s="62">
        <f t="shared" si="145"/>
        <v>0</v>
      </c>
      <c r="BF64" s="62">
        <f t="shared" si="145"/>
        <v>0</v>
      </c>
      <c r="BG64" s="62">
        <f t="shared" si="145"/>
        <v>0</v>
      </c>
      <c r="BH64" s="62">
        <f t="shared" si="145"/>
        <v>0</v>
      </c>
      <c r="BI64" s="62">
        <f t="shared" si="145"/>
        <v>0</v>
      </c>
      <c r="BJ64" s="62">
        <f t="shared" si="145"/>
        <v>0</v>
      </c>
      <c r="BK64" s="62">
        <f t="shared" si="145"/>
        <v>0</v>
      </c>
      <c r="BL64" s="62">
        <f t="shared" si="145"/>
        <v>0</v>
      </c>
      <c r="BM64" s="62">
        <f t="shared" si="145"/>
        <v>0</v>
      </c>
      <c r="BN64" s="62">
        <f t="shared" si="145"/>
        <v>0</v>
      </c>
      <c r="BO64" s="62">
        <f t="shared" si="145"/>
        <v>0</v>
      </c>
      <c r="BP64" s="62">
        <f t="shared" si="145"/>
        <v>0</v>
      </c>
      <c r="BQ64" s="62">
        <f t="shared" si="145"/>
        <v>0</v>
      </c>
      <c r="BR64" s="62">
        <f t="shared" si="145"/>
        <v>0</v>
      </c>
      <c r="BS64" s="62">
        <f t="shared" si="145"/>
        <v>0</v>
      </c>
      <c r="BT64" s="62">
        <f aca="true" t="shared" si="146" ref="BT64:CI64">BT3+BT5+BT6+BT12+BT13+BT14+BT15+BT16+BT18+BT23+BT28+BT29+BT30+BT31</f>
        <v>5769928.74</v>
      </c>
      <c r="BU64" s="62">
        <f t="shared" si="146"/>
        <v>5001</v>
      </c>
      <c r="BV64" s="62">
        <f t="shared" si="146"/>
        <v>0</v>
      </c>
      <c r="BW64" s="62">
        <f t="shared" si="146"/>
        <v>0</v>
      </c>
      <c r="BX64" s="62">
        <f t="shared" si="146"/>
        <v>5774929.74</v>
      </c>
      <c r="BY64" s="62">
        <f t="shared" si="146"/>
        <v>1253520.5</v>
      </c>
      <c r="BZ64" s="62">
        <f t="shared" si="146"/>
        <v>0</v>
      </c>
      <c r="CA64" s="62">
        <f t="shared" si="146"/>
        <v>4521409.24</v>
      </c>
      <c r="CB64" s="62">
        <f t="shared" si="146"/>
        <v>5774929.74</v>
      </c>
      <c r="CC64" s="62">
        <f t="shared" si="146"/>
        <v>0</v>
      </c>
      <c r="CD64" s="62">
        <f t="shared" si="146"/>
        <v>-184543.9</v>
      </c>
      <c r="CE64" s="62">
        <f t="shared" si="146"/>
        <v>-184543.9</v>
      </c>
      <c r="CF64" s="62">
        <f t="shared" si="146"/>
        <v>0</v>
      </c>
      <c r="CG64" s="62">
        <f t="shared" si="146"/>
        <v>2400099.6</v>
      </c>
      <c r="CH64" s="62">
        <f t="shared" si="146"/>
        <v>-176608.7</v>
      </c>
      <c r="CI64" s="62">
        <f t="shared" si="146"/>
        <v>-176608.7</v>
      </c>
      <c r="CJ64" s="153" t="e">
        <f t="shared" si="110"/>
        <v>#DIV/0!</v>
      </c>
      <c r="CK64" s="153" t="e">
        <f t="shared" si="111"/>
        <v>#DIV/0!</v>
      </c>
      <c r="CL64" s="154">
        <f t="shared" si="112"/>
        <v>-0.07689010072748648</v>
      </c>
      <c r="CM64" s="154">
        <f t="shared" si="113"/>
        <v>-0.07689010072748648</v>
      </c>
      <c r="CN64" s="154">
        <f t="shared" si="114"/>
        <v>-0.07358390460129238</v>
      </c>
      <c r="CO64" s="154">
        <f t="shared" si="115"/>
        <v>-0.07358390460129238</v>
      </c>
      <c r="CP64" s="154">
        <f t="shared" si="116"/>
        <v>0</v>
      </c>
      <c r="CQ64" s="154">
        <f t="shared" si="117"/>
        <v>0</v>
      </c>
      <c r="CR64" s="155">
        <f t="shared" si="118"/>
        <v>-24.473354253378197</v>
      </c>
      <c r="CS64" s="156">
        <f t="shared" si="119"/>
        <v>4516408.24</v>
      </c>
      <c r="CT64" s="156">
        <f t="shared" si="120"/>
        <v>2584643.5</v>
      </c>
      <c r="CU64" s="156">
        <f t="shared" si="121"/>
        <v>2400099.6</v>
      </c>
      <c r="CV64" s="156">
        <f t="shared" si="122"/>
        <v>-184543.8999999999</v>
      </c>
      <c r="CW64" s="156">
        <f t="shared" si="123"/>
        <v>0</v>
      </c>
      <c r="CX64" s="156">
        <f t="shared" si="124"/>
        <v>-184543.8999999999</v>
      </c>
      <c r="CY64" s="156">
        <f t="shared" si="125"/>
        <v>-184543.8999999999</v>
      </c>
      <c r="CZ64" s="156">
        <f t="shared" si="126"/>
        <v>0</v>
      </c>
      <c r="DA64" s="156">
        <f t="shared" si="127"/>
        <v>0</v>
      </c>
      <c r="DB64" s="156">
        <f t="shared" si="128"/>
        <v>-184543.8999999999</v>
      </c>
      <c r="DC64" s="156">
        <f t="shared" si="129"/>
        <v>-184543.8999999999</v>
      </c>
      <c r="DD64" s="156">
        <f t="shared" si="130"/>
        <v>0</v>
      </c>
      <c r="DE64" s="156">
        <f t="shared" si="131"/>
        <v>-184543.8999999999</v>
      </c>
      <c r="DF64" s="156">
        <f t="shared" si="132"/>
        <v>1637108.1</v>
      </c>
      <c r="DG64" s="156">
        <f t="shared" si="133"/>
        <v>509.4076517031356</v>
      </c>
      <c r="DH64" s="156">
        <f t="shared" si="134"/>
        <v>-19.919772163320552</v>
      </c>
      <c r="DI64" s="156">
        <f t="shared" si="135"/>
        <v>184.65013534852247</v>
      </c>
      <c r="DJ64" s="157">
        <f t="shared" si="136"/>
        <v>0</v>
      </c>
      <c r="DK64" s="156">
        <f t="shared" si="137"/>
        <v>-20.81478682607714</v>
      </c>
      <c r="DL64" s="158">
        <f t="shared" si="138"/>
        <v>4516408.24</v>
      </c>
    </row>
    <row r="65" spans="1:116" ht="12.75">
      <c r="A65" s="3" t="s">
        <v>236</v>
      </c>
      <c r="B65" s="62">
        <f>SUM(B60:B64)</f>
        <v>38207</v>
      </c>
      <c r="C65" s="62">
        <f aca="true" t="shared" si="147" ref="C65:BN65">SUM(C60:C64)</f>
        <v>126728843</v>
      </c>
      <c r="D65" s="62">
        <f>MEDIAN(D60:D64)</f>
        <v>2953.7714285714283</v>
      </c>
      <c r="E65" s="62">
        <f>MEDIAN(E60:E64)</f>
        <v>89.05285714285716</v>
      </c>
      <c r="F65" s="62">
        <f>MEDIAN(F60:F64)</f>
        <v>2.9285714285714284</v>
      </c>
      <c r="G65" s="62">
        <f t="shared" si="147"/>
        <v>946790.55</v>
      </c>
      <c r="H65" s="62">
        <f t="shared" si="147"/>
        <v>588586.3</v>
      </c>
      <c r="I65" s="62">
        <f t="shared" si="147"/>
        <v>64856.15</v>
      </c>
      <c r="J65" s="62">
        <f t="shared" si="147"/>
        <v>26462</v>
      </c>
      <c r="K65" s="62">
        <f t="shared" si="147"/>
        <v>1350.0000000000002</v>
      </c>
      <c r="L65" s="62">
        <f t="shared" si="147"/>
        <v>0</v>
      </c>
      <c r="M65" s="62">
        <f t="shared" si="147"/>
        <v>1350.0000000000002</v>
      </c>
      <c r="N65" s="62">
        <f t="shared" si="147"/>
        <v>602200.15</v>
      </c>
      <c r="O65" s="62">
        <f t="shared" si="147"/>
        <v>56215.2</v>
      </c>
      <c r="P65" s="62">
        <f t="shared" si="147"/>
        <v>10944260.4</v>
      </c>
      <c r="Q65" s="62">
        <f t="shared" si="147"/>
        <v>0</v>
      </c>
      <c r="R65" s="62">
        <f t="shared" si="147"/>
        <v>0</v>
      </c>
      <c r="S65" s="62">
        <f t="shared" si="147"/>
        <v>0</v>
      </c>
      <c r="T65" s="62">
        <f t="shared" si="147"/>
        <v>0</v>
      </c>
      <c r="U65" s="62">
        <f t="shared" si="147"/>
        <v>0</v>
      </c>
      <c r="V65" s="62">
        <f t="shared" si="147"/>
        <v>0</v>
      </c>
      <c r="W65" s="62">
        <f t="shared" si="147"/>
        <v>0</v>
      </c>
      <c r="X65" s="62">
        <f t="shared" si="147"/>
        <v>50813.7</v>
      </c>
      <c r="Y65" s="62">
        <f t="shared" si="147"/>
        <v>13281534.450000001</v>
      </c>
      <c r="Z65" s="62">
        <f t="shared" si="147"/>
        <v>5603253.15</v>
      </c>
      <c r="AA65" s="62">
        <f t="shared" si="147"/>
        <v>430949.10000000003</v>
      </c>
      <c r="AB65" s="62">
        <f t="shared" si="147"/>
        <v>0</v>
      </c>
      <c r="AC65" s="62">
        <f t="shared" si="147"/>
        <v>625995.55</v>
      </c>
      <c r="AD65" s="62">
        <f t="shared" si="147"/>
        <v>0</v>
      </c>
      <c r="AE65" s="62">
        <f t="shared" si="147"/>
        <v>6660197.800000001</v>
      </c>
      <c r="AF65" s="62">
        <f t="shared" si="147"/>
        <v>50000</v>
      </c>
      <c r="AG65" s="62">
        <f t="shared" si="147"/>
        <v>386389.69999999995</v>
      </c>
      <c r="AH65" s="62">
        <f t="shared" si="147"/>
        <v>18595.65</v>
      </c>
      <c r="AI65" s="62">
        <f t="shared" si="147"/>
        <v>5018878.82</v>
      </c>
      <c r="AJ65" s="62">
        <f t="shared" si="147"/>
        <v>6080</v>
      </c>
      <c r="AK65" s="62">
        <f t="shared" si="147"/>
        <v>157257.35</v>
      </c>
      <c r="AL65" s="62">
        <f t="shared" si="147"/>
        <v>123048.15</v>
      </c>
      <c r="AM65" s="62">
        <f t="shared" si="147"/>
        <v>0</v>
      </c>
      <c r="AN65" s="62">
        <f t="shared" si="147"/>
        <v>0</v>
      </c>
      <c r="AO65" s="62">
        <f t="shared" si="147"/>
        <v>0</v>
      </c>
      <c r="AP65" s="62">
        <f t="shared" si="147"/>
        <v>0</v>
      </c>
      <c r="AQ65" s="62">
        <f t="shared" si="147"/>
        <v>0</v>
      </c>
      <c r="AR65" s="62">
        <f t="shared" si="147"/>
        <v>0</v>
      </c>
      <c r="AS65" s="62">
        <f t="shared" si="147"/>
        <v>0</v>
      </c>
      <c r="AT65" s="62">
        <f t="shared" si="147"/>
        <v>50813.7</v>
      </c>
      <c r="AU65" s="62">
        <f t="shared" si="147"/>
        <v>12452665.519999998</v>
      </c>
      <c r="AV65" s="62">
        <f t="shared" si="147"/>
        <v>547980.87</v>
      </c>
      <c r="AW65" s="62">
        <f t="shared" si="147"/>
        <v>1376849.9000000001</v>
      </c>
      <c r="AX65" s="62">
        <f t="shared" si="147"/>
        <v>-0.09999999968613338</v>
      </c>
      <c r="AY65" s="62">
        <f t="shared" si="147"/>
        <v>46153.05</v>
      </c>
      <c r="AZ65" s="62">
        <f t="shared" si="147"/>
        <v>0</v>
      </c>
      <c r="BA65" s="62">
        <f t="shared" si="147"/>
        <v>0</v>
      </c>
      <c r="BB65" s="62">
        <f t="shared" si="147"/>
        <v>0</v>
      </c>
      <c r="BC65" s="62">
        <f t="shared" si="147"/>
        <v>0</v>
      </c>
      <c r="BD65" s="62">
        <f t="shared" si="147"/>
        <v>0</v>
      </c>
      <c r="BE65" s="62">
        <f t="shared" si="147"/>
        <v>0</v>
      </c>
      <c r="BF65" s="62">
        <f t="shared" si="147"/>
        <v>0</v>
      </c>
      <c r="BG65" s="62">
        <f t="shared" si="147"/>
        <v>0</v>
      </c>
      <c r="BH65" s="62">
        <f t="shared" si="147"/>
        <v>0</v>
      </c>
      <c r="BI65" s="62">
        <f t="shared" si="147"/>
        <v>0</v>
      </c>
      <c r="BJ65" s="62">
        <f t="shared" si="147"/>
        <v>0</v>
      </c>
      <c r="BK65" s="62">
        <f t="shared" si="147"/>
        <v>0</v>
      </c>
      <c r="BL65" s="62">
        <f t="shared" si="147"/>
        <v>0</v>
      </c>
      <c r="BM65" s="62">
        <f t="shared" si="147"/>
        <v>0</v>
      </c>
      <c r="BN65" s="62">
        <f t="shared" si="147"/>
        <v>0</v>
      </c>
      <c r="BO65" s="62">
        <f aca="true" t="shared" si="148" ref="BO65:CI65">SUM(BO60:BO64)</f>
        <v>0</v>
      </c>
      <c r="BP65" s="62">
        <f t="shared" si="148"/>
        <v>0</v>
      </c>
      <c r="BQ65" s="62">
        <f t="shared" si="148"/>
        <v>0</v>
      </c>
      <c r="BR65" s="62">
        <f t="shared" si="148"/>
        <v>0</v>
      </c>
      <c r="BS65" s="62">
        <f t="shared" si="148"/>
        <v>0</v>
      </c>
      <c r="BT65" s="62">
        <f t="shared" si="148"/>
        <v>16193973.08</v>
      </c>
      <c r="BU65" s="62">
        <f t="shared" si="148"/>
        <v>105427</v>
      </c>
      <c r="BV65" s="62">
        <f t="shared" si="148"/>
        <v>0</v>
      </c>
      <c r="BW65" s="62">
        <f t="shared" si="148"/>
        <v>187510.01</v>
      </c>
      <c r="BX65" s="62">
        <f t="shared" si="148"/>
        <v>16486910.09</v>
      </c>
      <c r="BY65" s="62">
        <f t="shared" si="148"/>
        <v>4686046.92</v>
      </c>
      <c r="BZ65" s="62">
        <f t="shared" si="148"/>
        <v>20000</v>
      </c>
      <c r="CA65" s="62">
        <f t="shared" si="148"/>
        <v>11780863.17</v>
      </c>
      <c r="CB65" s="62">
        <f t="shared" si="148"/>
        <v>16486910.09</v>
      </c>
      <c r="CC65" s="62">
        <f t="shared" si="148"/>
        <v>0</v>
      </c>
      <c r="CD65" s="62">
        <f t="shared" si="148"/>
        <v>-827519.03</v>
      </c>
      <c r="CE65" s="62">
        <f t="shared" si="148"/>
        <v>-827519.03</v>
      </c>
      <c r="CF65" s="62">
        <f t="shared" si="148"/>
        <v>0</v>
      </c>
      <c r="CG65" s="62">
        <f t="shared" si="148"/>
        <v>12401851.819999998</v>
      </c>
      <c r="CH65" s="62">
        <f t="shared" si="148"/>
        <v>-256784.85</v>
      </c>
      <c r="CI65" s="62">
        <f t="shared" si="148"/>
        <v>-255434.85</v>
      </c>
      <c r="CJ65" s="153" t="e">
        <f t="shared" si="110"/>
        <v>#DIV/0!</v>
      </c>
      <c r="CK65" s="153" t="e">
        <f t="shared" si="111"/>
        <v>#DIV/0!</v>
      </c>
      <c r="CL65" s="154">
        <f t="shared" si="112"/>
        <v>-0.06672544084630098</v>
      </c>
      <c r="CM65" s="154">
        <f t="shared" si="113"/>
        <v>-0.06672544084630098</v>
      </c>
      <c r="CN65" s="154">
        <f t="shared" si="114"/>
        <v>-0.02070536349949713</v>
      </c>
      <c r="CO65" s="154">
        <f t="shared" si="115"/>
        <v>-0.0205965087881529</v>
      </c>
      <c r="CP65" s="154">
        <f t="shared" si="116"/>
        <v>0.012643172218736247</v>
      </c>
      <c r="CQ65" s="154">
        <f t="shared" si="117"/>
        <v>0.012643172218736247</v>
      </c>
      <c r="CR65" s="155">
        <f t="shared" si="118"/>
        <v>-13.906539599457911</v>
      </c>
      <c r="CS65" s="156">
        <f t="shared" si="119"/>
        <v>11507926.16</v>
      </c>
      <c r="CT65" s="156">
        <f t="shared" si="120"/>
        <v>13280184.450000001</v>
      </c>
      <c r="CU65" s="156">
        <f t="shared" si="121"/>
        <v>12452665.519999998</v>
      </c>
      <c r="CV65" s="156">
        <f t="shared" si="122"/>
        <v>-827518.9300000034</v>
      </c>
      <c r="CW65" s="156">
        <f t="shared" si="123"/>
        <v>0</v>
      </c>
      <c r="CX65" s="156">
        <f t="shared" si="124"/>
        <v>-827518.9300000034</v>
      </c>
      <c r="CY65" s="156">
        <f t="shared" si="125"/>
        <v>-828868.9300000034</v>
      </c>
      <c r="CZ65" s="156">
        <f t="shared" si="126"/>
        <v>0</v>
      </c>
      <c r="DA65" s="156">
        <f t="shared" si="127"/>
        <v>1350.0000000000002</v>
      </c>
      <c r="DB65" s="156">
        <f t="shared" si="128"/>
        <v>-827518.9300000034</v>
      </c>
      <c r="DC65" s="156">
        <f t="shared" si="129"/>
        <v>-827518.9300000034</v>
      </c>
      <c r="DD65" s="156">
        <f t="shared" si="130"/>
        <v>-1350.0000000000002</v>
      </c>
      <c r="DE65" s="156">
        <f t="shared" si="131"/>
        <v>-828868.9300000034</v>
      </c>
      <c r="DF65" s="156">
        <f t="shared" si="132"/>
        <v>6034202.25</v>
      </c>
      <c r="DG65" s="156">
        <f t="shared" si="133"/>
        <v>301.19941790771327</v>
      </c>
      <c r="DH65" s="156">
        <f t="shared" si="134"/>
        <v>-6.720884916376581</v>
      </c>
      <c r="DI65" s="156">
        <f t="shared" si="135"/>
        <v>157.93446881461512</v>
      </c>
      <c r="DJ65" s="157">
        <f t="shared" si="136"/>
        <v>0</v>
      </c>
      <c r="DK65" s="156">
        <f t="shared" si="137"/>
        <v>-21.65883031905157</v>
      </c>
      <c r="DL65" s="158">
        <f t="shared" si="138"/>
        <v>11487926.16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2000</oddHeader>
    <oddFooter>&amp;L&amp;8BHP Bern&amp;R&amp;8&amp;F/&amp;A/&amp;Pvon &amp;N</oddFooter>
  </headerFooter>
  <colBreaks count="3" manualBreakCount="3">
    <brk id="12" max="65535" man="1"/>
    <brk id="21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DO65"/>
  <sheetViews>
    <sheetView workbookViewId="0" topLeftCell="A1">
      <pane xSplit="6" ySplit="2" topLeftCell="DB3" activePane="bottomRight" state="frozen"/>
      <selection pane="topLeft" activeCell="N5" sqref="N5"/>
      <selection pane="topRight" activeCell="N5" sqref="N5"/>
      <selection pane="bottomLeft" activeCell="N5" sqref="N5"/>
      <selection pane="bottomRight" activeCell="DC2" sqref="DC2:DC65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48"/>
      <c r="B1" s="23" t="s">
        <v>199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137</v>
      </c>
      <c r="BG1" s="21"/>
      <c r="BH1" s="21"/>
      <c r="BI1" s="21"/>
      <c r="BJ1" s="21"/>
      <c r="BK1" s="21"/>
      <c r="BL1" s="21" t="s">
        <v>137</v>
      </c>
      <c r="BM1" s="21"/>
      <c r="BN1" s="21"/>
      <c r="BO1" s="21"/>
      <c r="BP1" s="21"/>
      <c r="BQ1" s="21" t="s">
        <v>137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</row>
    <row r="2" spans="1:118" s="1" customFormat="1" ht="89.25" customHeight="1">
      <c r="A2" s="49"/>
      <c r="B2" s="40" t="s">
        <v>66</v>
      </c>
      <c r="C2" s="20" t="s">
        <v>37</v>
      </c>
      <c r="D2" s="20" t="s">
        <v>68</v>
      </c>
      <c r="E2" s="20" t="s">
        <v>52</v>
      </c>
      <c r="F2" s="133" t="s">
        <v>248</v>
      </c>
      <c r="G2" s="128" t="s">
        <v>75</v>
      </c>
      <c r="H2" s="54" t="s">
        <v>76</v>
      </c>
      <c r="I2" s="54" t="s">
        <v>77</v>
      </c>
      <c r="J2" s="54" t="s">
        <v>78</v>
      </c>
      <c r="K2" s="54" t="s">
        <v>79</v>
      </c>
      <c r="L2" s="54" t="s">
        <v>80</v>
      </c>
      <c r="M2" s="54" t="s">
        <v>81</v>
      </c>
      <c r="N2" s="54" t="s">
        <v>82</v>
      </c>
      <c r="O2" s="54" t="s">
        <v>83</v>
      </c>
      <c r="P2" s="54" t="s">
        <v>84</v>
      </c>
      <c r="Q2" s="54" t="s">
        <v>85</v>
      </c>
      <c r="R2" s="54" t="s">
        <v>86</v>
      </c>
      <c r="S2" s="54" t="s">
        <v>87</v>
      </c>
      <c r="T2" s="54" t="s">
        <v>88</v>
      </c>
      <c r="U2" s="54" t="s">
        <v>89</v>
      </c>
      <c r="V2" s="54" t="s">
        <v>90</v>
      </c>
      <c r="W2" s="54" t="s">
        <v>91</v>
      </c>
      <c r="X2" s="54" t="s">
        <v>92</v>
      </c>
      <c r="Y2" s="54" t="s">
        <v>93</v>
      </c>
      <c r="Z2" s="54" t="s">
        <v>94</v>
      </c>
      <c r="AA2" s="54" t="s">
        <v>95</v>
      </c>
      <c r="AB2" s="54" t="s">
        <v>96</v>
      </c>
      <c r="AC2" s="54" t="s">
        <v>213</v>
      </c>
      <c r="AD2" s="54" t="s">
        <v>97</v>
      </c>
      <c r="AE2" s="54" t="s">
        <v>98</v>
      </c>
      <c r="AF2" s="54" t="s">
        <v>99</v>
      </c>
      <c r="AG2" s="54" t="s">
        <v>100</v>
      </c>
      <c r="AH2" s="54" t="s">
        <v>101</v>
      </c>
      <c r="AI2" s="54" t="s">
        <v>102</v>
      </c>
      <c r="AJ2" s="54" t="s">
        <v>103</v>
      </c>
      <c r="AK2" s="54" t="s">
        <v>104</v>
      </c>
      <c r="AL2" s="54" t="s">
        <v>105</v>
      </c>
      <c r="AM2" s="54" t="s">
        <v>106</v>
      </c>
      <c r="AN2" s="36" t="s">
        <v>107</v>
      </c>
      <c r="AO2" s="36" t="s">
        <v>108</v>
      </c>
      <c r="AP2" s="36" t="s">
        <v>109</v>
      </c>
      <c r="AQ2" s="36" t="s">
        <v>110</v>
      </c>
      <c r="AR2" s="36" t="s">
        <v>111</v>
      </c>
      <c r="AS2" s="36" t="s">
        <v>112</v>
      </c>
      <c r="AT2" s="36" t="s">
        <v>113</v>
      </c>
      <c r="AU2" s="36" t="s">
        <v>114</v>
      </c>
      <c r="AV2" s="36" t="s">
        <v>115</v>
      </c>
      <c r="AW2" s="36" t="s">
        <v>116</v>
      </c>
      <c r="AX2" s="36" t="s">
        <v>117</v>
      </c>
      <c r="AY2" s="54" t="s">
        <v>138</v>
      </c>
      <c r="AZ2" s="54" t="s">
        <v>118</v>
      </c>
      <c r="BA2" s="54" t="s">
        <v>119</v>
      </c>
      <c r="BB2" s="54" t="s">
        <v>120</v>
      </c>
      <c r="BC2" s="54" t="s">
        <v>121</v>
      </c>
      <c r="BD2" s="54" t="s">
        <v>122</v>
      </c>
      <c r="BE2" s="54" t="s">
        <v>123</v>
      </c>
      <c r="BF2" s="54" t="s">
        <v>124</v>
      </c>
      <c r="BG2" s="54" t="s">
        <v>125</v>
      </c>
      <c r="BH2" s="54" t="s">
        <v>126</v>
      </c>
      <c r="BI2" s="54" t="s">
        <v>127</v>
      </c>
      <c r="BJ2" s="54" t="s">
        <v>128</v>
      </c>
      <c r="BK2" s="54" t="s">
        <v>129</v>
      </c>
      <c r="BL2" s="54" t="s">
        <v>131</v>
      </c>
      <c r="BM2" s="54" t="s">
        <v>130</v>
      </c>
      <c r="BN2" s="54" t="s">
        <v>132</v>
      </c>
      <c r="BO2" s="54" t="s">
        <v>133</v>
      </c>
      <c r="BP2" s="54" t="s">
        <v>134</v>
      </c>
      <c r="BQ2" s="54" t="s">
        <v>135</v>
      </c>
      <c r="BR2" s="54" t="s">
        <v>136</v>
      </c>
      <c r="BS2" s="54" t="s">
        <v>117</v>
      </c>
      <c r="BT2" s="36" t="s">
        <v>139</v>
      </c>
      <c r="BU2" s="36" t="s">
        <v>140</v>
      </c>
      <c r="BV2" s="36" t="s">
        <v>145</v>
      </c>
      <c r="BW2" s="36" t="s">
        <v>141</v>
      </c>
      <c r="BX2" s="36" t="s">
        <v>142</v>
      </c>
      <c r="BY2" s="36" t="s">
        <v>143</v>
      </c>
      <c r="BZ2" s="36" t="s">
        <v>144</v>
      </c>
      <c r="CA2" s="36" t="s">
        <v>146</v>
      </c>
      <c r="CB2" s="36" t="s">
        <v>147</v>
      </c>
      <c r="CC2" s="36" t="s">
        <v>117</v>
      </c>
      <c r="CD2" s="129" t="s">
        <v>148</v>
      </c>
      <c r="CE2" s="129" t="s">
        <v>149</v>
      </c>
      <c r="CF2" s="129" t="s">
        <v>60</v>
      </c>
      <c r="CG2" s="129" t="s">
        <v>150</v>
      </c>
      <c r="CH2" s="129" t="s">
        <v>151</v>
      </c>
      <c r="CI2" s="129" t="s">
        <v>152</v>
      </c>
      <c r="CJ2" s="129" t="s">
        <v>46</v>
      </c>
      <c r="CK2" s="129" t="s">
        <v>237</v>
      </c>
      <c r="CL2" s="129" t="s">
        <v>45</v>
      </c>
      <c r="CM2" s="129" t="s">
        <v>69</v>
      </c>
      <c r="CN2" s="129" t="s">
        <v>43</v>
      </c>
      <c r="CO2" s="129" t="s">
        <v>44</v>
      </c>
      <c r="CP2" s="129" t="s">
        <v>153</v>
      </c>
      <c r="CQ2" s="129" t="s">
        <v>155</v>
      </c>
      <c r="CR2" s="129" t="s">
        <v>154</v>
      </c>
      <c r="CS2" s="129" t="s">
        <v>160</v>
      </c>
      <c r="CT2" s="129" t="s">
        <v>163</v>
      </c>
      <c r="CU2" s="129" t="s">
        <v>164</v>
      </c>
      <c r="CV2" s="129" t="s">
        <v>162</v>
      </c>
      <c r="CW2" s="129" t="s">
        <v>166</v>
      </c>
      <c r="CX2" s="129" t="s">
        <v>148</v>
      </c>
      <c r="CY2" s="129" t="s">
        <v>167</v>
      </c>
      <c r="CZ2" s="129" t="s">
        <v>172</v>
      </c>
      <c r="DA2" s="129" t="s">
        <v>177</v>
      </c>
      <c r="DB2" s="129" t="s">
        <v>178</v>
      </c>
      <c r="DC2" s="129" t="s">
        <v>251</v>
      </c>
      <c r="DD2" s="129" t="s">
        <v>180</v>
      </c>
      <c r="DE2" s="129" t="s">
        <v>183</v>
      </c>
      <c r="DF2" s="129" t="s">
        <v>189</v>
      </c>
      <c r="DG2" s="129" t="s">
        <v>197</v>
      </c>
      <c r="DH2" s="129" t="s">
        <v>193</v>
      </c>
      <c r="DI2" s="129" t="s">
        <v>194</v>
      </c>
      <c r="DJ2" s="129" t="s">
        <v>195</v>
      </c>
      <c r="DK2" s="129" t="s">
        <v>198</v>
      </c>
      <c r="DL2" s="129" t="s">
        <v>239</v>
      </c>
      <c r="DM2" s="129"/>
      <c r="DN2" s="130"/>
    </row>
    <row r="3" spans="1:118" s="5" customFormat="1" ht="12.75" customHeight="1">
      <c r="A3" s="50" t="s">
        <v>38</v>
      </c>
      <c r="B3" s="41">
        <v>172</v>
      </c>
      <c r="C3" s="6">
        <v>391363</v>
      </c>
      <c r="D3" s="33">
        <v>2275.37</v>
      </c>
      <c r="E3" s="33">
        <v>71.41</v>
      </c>
      <c r="F3" s="125">
        <v>2</v>
      </c>
      <c r="G3" s="131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f aca="true" t="shared" si="0" ref="M3:M31">SUM(K3:L3)</f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0</v>
      </c>
      <c r="X3" s="43">
        <v>0</v>
      </c>
      <c r="Y3" s="43">
        <f aca="true" t="shared" si="2" ref="Y3:Y14">SUM(G3:X3)-M3-W3</f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f aca="true" t="shared" si="3" ref="AE3:AE14">SUM(Z3:AD3)</f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3">
        <v>0</v>
      </c>
      <c r="AZ3" s="43">
        <v>0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0</v>
      </c>
      <c r="BG3" s="43">
        <v>0</v>
      </c>
      <c r="BH3" s="43">
        <v>0</v>
      </c>
      <c r="BI3" s="43">
        <v>0</v>
      </c>
      <c r="BJ3" s="43">
        <v>0</v>
      </c>
      <c r="BK3" s="43">
        <v>0</v>
      </c>
      <c r="BL3" s="43">
        <v>0</v>
      </c>
      <c r="BM3" s="43">
        <v>0</v>
      </c>
      <c r="BN3" s="43">
        <v>0</v>
      </c>
      <c r="BO3" s="43">
        <f aca="true" t="shared" si="8" ref="BO3:BO14">SUM(BG3:BN3)</f>
        <v>0</v>
      </c>
      <c r="BP3" s="43">
        <v>0</v>
      </c>
      <c r="BQ3" s="43">
        <v>0</v>
      </c>
      <c r="BR3" s="43">
        <v>0</v>
      </c>
      <c r="BS3" s="43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74">
        <f aca="true" t="shared" si="13" ref="CD3:CD14">K3+L3+AV3-AW3</f>
        <v>0</v>
      </c>
      <c r="CE3" s="76">
        <f aca="true" t="shared" si="14" ref="CE3:CE14">CD3+W3-AS3</f>
        <v>0</v>
      </c>
      <c r="CF3" s="76">
        <f aca="true" t="shared" si="15" ref="CF3:CF14">BR3-BP3</f>
        <v>0</v>
      </c>
      <c r="CG3" s="76">
        <f aca="true" t="shared" si="16" ref="CG3:CG10">AU3-AM3-AT3-AS3</f>
        <v>0</v>
      </c>
      <c r="CH3" s="76">
        <f aca="true" t="shared" si="17" ref="CH3:CH14">I3-AG3+AY3+AH3+BQ3</f>
        <v>0</v>
      </c>
      <c r="CI3" s="37">
        <f aca="true" t="shared" si="18" ref="CI3:CI14">CH3+K3</f>
        <v>0</v>
      </c>
      <c r="CJ3" s="59" t="str">
        <f>IF(CF3=0,"-",(CD3/CF3))</f>
        <v>-</v>
      </c>
      <c r="CK3" s="59" t="str">
        <f>IF(CF3=0,"-",(CE3/CF3))</f>
        <v>-</v>
      </c>
      <c r="CL3" s="141" t="str">
        <f>IF(CG3=0,"-",(CD3/CG3*1))</f>
        <v>-</v>
      </c>
      <c r="CM3" s="141" t="str">
        <f>IF(CE3=0,"-",(CE3/CG3))</f>
        <v>-</v>
      </c>
      <c r="CN3" s="141" t="str">
        <f>IF(CG3=0,"-",(CH3/CG3))</f>
        <v>-</v>
      </c>
      <c r="CO3" s="141" t="str">
        <f>IF(CG3=0,"-",(CI3/CG3))</f>
        <v>-</v>
      </c>
      <c r="CP3" s="141" t="str">
        <f>IF(BU3+K3+L3=0,"-",((K3+L3)/(BU3+K3+L3)))</f>
        <v>-</v>
      </c>
      <c r="CQ3" s="141" t="str">
        <f>IF(BU3+K3+L3=0,"-",((K3)/(BU3+K3+L3)))</f>
        <v>-</v>
      </c>
      <c r="CR3" s="142" t="str">
        <f>IF(CE3=0,"-",(CS3/CE3))</f>
        <v>-</v>
      </c>
      <c r="CS3" s="76">
        <f>BT3-BY3</f>
        <v>0</v>
      </c>
      <c r="CT3" s="80">
        <f aca="true" t="shared" si="19" ref="CT3:CT14">Y3-K3-L3-V3</f>
        <v>0</v>
      </c>
      <c r="CU3" s="80">
        <f aca="true" t="shared" si="20" ref="CU3:CU14">AU3-AR3</f>
        <v>0</v>
      </c>
      <c r="CV3" s="80">
        <f aca="true" t="shared" si="21" ref="CV3:CV14">CU3-CT3</f>
        <v>0</v>
      </c>
      <c r="CW3" s="80">
        <f aca="true" t="shared" si="22" ref="CW3:CW14">-V3+AR3</f>
        <v>0</v>
      </c>
      <c r="CX3" s="80">
        <f aca="true" t="shared" si="23" ref="CX3:CX14">CV3+CW3</f>
        <v>0</v>
      </c>
      <c r="CY3" s="80">
        <f aca="true" t="shared" si="24" ref="CY3:CY14">CX3-K3-L3</f>
        <v>0</v>
      </c>
      <c r="CZ3" s="80">
        <f aca="true" t="shared" si="25" ref="CZ3:CZ14">BR3-BP3</f>
        <v>0</v>
      </c>
      <c r="DA3" s="80">
        <f aca="true" t="shared" si="26" ref="DA3:DA14">K3+L3</f>
        <v>0</v>
      </c>
      <c r="DB3" s="80">
        <f aca="true" t="shared" si="27" ref="DB3:DB14">-CZ3+DA3+CY3</f>
        <v>0</v>
      </c>
      <c r="DC3" s="80">
        <f>-CZ3+DA3+CY3+W3-AS3</f>
        <v>0</v>
      </c>
      <c r="DD3" s="80">
        <f aca="true" t="shared" si="28" ref="DD3:DD14">-BP3-DA3</f>
        <v>0</v>
      </c>
      <c r="DE3" s="80">
        <f aca="true" t="shared" si="29" ref="DE3:DE14">DB3+DD3+BR3</f>
        <v>0</v>
      </c>
      <c r="DF3" s="80">
        <f aca="true" t="shared" si="30" ref="DF3:DF14">Z3+AA3+AB3</f>
        <v>0</v>
      </c>
      <c r="DG3" s="80">
        <f aca="true" t="shared" si="31" ref="DG3:DG14">CS3/B3</f>
        <v>0</v>
      </c>
      <c r="DH3" s="80">
        <f aca="true" t="shared" si="32" ref="DH3:DH14">CH3/B3</f>
        <v>0</v>
      </c>
      <c r="DI3" s="80">
        <f aca="true" t="shared" si="33" ref="DI3:DI14">DF3/B3</f>
        <v>0</v>
      </c>
      <c r="DJ3" s="81">
        <f aca="true" t="shared" si="34" ref="DJ3:DJ14">CZ3/B3</f>
        <v>0</v>
      </c>
      <c r="DK3" s="76">
        <f aca="true" t="shared" si="35" ref="DK3:DK14">DB3/B3</f>
        <v>0</v>
      </c>
      <c r="DL3" s="145">
        <f>CA3-BW3-BU3</f>
        <v>0</v>
      </c>
      <c r="DM3" s="64"/>
      <c r="DN3" s="65"/>
    </row>
    <row r="4" spans="1:118" ht="12.75">
      <c r="A4" s="51" t="s">
        <v>0</v>
      </c>
      <c r="B4" s="42">
        <v>1929</v>
      </c>
      <c r="C4" s="38">
        <v>5168360</v>
      </c>
      <c r="D4" s="39">
        <v>2679.29</v>
      </c>
      <c r="E4" s="39">
        <v>84.08</v>
      </c>
      <c r="F4" s="126">
        <v>0</v>
      </c>
      <c r="G4" s="13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3">
        <f t="shared" si="0"/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0</v>
      </c>
      <c r="X4" s="42">
        <v>0</v>
      </c>
      <c r="Y4" s="43">
        <f t="shared" si="2"/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3">
        <f t="shared" si="3"/>
        <v>0</v>
      </c>
      <c r="AF4" s="42">
        <v>0</v>
      </c>
      <c r="AG4" s="42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0</v>
      </c>
      <c r="AT4" s="38">
        <v>0</v>
      </c>
      <c r="AU4" s="4">
        <f t="shared" si="5"/>
        <v>0</v>
      </c>
      <c r="AV4" s="38">
        <v>0</v>
      </c>
      <c r="AW4" s="38">
        <v>0</v>
      </c>
      <c r="AX4" s="4">
        <f t="shared" si="6"/>
        <v>0</v>
      </c>
      <c r="AY4" s="42">
        <v>0</v>
      </c>
      <c r="AZ4" s="42">
        <v>0</v>
      </c>
      <c r="BA4" s="42">
        <v>0</v>
      </c>
      <c r="BB4" s="42">
        <v>0</v>
      </c>
      <c r="BC4" s="42">
        <v>0</v>
      </c>
      <c r="BD4" s="42">
        <v>0</v>
      </c>
      <c r="BE4" s="42">
        <v>0</v>
      </c>
      <c r="BF4" s="43">
        <f t="shared" si="7"/>
        <v>0</v>
      </c>
      <c r="BG4" s="42">
        <v>0</v>
      </c>
      <c r="BH4" s="42">
        <v>0</v>
      </c>
      <c r="BI4" s="42">
        <v>0</v>
      </c>
      <c r="BJ4" s="42">
        <v>0</v>
      </c>
      <c r="BK4" s="42">
        <v>0</v>
      </c>
      <c r="BL4" s="42">
        <v>0</v>
      </c>
      <c r="BM4" s="42">
        <v>0</v>
      </c>
      <c r="BN4" s="42">
        <v>0</v>
      </c>
      <c r="BO4" s="43">
        <f t="shared" si="8"/>
        <v>0</v>
      </c>
      <c r="BP4" s="42">
        <v>0</v>
      </c>
      <c r="BQ4" s="42">
        <v>0</v>
      </c>
      <c r="BR4" s="42">
        <v>0</v>
      </c>
      <c r="BS4" s="43">
        <f t="shared" si="9"/>
        <v>0</v>
      </c>
      <c r="BT4" s="38">
        <v>0</v>
      </c>
      <c r="BU4" s="38">
        <v>0</v>
      </c>
      <c r="BV4" s="38">
        <v>0</v>
      </c>
      <c r="BW4" s="38">
        <v>0</v>
      </c>
      <c r="BX4" s="4">
        <f t="shared" si="10"/>
        <v>0</v>
      </c>
      <c r="BY4" s="38">
        <v>0</v>
      </c>
      <c r="BZ4" s="38">
        <v>0</v>
      </c>
      <c r="CA4" s="38">
        <v>0</v>
      </c>
      <c r="CB4" s="4">
        <f t="shared" si="11"/>
        <v>0</v>
      </c>
      <c r="CC4" s="4">
        <f t="shared" si="12"/>
        <v>0</v>
      </c>
      <c r="CD4" s="74">
        <f t="shared" si="13"/>
        <v>0</v>
      </c>
      <c r="CE4" s="76">
        <f t="shared" si="14"/>
        <v>0</v>
      </c>
      <c r="CF4" s="76">
        <f t="shared" si="15"/>
        <v>0</v>
      </c>
      <c r="CG4" s="76">
        <f t="shared" si="16"/>
        <v>0</v>
      </c>
      <c r="CH4" s="76">
        <f t="shared" si="17"/>
        <v>0</v>
      </c>
      <c r="CI4" s="37">
        <f t="shared" si="18"/>
        <v>0</v>
      </c>
      <c r="CJ4" s="59" t="str">
        <f aca="true" t="shared" si="36" ref="CJ4:CJ31">IF(CF4=0,"-",(CD4/CF4))</f>
        <v>-</v>
      </c>
      <c r="CK4" s="59" t="str">
        <f aca="true" t="shared" si="37" ref="CK4:CK31">IF(CF4=0,"-",(CE4/CF4))</f>
        <v>-</v>
      </c>
      <c r="CL4" s="141" t="str">
        <f aca="true" t="shared" si="38" ref="CL4:CL31">IF(CG4=0,"-",(CD4/CG4*1))</f>
        <v>-</v>
      </c>
      <c r="CM4" s="141" t="str">
        <f aca="true" t="shared" si="39" ref="CM4:CM31">IF(CE4=0,"-",(CE4/CG4))</f>
        <v>-</v>
      </c>
      <c r="CN4" s="141" t="str">
        <f aca="true" t="shared" si="40" ref="CN4:CN31">IF(CG4=0,"-",(CH4/CG4))</f>
        <v>-</v>
      </c>
      <c r="CO4" s="141" t="str">
        <f aca="true" t="shared" si="41" ref="CO4:CO31">IF(CG4=0,"-",(CI4/CG4))</f>
        <v>-</v>
      </c>
      <c r="CP4" s="141" t="str">
        <f aca="true" t="shared" si="42" ref="CP4:CP31">IF(BU4+K4+L4=0,"-",((K4+L4)/(BU4+K4+L4)))</f>
        <v>-</v>
      </c>
      <c r="CQ4" s="141" t="str">
        <f aca="true" t="shared" si="43" ref="CQ4:CQ31">IF(BU4+K4+L4=0,"-",((K4)/(BU4+K4+L4)))</f>
        <v>-</v>
      </c>
      <c r="CR4" s="142" t="str">
        <f aca="true" t="shared" si="44" ref="CR4:CR31">IF(CE4=0,"-",(CS4/CE4))</f>
        <v>-</v>
      </c>
      <c r="CS4" s="76">
        <f aca="true" t="shared" si="45" ref="CS4:CS31">BT4-BY4</f>
        <v>0</v>
      </c>
      <c r="CT4" s="80">
        <f t="shared" si="19"/>
        <v>0</v>
      </c>
      <c r="CU4" s="80">
        <f t="shared" si="20"/>
        <v>0</v>
      </c>
      <c r="CV4" s="80">
        <f t="shared" si="21"/>
        <v>0</v>
      </c>
      <c r="CW4" s="80">
        <f t="shared" si="22"/>
        <v>0</v>
      </c>
      <c r="CX4" s="80">
        <f t="shared" si="23"/>
        <v>0</v>
      </c>
      <c r="CY4" s="80">
        <f t="shared" si="24"/>
        <v>0</v>
      </c>
      <c r="CZ4" s="80">
        <f t="shared" si="25"/>
        <v>0</v>
      </c>
      <c r="DA4" s="80">
        <f t="shared" si="26"/>
        <v>0</v>
      </c>
      <c r="DB4" s="80">
        <f t="shared" si="27"/>
        <v>0</v>
      </c>
      <c r="DC4" s="80">
        <f aca="true" t="shared" si="46" ref="DC4:DC31">-CZ4+DA4+CY4+W4-AS4</f>
        <v>0</v>
      </c>
      <c r="DD4" s="80">
        <f t="shared" si="28"/>
        <v>0</v>
      </c>
      <c r="DE4" s="80">
        <f t="shared" si="29"/>
        <v>0</v>
      </c>
      <c r="DF4" s="80">
        <f t="shared" si="30"/>
        <v>0</v>
      </c>
      <c r="DG4" s="80">
        <f t="shared" si="31"/>
        <v>0</v>
      </c>
      <c r="DH4" s="80">
        <f t="shared" si="32"/>
        <v>0</v>
      </c>
      <c r="DI4" s="80">
        <f t="shared" si="33"/>
        <v>0</v>
      </c>
      <c r="DJ4" s="81">
        <f t="shared" si="34"/>
        <v>0</v>
      </c>
      <c r="DK4" s="76">
        <f t="shared" si="35"/>
        <v>0</v>
      </c>
      <c r="DL4" s="145">
        <f>CA4-BW4-BU4</f>
        <v>0</v>
      </c>
      <c r="DM4" s="67"/>
      <c r="DN4" s="68"/>
    </row>
    <row r="5" spans="1:118" ht="12.75">
      <c r="A5" s="52" t="s">
        <v>32</v>
      </c>
      <c r="B5" s="43">
        <v>406</v>
      </c>
      <c r="C5" s="4">
        <v>1105346</v>
      </c>
      <c r="D5" s="34">
        <v>2722.53</v>
      </c>
      <c r="E5" s="34">
        <v>85.44</v>
      </c>
      <c r="F5" s="8">
        <v>3</v>
      </c>
      <c r="G5" s="131">
        <f>(G42/($B$5+$B$28)*$B$5)</f>
        <v>9488.283898305086</v>
      </c>
      <c r="H5" s="131">
        <f aca="true" t="shared" si="47" ref="H5:BU5">(H42/($B$5+$B$28)*$B$5)</f>
        <v>4854.452542372881</v>
      </c>
      <c r="I5" s="131">
        <f t="shared" si="47"/>
        <v>140.6254237288136</v>
      </c>
      <c r="J5" s="131">
        <f t="shared" si="47"/>
        <v>2457.135593220339</v>
      </c>
      <c r="K5" s="131">
        <f t="shared" si="47"/>
        <v>0</v>
      </c>
      <c r="L5" s="131">
        <f t="shared" si="47"/>
        <v>0</v>
      </c>
      <c r="M5" s="43">
        <f t="shared" si="0"/>
        <v>0</v>
      </c>
      <c r="N5" s="131">
        <f t="shared" si="47"/>
        <v>0</v>
      </c>
      <c r="O5" s="131">
        <f t="shared" si="47"/>
        <v>0</v>
      </c>
      <c r="P5" s="131">
        <f t="shared" si="47"/>
        <v>177612.56440677965</v>
      </c>
      <c r="Q5" s="131">
        <f t="shared" si="47"/>
        <v>0</v>
      </c>
      <c r="R5" s="131">
        <f t="shared" si="47"/>
        <v>0</v>
      </c>
      <c r="S5" s="131">
        <f t="shared" si="47"/>
        <v>0</v>
      </c>
      <c r="T5" s="131">
        <f t="shared" si="47"/>
        <v>0</v>
      </c>
      <c r="U5" s="131">
        <f t="shared" si="47"/>
        <v>0</v>
      </c>
      <c r="V5" s="131">
        <f t="shared" si="47"/>
        <v>0</v>
      </c>
      <c r="W5" s="43">
        <f t="shared" si="1"/>
        <v>0</v>
      </c>
      <c r="X5" s="131">
        <f t="shared" si="47"/>
        <v>0</v>
      </c>
      <c r="Y5" s="43">
        <f t="shared" si="2"/>
        <v>194553.06186440677</v>
      </c>
      <c r="Z5" s="131">
        <f t="shared" si="47"/>
        <v>69037.59661016948</v>
      </c>
      <c r="AA5" s="131">
        <f t="shared" si="47"/>
        <v>0</v>
      </c>
      <c r="AB5" s="131">
        <f t="shared" si="47"/>
        <v>0</v>
      </c>
      <c r="AC5" s="131">
        <f t="shared" si="47"/>
        <v>3590.3228813559317</v>
      </c>
      <c r="AD5" s="131">
        <f t="shared" si="47"/>
        <v>0</v>
      </c>
      <c r="AE5" s="43">
        <f t="shared" si="3"/>
        <v>72627.9194915254</v>
      </c>
      <c r="AF5" s="131">
        <f t="shared" si="47"/>
        <v>0</v>
      </c>
      <c r="AG5" s="131">
        <f t="shared" si="47"/>
        <v>2018.3754237288138</v>
      </c>
      <c r="AH5" s="131">
        <f t="shared" si="47"/>
        <v>0</v>
      </c>
      <c r="AI5" s="131">
        <f t="shared" si="47"/>
        <v>111767.89237288135</v>
      </c>
      <c r="AJ5" s="131">
        <f t="shared" si="47"/>
        <v>0</v>
      </c>
      <c r="AK5" s="131">
        <f t="shared" si="47"/>
        <v>2377.0169491525426</v>
      </c>
      <c r="AL5" s="131">
        <f t="shared" si="47"/>
        <v>0</v>
      </c>
      <c r="AM5" s="131">
        <f t="shared" si="47"/>
        <v>0</v>
      </c>
      <c r="AN5" s="131">
        <f t="shared" si="47"/>
        <v>0</v>
      </c>
      <c r="AO5" s="131">
        <f t="shared" si="47"/>
        <v>0</v>
      </c>
      <c r="AP5" s="131">
        <f t="shared" si="47"/>
        <v>0</v>
      </c>
      <c r="AQ5" s="131">
        <f t="shared" si="47"/>
        <v>0</v>
      </c>
      <c r="AR5" s="131">
        <f t="shared" si="47"/>
        <v>0</v>
      </c>
      <c r="AS5" s="4">
        <f t="shared" si="4"/>
        <v>0</v>
      </c>
      <c r="AT5" s="131">
        <f t="shared" si="47"/>
        <v>0</v>
      </c>
      <c r="AU5" s="4">
        <f t="shared" si="5"/>
        <v>188791.2042372881</v>
      </c>
      <c r="AV5" s="131">
        <f t="shared" si="47"/>
        <v>0</v>
      </c>
      <c r="AW5" s="131">
        <f t="shared" si="47"/>
        <v>5761.857627118644</v>
      </c>
      <c r="AX5" s="4">
        <f t="shared" si="6"/>
        <v>3.183231456205249E-11</v>
      </c>
      <c r="AY5" s="131">
        <f t="shared" si="47"/>
        <v>0</v>
      </c>
      <c r="AZ5" s="131">
        <f t="shared" si="47"/>
        <v>0</v>
      </c>
      <c r="BA5" s="131">
        <f t="shared" si="47"/>
        <v>0</v>
      </c>
      <c r="BB5" s="131">
        <f t="shared" si="47"/>
        <v>0</v>
      </c>
      <c r="BC5" s="131">
        <f t="shared" si="47"/>
        <v>0</v>
      </c>
      <c r="BD5" s="131">
        <f t="shared" si="47"/>
        <v>0</v>
      </c>
      <c r="BE5" s="131">
        <f t="shared" si="47"/>
        <v>0</v>
      </c>
      <c r="BF5" s="43">
        <f t="shared" si="7"/>
        <v>0</v>
      </c>
      <c r="BG5" s="131">
        <f t="shared" si="47"/>
        <v>0</v>
      </c>
      <c r="BH5" s="131">
        <f t="shared" si="47"/>
        <v>0</v>
      </c>
      <c r="BI5" s="131">
        <f t="shared" si="47"/>
        <v>0</v>
      </c>
      <c r="BJ5" s="131">
        <f t="shared" si="47"/>
        <v>0</v>
      </c>
      <c r="BK5" s="131">
        <f t="shared" si="47"/>
        <v>0</v>
      </c>
      <c r="BL5" s="131">
        <f t="shared" si="47"/>
        <v>0</v>
      </c>
      <c r="BM5" s="131">
        <f t="shared" si="47"/>
        <v>0</v>
      </c>
      <c r="BN5" s="131">
        <f t="shared" si="47"/>
        <v>0</v>
      </c>
      <c r="BO5" s="43">
        <f t="shared" si="8"/>
        <v>0</v>
      </c>
      <c r="BP5" s="131">
        <f t="shared" si="47"/>
        <v>0</v>
      </c>
      <c r="BQ5" s="131">
        <f t="shared" si="47"/>
        <v>0</v>
      </c>
      <c r="BR5" s="131">
        <f t="shared" si="47"/>
        <v>0</v>
      </c>
      <c r="BS5" s="43">
        <f t="shared" si="9"/>
        <v>0</v>
      </c>
      <c r="BT5" s="131">
        <f t="shared" si="47"/>
        <v>230264.22711864405</v>
      </c>
      <c r="BU5" s="131">
        <f t="shared" si="47"/>
        <v>0</v>
      </c>
      <c r="BV5" s="131">
        <f aca="true" t="shared" si="48" ref="BV5:CA5">(BV42/($B$5+$B$28)*$B$5)</f>
        <v>0</v>
      </c>
      <c r="BW5" s="131">
        <f t="shared" si="48"/>
        <v>0</v>
      </c>
      <c r="BX5" s="4">
        <f t="shared" si="10"/>
        <v>230264.22711864405</v>
      </c>
      <c r="BY5" s="131">
        <f t="shared" si="48"/>
        <v>83177.13644067796</v>
      </c>
      <c r="BZ5" s="131">
        <f t="shared" si="48"/>
        <v>0</v>
      </c>
      <c r="CA5" s="131">
        <f t="shared" si="48"/>
        <v>147087.0906779661</v>
      </c>
      <c r="CB5" s="4">
        <f t="shared" si="11"/>
        <v>230264.22711864405</v>
      </c>
      <c r="CC5" s="4">
        <f t="shared" si="12"/>
        <v>0</v>
      </c>
      <c r="CD5" s="74">
        <f t="shared" si="13"/>
        <v>-5761.857627118644</v>
      </c>
      <c r="CE5" s="76">
        <f t="shared" si="14"/>
        <v>-5761.857627118644</v>
      </c>
      <c r="CF5" s="76">
        <f t="shared" si="15"/>
        <v>0</v>
      </c>
      <c r="CG5" s="76">
        <f t="shared" si="16"/>
        <v>188791.2042372881</v>
      </c>
      <c r="CH5" s="76">
        <f t="shared" si="17"/>
        <v>-1877.7500000000002</v>
      </c>
      <c r="CI5" s="37">
        <f t="shared" si="18"/>
        <v>-1877.7500000000002</v>
      </c>
      <c r="CJ5" s="59" t="str">
        <f t="shared" si="36"/>
        <v>-</v>
      </c>
      <c r="CK5" s="59" t="str">
        <f t="shared" si="37"/>
        <v>-</v>
      </c>
      <c r="CL5" s="141">
        <f t="shared" si="38"/>
        <v>-0.03051973554804319</v>
      </c>
      <c r="CM5" s="141">
        <f t="shared" si="39"/>
        <v>-0.03051973554804319</v>
      </c>
      <c r="CN5" s="141">
        <f t="shared" si="40"/>
        <v>-0.00994617311535283</v>
      </c>
      <c r="CO5" s="141">
        <f t="shared" si="41"/>
        <v>-0.00994617311535283</v>
      </c>
      <c r="CP5" s="141" t="str">
        <f t="shared" si="42"/>
        <v>-</v>
      </c>
      <c r="CQ5" s="141" t="str">
        <f t="shared" si="43"/>
        <v>-</v>
      </c>
      <c r="CR5" s="142">
        <f t="shared" si="44"/>
        <v>-25.5277204326759</v>
      </c>
      <c r="CS5" s="76">
        <f t="shared" si="45"/>
        <v>147087.09067796607</v>
      </c>
      <c r="CT5" s="80">
        <f t="shared" si="19"/>
        <v>194553.06186440677</v>
      </c>
      <c r="CU5" s="80">
        <f t="shared" si="20"/>
        <v>188791.2042372881</v>
      </c>
      <c r="CV5" s="80">
        <f t="shared" si="21"/>
        <v>-5761.857627118676</v>
      </c>
      <c r="CW5" s="80">
        <f t="shared" si="22"/>
        <v>0</v>
      </c>
      <c r="CX5" s="80">
        <f t="shared" si="23"/>
        <v>-5761.857627118676</v>
      </c>
      <c r="CY5" s="80">
        <f t="shared" si="24"/>
        <v>-5761.857627118676</v>
      </c>
      <c r="CZ5" s="80">
        <f t="shared" si="25"/>
        <v>0</v>
      </c>
      <c r="DA5" s="80">
        <f t="shared" si="26"/>
        <v>0</v>
      </c>
      <c r="DB5" s="80">
        <f t="shared" si="27"/>
        <v>-5761.857627118676</v>
      </c>
      <c r="DC5" s="80">
        <f t="shared" si="46"/>
        <v>-5761.857627118676</v>
      </c>
      <c r="DD5" s="80">
        <f t="shared" si="28"/>
        <v>0</v>
      </c>
      <c r="DE5" s="80">
        <f t="shared" si="29"/>
        <v>-5761.857627118676</v>
      </c>
      <c r="DF5" s="80">
        <f t="shared" si="30"/>
        <v>69037.59661016948</v>
      </c>
      <c r="DG5" s="80">
        <f t="shared" si="31"/>
        <v>362.2834745762711</v>
      </c>
      <c r="DH5" s="80">
        <f t="shared" si="32"/>
        <v>-4.625000000000001</v>
      </c>
      <c r="DI5" s="80">
        <f t="shared" si="33"/>
        <v>170.04334140435833</v>
      </c>
      <c r="DJ5" s="81">
        <f t="shared" si="34"/>
        <v>0</v>
      </c>
      <c r="DK5" s="76">
        <f t="shared" si="35"/>
        <v>-14.191767554479497</v>
      </c>
      <c r="DL5" s="145">
        <f aca="true" t="shared" si="49" ref="DL5:DL31">CA5-BW5-BU5</f>
        <v>147087.0906779661</v>
      </c>
      <c r="DM5" s="64"/>
      <c r="DN5" s="65"/>
    </row>
    <row r="6" spans="1:118" ht="12.75">
      <c r="A6" s="51" t="s">
        <v>1</v>
      </c>
      <c r="B6" s="42">
        <v>229</v>
      </c>
      <c r="C6" s="38">
        <v>651448</v>
      </c>
      <c r="D6" s="39">
        <v>2844.75</v>
      </c>
      <c r="E6" s="39">
        <v>89.28</v>
      </c>
      <c r="F6" s="126">
        <v>4</v>
      </c>
      <c r="G6" s="13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3">
        <f t="shared" si="0"/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0</v>
      </c>
      <c r="X6" s="42">
        <v>0</v>
      </c>
      <c r="Y6" s="43">
        <f t="shared" si="2"/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3">
        <f t="shared" si="3"/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0</v>
      </c>
      <c r="AT6" s="38">
        <v>0</v>
      </c>
      <c r="AU6" s="4">
        <f t="shared" si="5"/>
        <v>0</v>
      </c>
      <c r="AV6" s="38">
        <v>0</v>
      </c>
      <c r="AW6" s="38">
        <v>0</v>
      </c>
      <c r="AX6" s="4">
        <f t="shared" si="6"/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3">
        <f t="shared" si="7"/>
        <v>0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3">
        <f t="shared" si="8"/>
        <v>0</v>
      </c>
      <c r="BP6" s="42">
        <v>0</v>
      </c>
      <c r="BQ6" s="42">
        <v>0</v>
      </c>
      <c r="BR6" s="42">
        <v>0</v>
      </c>
      <c r="BS6" s="43">
        <f t="shared" si="9"/>
        <v>0</v>
      </c>
      <c r="BT6" s="38">
        <v>0</v>
      </c>
      <c r="BU6" s="38">
        <v>0</v>
      </c>
      <c r="BV6" s="38">
        <v>0</v>
      </c>
      <c r="BW6" s="38">
        <v>0</v>
      </c>
      <c r="BX6" s="4">
        <f t="shared" si="10"/>
        <v>0</v>
      </c>
      <c r="BY6" s="38">
        <v>0</v>
      </c>
      <c r="BZ6" s="38">
        <v>0</v>
      </c>
      <c r="CA6" s="38">
        <v>0</v>
      </c>
      <c r="CB6" s="4">
        <f t="shared" si="11"/>
        <v>0</v>
      </c>
      <c r="CC6" s="4">
        <f t="shared" si="12"/>
        <v>0</v>
      </c>
      <c r="CD6" s="74">
        <f t="shared" si="13"/>
        <v>0</v>
      </c>
      <c r="CE6" s="76">
        <f t="shared" si="14"/>
        <v>0</v>
      </c>
      <c r="CF6" s="76">
        <f t="shared" si="15"/>
        <v>0</v>
      </c>
      <c r="CG6" s="76">
        <f t="shared" si="16"/>
        <v>0</v>
      </c>
      <c r="CH6" s="76">
        <f t="shared" si="17"/>
        <v>0</v>
      </c>
      <c r="CI6" s="37">
        <f t="shared" si="18"/>
        <v>0</v>
      </c>
      <c r="CJ6" s="59" t="str">
        <f t="shared" si="36"/>
        <v>-</v>
      </c>
      <c r="CK6" s="59" t="str">
        <f t="shared" si="37"/>
        <v>-</v>
      </c>
      <c r="CL6" s="141" t="str">
        <f t="shared" si="38"/>
        <v>-</v>
      </c>
      <c r="CM6" s="141" t="str">
        <f t="shared" si="39"/>
        <v>-</v>
      </c>
      <c r="CN6" s="141" t="str">
        <f t="shared" si="40"/>
        <v>-</v>
      </c>
      <c r="CO6" s="141" t="str">
        <f t="shared" si="41"/>
        <v>-</v>
      </c>
      <c r="CP6" s="141" t="str">
        <f t="shared" si="42"/>
        <v>-</v>
      </c>
      <c r="CQ6" s="141" t="str">
        <f t="shared" si="43"/>
        <v>-</v>
      </c>
      <c r="CR6" s="142" t="str">
        <f t="shared" si="44"/>
        <v>-</v>
      </c>
      <c r="CS6" s="76">
        <f t="shared" si="45"/>
        <v>0</v>
      </c>
      <c r="CT6" s="80">
        <f t="shared" si="19"/>
        <v>0</v>
      </c>
      <c r="CU6" s="80">
        <f t="shared" si="20"/>
        <v>0</v>
      </c>
      <c r="CV6" s="80">
        <f t="shared" si="21"/>
        <v>0</v>
      </c>
      <c r="CW6" s="80">
        <f t="shared" si="22"/>
        <v>0</v>
      </c>
      <c r="CX6" s="80">
        <f t="shared" si="23"/>
        <v>0</v>
      </c>
      <c r="CY6" s="80">
        <f t="shared" si="24"/>
        <v>0</v>
      </c>
      <c r="CZ6" s="80">
        <f t="shared" si="25"/>
        <v>0</v>
      </c>
      <c r="DA6" s="80">
        <f t="shared" si="26"/>
        <v>0</v>
      </c>
      <c r="DB6" s="80">
        <f t="shared" si="27"/>
        <v>0</v>
      </c>
      <c r="DC6" s="80">
        <f t="shared" si="46"/>
        <v>0</v>
      </c>
      <c r="DD6" s="80">
        <f t="shared" si="28"/>
        <v>0</v>
      </c>
      <c r="DE6" s="80">
        <f t="shared" si="29"/>
        <v>0</v>
      </c>
      <c r="DF6" s="80">
        <f t="shared" si="30"/>
        <v>0</v>
      </c>
      <c r="DG6" s="80">
        <f t="shared" si="31"/>
        <v>0</v>
      </c>
      <c r="DH6" s="80">
        <f t="shared" si="32"/>
        <v>0</v>
      </c>
      <c r="DI6" s="80">
        <f t="shared" si="33"/>
        <v>0</v>
      </c>
      <c r="DJ6" s="81">
        <f t="shared" si="34"/>
        <v>0</v>
      </c>
      <c r="DK6" s="76">
        <f t="shared" si="35"/>
        <v>0</v>
      </c>
      <c r="DL6" s="145">
        <f t="shared" si="49"/>
        <v>0</v>
      </c>
      <c r="DM6" s="67"/>
      <c r="DN6" s="68"/>
    </row>
    <row r="7" spans="1:118" ht="12.75">
      <c r="A7" s="52" t="s">
        <v>2</v>
      </c>
      <c r="B7" s="43">
        <v>745</v>
      </c>
      <c r="C7" s="4">
        <v>1623384</v>
      </c>
      <c r="D7" s="34">
        <v>2179.04</v>
      </c>
      <c r="E7" s="34">
        <v>68.38</v>
      </c>
      <c r="F7" s="8">
        <v>4</v>
      </c>
      <c r="G7" s="131">
        <v>11563</v>
      </c>
      <c r="H7" s="43">
        <v>4762.42</v>
      </c>
      <c r="I7" s="43">
        <v>0</v>
      </c>
      <c r="J7" s="43">
        <v>100000</v>
      </c>
      <c r="K7" s="43">
        <v>0</v>
      </c>
      <c r="L7" s="43">
        <v>0</v>
      </c>
      <c r="M7" s="43">
        <f t="shared" si="0"/>
        <v>0</v>
      </c>
      <c r="N7" s="43">
        <v>0</v>
      </c>
      <c r="O7" s="43">
        <v>0</v>
      </c>
      <c r="P7" s="43">
        <v>121595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f t="shared" si="1"/>
        <v>0</v>
      </c>
      <c r="X7" s="43">
        <v>0</v>
      </c>
      <c r="Y7" s="43">
        <f t="shared" si="2"/>
        <v>237920.41999999998</v>
      </c>
      <c r="Z7" s="43">
        <v>121113.4</v>
      </c>
      <c r="AA7" s="43">
        <v>0</v>
      </c>
      <c r="AB7" s="43">
        <v>0</v>
      </c>
      <c r="AC7" s="43">
        <v>6074.8</v>
      </c>
      <c r="AD7" s="43">
        <v>0</v>
      </c>
      <c r="AE7" s="43">
        <f t="shared" si="3"/>
        <v>127188.2</v>
      </c>
      <c r="AF7" s="43">
        <v>0</v>
      </c>
      <c r="AG7" s="43">
        <v>1078.15</v>
      </c>
      <c r="AH7" s="43">
        <v>0</v>
      </c>
      <c r="AI7" s="43">
        <v>7200</v>
      </c>
      <c r="AJ7" s="43">
        <v>0</v>
      </c>
      <c r="AK7" s="43">
        <v>0</v>
      </c>
      <c r="AL7" s="43">
        <v>0</v>
      </c>
      <c r="AM7" s="43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135466.34999999998</v>
      </c>
      <c r="AV7" s="4">
        <v>0</v>
      </c>
      <c r="AW7" s="4">
        <v>102454.07</v>
      </c>
      <c r="AX7" s="4">
        <f t="shared" si="6"/>
        <v>0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0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f t="shared" si="8"/>
        <v>0</v>
      </c>
      <c r="BP7" s="43">
        <v>0</v>
      </c>
      <c r="BQ7" s="43">
        <v>0</v>
      </c>
      <c r="BR7" s="43">
        <v>0</v>
      </c>
      <c r="BS7" s="43">
        <f t="shared" si="9"/>
        <v>0</v>
      </c>
      <c r="BT7" s="4">
        <v>192185.43</v>
      </c>
      <c r="BU7" s="4">
        <v>0</v>
      </c>
      <c r="BV7" s="4">
        <v>0</v>
      </c>
      <c r="BW7" s="4">
        <v>0</v>
      </c>
      <c r="BX7" s="4">
        <f t="shared" si="10"/>
        <v>192185.43</v>
      </c>
      <c r="BY7" s="4">
        <v>62533.65</v>
      </c>
      <c r="BZ7" s="4">
        <v>0</v>
      </c>
      <c r="CA7" s="4">
        <v>129651.88</v>
      </c>
      <c r="CB7" s="4">
        <f t="shared" si="11"/>
        <v>192185.53</v>
      </c>
      <c r="CC7" s="4">
        <f t="shared" si="12"/>
        <v>-0.10000000000582077</v>
      </c>
      <c r="CD7" s="74">
        <f t="shared" si="13"/>
        <v>-102454.07</v>
      </c>
      <c r="CE7" s="76">
        <f t="shared" si="14"/>
        <v>-102454.07</v>
      </c>
      <c r="CF7" s="76">
        <f t="shared" si="15"/>
        <v>0</v>
      </c>
      <c r="CG7" s="76">
        <f t="shared" si="16"/>
        <v>135466.34999999998</v>
      </c>
      <c r="CH7" s="76">
        <f t="shared" si="17"/>
        <v>-1078.15</v>
      </c>
      <c r="CI7" s="37">
        <f t="shared" si="18"/>
        <v>-1078.15</v>
      </c>
      <c r="CJ7" s="59" t="str">
        <f t="shared" si="36"/>
        <v>-</v>
      </c>
      <c r="CK7" s="59" t="str">
        <f t="shared" si="37"/>
        <v>-</v>
      </c>
      <c r="CL7" s="141">
        <f t="shared" si="38"/>
        <v>-0.7563064185312443</v>
      </c>
      <c r="CM7" s="141">
        <f t="shared" si="39"/>
        <v>-0.7563064185312443</v>
      </c>
      <c r="CN7" s="141">
        <f t="shared" si="40"/>
        <v>-0.007958803053304384</v>
      </c>
      <c r="CO7" s="141">
        <f t="shared" si="41"/>
        <v>-0.007958803053304384</v>
      </c>
      <c r="CP7" s="141" t="str">
        <f t="shared" si="42"/>
        <v>-</v>
      </c>
      <c r="CQ7" s="141" t="str">
        <f t="shared" si="43"/>
        <v>-</v>
      </c>
      <c r="CR7" s="142">
        <f t="shared" si="44"/>
        <v>-1.2654624652783437</v>
      </c>
      <c r="CS7" s="76">
        <f t="shared" si="45"/>
        <v>129651.78</v>
      </c>
      <c r="CT7" s="80">
        <f t="shared" si="19"/>
        <v>237920.41999999998</v>
      </c>
      <c r="CU7" s="80">
        <f t="shared" si="20"/>
        <v>135466.34999999998</v>
      </c>
      <c r="CV7" s="80">
        <f t="shared" si="21"/>
        <v>-102454.07</v>
      </c>
      <c r="CW7" s="80">
        <f t="shared" si="22"/>
        <v>0</v>
      </c>
      <c r="CX7" s="80">
        <f t="shared" si="23"/>
        <v>-102454.07</v>
      </c>
      <c r="CY7" s="80">
        <f t="shared" si="24"/>
        <v>-102454.07</v>
      </c>
      <c r="CZ7" s="80">
        <f t="shared" si="25"/>
        <v>0</v>
      </c>
      <c r="DA7" s="80">
        <f t="shared" si="26"/>
        <v>0</v>
      </c>
      <c r="DB7" s="80">
        <f t="shared" si="27"/>
        <v>-102454.07</v>
      </c>
      <c r="DC7" s="80">
        <f t="shared" si="46"/>
        <v>-102454.07</v>
      </c>
      <c r="DD7" s="80">
        <f t="shared" si="28"/>
        <v>0</v>
      </c>
      <c r="DE7" s="80">
        <f t="shared" si="29"/>
        <v>-102454.07</v>
      </c>
      <c r="DF7" s="80">
        <f t="shared" si="30"/>
        <v>121113.4</v>
      </c>
      <c r="DG7" s="80">
        <f t="shared" si="31"/>
        <v>174.02923489932886</v>
      </c>
      <c r="DH7" s="80">
        <f t="shared" si="32"/>
        <v>-1.4471812080536914</v>
      </c>
      <c r="DI7" s="80">
        <f t="shared" si="33"/>
        <v>162.568322147651</v>
      </c>
      <c r="DJ7" s="81">
        <f t="shared" si="34"/>
        <v>0</v>
      </c>
      <c r="DK7" s="76">
        <f t="shared" si="35"/>
        <v>-137.52224161073826</v>
      </c>
      <c r="DL7" s="145">
        <f t="shared" si="49"/>
        <v>129651.88</v>
      </c>
      <c r="DM7" s="64"/>
      <c r="DN7" s="65"/>
    </row>
    <row r="8" spans="1:118" ht="12.75">
      <c r="A8" s="51" t="s">
        <v>3</v>
      </c>
      <c r="B8" s="42">
        <v>649</v>
      </c>
      <c r="C8" s="38">
        <v>1709399</v>
      </c>
      <c r="D8" s="39">
        <v>2633.9</v>
      </c>
      <c r="E8" s="39">
        <v>82.66</v>
      </c>
      <c r="F8" s="126">
        <v>4</v>
      </c>
      <c r="G8" s="132">
        <f>440+6685+1600+221.55+9274.5+590.65+2401.4+903</f>
        <v>22116.100000000002</v>
      </c>
      <c r="H8" s="42">
        <f>312.6+310+237.6+320.95+300+270+701</f>
        <v>2452.15</v>
      </c>
      <c r="I8" s="42">
        <v>0</v>
      </c>
      <c r="J8" s="42">
        <f>100000</f>
        <v>100000</v>
      </c>
      <c r="K8" s="42">
        <v>0</v>
      </c>
      <c r="L8" s="42">
        <v>0</v>
      </c>
      <c r="M8" s="43">
        <f t="shared" si="0"/>
        <v>0</v>
      </c>
      <c r="N8" s="42">
        <v>0</v>
      </c>
      <c r="O8" s="42">
        <v>0</v>
      </c>
      <c r="P8" s="42">
        <f>5451.1+13110+920.85+1186.2+50939.35+100+550+787.2+34137.6+10531.2+4023.45+20572.8</f>
        <v>142309.74999999997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0</v>
      </c>
      <c r="X8" s="42">
        <v>0</v>
      </c>
      <c r="Y8" s="43">
        <f t="shared" si="2"/>
        <v>266878</v>
      </c>
      <c r="Z8" s="42">
        <f>37448.45+69931.1+56.35</f>
        <v>107435.90000000001</v>
      </c>
      <c r="AA8" s="42">
        <f>6412.45+3666.55</f>
        <v>10079</v>
      </c>
      <c r="AB8" s="42">
        <v>0</v>
      </c>
      <c r="AC8" s="42">
        <f>5366.35</f>
        <v>5366.35</v>
      </c>
      <c r="AD8" s="42">
        <v>0</v>
      </c>
      <c r="AE8" s="43">
        <f t="shared" si="3"/>
        <v>122881.25000000001</v>
      </c>
      <c r="AF8" s="42">
        <v>0</v>
      </c>
      <c r="AG8" s="42">
        <f>553.1+3101.7</f>
        <v>3654.7999999999997</v>
      </c>
      <c r="AH8" s="42">
        <v>0</v>
      </c>
      <c r="AI8" s="42">
        <f>20323.25+15210.25+11440</f>
        <v>46973.5</v>
      </c>
      <c r="AJ8" s="42">
        <v>0</v>
      </c>
      <c r="AK8" s="42">
        <f>1612</f>
        <v>1612</v>
      </c>
      <c r="AL8" s="42">
        <v>0</v>
      </c>
      <c r="AM8" s="42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0</v>
      </c>
      <c r="AT8" s="38">
        <v>0</v>
      </c>
      <c r="AU8" s="4">
        <f t="shared" si="5"/>
        <v>175121.55000000005</v>
      </c>
      <c r="AV8" s="38">
        <v>0</v>
      </c>
      <c r="AW8" s="38">
        <f>91756.45</f>
        <v>91756.45</v>
      </c>
      <c r="AX8" s="4">
        <f t="shared" si="6"/>
        <v>0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3">
        <f t="shared" si="7"/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f t="shared" si="8"/>
        <v>0</v>
      </c>
      <c r="BP8" s="42">
        <v>0</v>
      </c>
      <c r="BQ8" s="42">
        <v>0</v>
      </c>
      <c r="BR8" s="42">
        <v>0</v>
      </c>
      <c r="BS8" s="43">
        <f t="shared" si="9"/>
        <v>0</v>
      </c>
      <c r="BT8" s="38">
        <f>262913.52</f>
        <v>262913.52</v>
      </c>
      <c r="BU8" s="38">
        <v>0</v>
      </c>
      <c r="BV8" s="38">
        <v>0</v>
      </c>
      <c r="BW8" s="38">
        <v>0</v>
      </c>
      <c r="BX8" s="4">
        <f t="shared" si="10"/>
        <v>262913.52</v>
      </c>
      <c r="BY8" s="38">
        <f>65743.15</f>
        <v>65743.15</v>
      </c>
      <c r="BZ8" s="38">
        <v>0</v>
      </c>
      <c r="CA8" s="38">
        <f>288926.82-91756.45</f>
        <v>197170.37</v>
      </c>
      <c r="CB8" s="4">
        <f t="shared" si="11"/>
        <v>262913.52</v>
      </c>
      <c r="CC8" s="4">
        <f t="shared" si="12"/>
        <v>0</v>
      </c>
      <c r="CD8" s="74">
        <f t="shared" si="13"/>
        <v>-91756.45</v>
      </c>
      <c r="CE8" s="76">
        <f t="shared" si="14"/>
        <v>-91756.45</v>
      </c>
      <c r="CF8" s="76">
        <f t="shared" si="15"/>
        <v>0</v>
      </c>
      <c r="CG8" s="76">
        <f t="shared" si="16"/>
        <v>175121.55000000005</v>
      </c>
      <c r="CH8" s="76">
        <f t="shared" si="17"/>
        <v>-3654.7999999999997</v>
      </c>
      <c r="CI8" s="37">
        <f t="shared" si="18"/>
        <v>-3654.7999999999997</v>
      </c>
      <c r="CJ8" s="59" t="str">
        <f t="shared" si="36"/>
        <v>-</v>
      </c>
      <c r="CK8" s="59" t="str">
        <f t="shared" si="37"/>
        <v>-</v>
      </c>
      <c r="CL8" s="141">
        <f t="shared" si="38"/>
        <v>-0.5239586447241928</v>
      </c>
      <c r="CM8" s="141">
        <f t="shared" si="39"/>
        <v>-0.5239586447241928</v>
      </c>
      <c r="CN8" s="141">
        <f t="shared" si="40"/>
        <v>-0.020870075670298707</v>
      </c>
      <c r="CO8" s="141">
        <f t="shared" si="41"/>
        <v>-0.020870075670298707</v>
      </c>
      <c r="CP8" s="141" t="str">
        <f t="shared" si="42"/>
        <v>-</v>
      </c>
      <c r="CQ8" s="141" t="str">
        <f t="shared" si="43"/>
        <v>-</v>
      </c>
      <c r="CR8" s="142">
        <f t="shared" si="44"/>
        <v>-2.1488447951070473</v>
      </c>
      <c r="CS8" s="76">
        <f t="shared" si="45"/>
        <v>197170.37000000002</v>
      </c>
      <c r="CT8" s="80">
        <f t="shared" si="19"/>
        <v>266878</v>
      </c>
      <c r="CU8" s="80">
        <f t="shared" si="20"/>
        <v>175121.55000000005</v>
      </c>
      <c r="CV8" s="80">
        <f t="shared" si="21"/>
        <v>-91756.44999999995</v>
      </c>
      <c r="CW8" s="80">
        <f t="shared" si="22"/>
        <v>0</v>
      </c>
      <c r="CX8" s="80">
        <f t="shared" si="23"/>
        <v>-91756.44999999995</v>
      </c>
      <c r="CY8" s="80">
        <f t="shared" si="24"/>
        <v>-91756.44999999995</v>
      </c>
      <c r="CZ8" s="80">
        <f t="shared" si="25"/>
        <v>0</v>
      </c>
      <c r="DA8" s="80">
        <f t="shared" si="26"/>
        <v>0</v>
      </c>
      <c r="DB8" s="80">
        <f t="shared" si="27"/>
        <v>-91756.44999999995</v>
      </c>
      <c r="DC8" s="80">
        <f t="shared" si="46"/>
        <v>-91756.44999999995</v>
      </c>
      <c r="DD8" s="80">
        <f t="shared" si="28"/>
        <v>0</v>
      </c>
      <c r="DE8" s="80">
        <f t="shared" si="29"/>
        <v>-91756.44999999995</v>
      </c>
      <c r="DF8" s="80">
        <f t="shared" si="30"/>
        <v>117514.90000000001</v>
      </c>
      <c r="DG8" s="80">
        <f t="shared" si="31"/>
        <v>303.8064252696457</v>
      </c>
      <c r="DH8" s="80">
        <f t="shared" si="32"/>
        <v>-5.631432973805855</v>
      </c>
      <c r="DI8" s="80">
        <f t="shared" si="33"/>
        <v>181.0707241910632</v>
      </c>
      <c r="DJ8" s="81">
        <f t="shared" si="34"/>
        <v>0</v>
      </c>
      <c r="DK8" s="76">
        <f t="shared" si="35"/>
        <v>-141.38127889060084</v>
      </c>
      <c r="DL8" s="145">
        <f t="shared" si="49"/>
        <v>197170.37</v>
      </c>
      <c r="DM8" s="67"/>
      <c r="DN8" s="68"/>
    </row>
    <row r="9" spans="1:118" ht="12.75">
      <c r="A9" s="52" t="s">
        <v>4</v>
      </c>
      <c r="B9" s="43">
        <v>2738</v>
      </c>
      <c r="C9" s="4">
        <v>8881675</v>
      </c>
      <c r="D9" s="34">
        <v>3243.86</v>
      </c>
      <c r="E9" s="34">
        <v>101.8</v>
      </c>
      <c r="F9" s="8">
        <v>1</v>
      </c>
      <c r="G9" s="131">
        <v>35709.6</v>
      </c>
      <c r="H9" s="43">
        <v>20387.35</v>
      </c>
      <c r="I9" s="43">
        <v>733.9</v>
      </c>
      <c r="J9" s="43">
        <v>0</v>
      </c>
      <c r="K9" s="43">
        <v>0</v>
      </c>
      <c r="L9" s="43">
        <v>0</v>
      </c>
      <c r="M9" s="43">
        <f t="shared" si="0"/>
        <v>0</v>
      </c>
      <c r="N9" s="43">
        <v>0</v>
      </c>
      <c r="O9" s="43">
        <v>12547.6</v>
      </c>
      <c r="P9" s="43">
        <v>1121568.65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f t="shared" si="1"/>
        <v>0</v>
      </c>
      <c r="X9" s="43">
        <v>0</v>
      </c>
      <c r="Y9" s="43">
        <f t="shared" si="2"/>
        <v>1190947.0999999999</v>
      </c>
      <c r="Z9" s="43">
        <v>434154.4</v>
      </c>
      <c r="AA9" s="43">
        <v>0</v>
      </c>
      <c r="AB9" s="43">
        <v>0</v>
      </c>
      <c r="AC9" s="43">
        <v>22735.65</v>
      </c>
      <c r="AD9" s="43">
        <v>0</v>
      </c>
      <c r="AE9" s="43">
        <f t="shared" si="3"/>
        <v>456890.05000000005</v>
      </c>
      <c r="AF9" s="43">
        <v>0</v>
      </c>
      <c r="AG9" s="43">
        <v>15256.1</v>
      </c>
      <c r="AH9" s="43">
        <v>0</v>
      </c>
      <c r="AI9" s="43">
        <v>418844</v>
      </c>
      <c r="AJ9" s="43">
        <v>0</v>
      </c>
      <c r="AK9" s="43">
        <v>20316</v>
      </c>
      <c r="AL9" s="43">
        <v>0</v>
      </c>
      <c r="AM9" s="43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911306.1500000001</v>
      </c>
      <c r="AV9" s="4">
        <v>0</v>
      </c>
      <c r="AW9" s="4">
        <v>279640.95</v>
      </c>
      <c r="AX9" s="4">
        <f t="shared" si="6"/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f t="shared" si="7"/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f t="shared" si="8"/>
        <v>0</v>
      </c>
      <c r="BP9" s="43">
        <v>0</v>
      </c>
      <c r="BQ9" s="43">
        <v>0</v>
      </c>
      <c r="BR9" s="43">
        <v>0</v>
      </c>
      <c r="BS9" s="43">
        <f t="shared" si="9"/>
        <v>0</v>
      </c>
      <c r="BT9" s="4">
        <v>684609.5</v>
      </c>
      <c r="BU9" s="4">
        <v>1</v>
      </c>
      <c r="BV9" s="4">
        <v>0</v>
      </c>
      <c r="BW9" s="4">
        <v>0</v>
      </c>
      <c r="BX9" s="4">
        <f t="shared" si="10"/>
        <v>684610.5</v>
      </c>
      <c r="BY9" s="4">
        <v>296734.75</v>
      </c>
      <c r="BZ9" s="4">
        <v>0</v>
      </c>
      <c r="CA9" s="4">
        <v>387875.75</v>
      </c>
      <c r="CB9" s="4">
        <f t="shared" si="11"/>
        <v>684610.5</v>
      </c>
      <c r="CC9" s="4">
        <f t="shared" si="12"/>
        <v>0</v>
      </c>
      <c r="CD9" s="74">
        <f t="shared" si="13"/>
        <v>-279640.95</v>
      </c>
      <c r="CE9" s="76">
        <f t="shared" si="14"/>
        <v>-279640.95</v>
      </c>
      <c r="CF9" s="76">
        <f t="shared" si="15"/>
        <v>0</v>
      </c>
      <c r="CG9" s="76">
        <f t="shared" si="16"/>
        <v>911306.1500000001</v>
      </c>
      <c r="CH9" s="76">
        <f t="shared" si="17"/>
        <v>-14522.2</v>
      </c>
      <c r="CI9" s="37">
        <f t="shared" si="18"/>
        <v>-14522.2</v>
      </c>
      <c r="CJ9" s="59" t="str">
        <f t="shared" si="36"/>
        <v>-</v>
      </c>
      <c r="CK9" s="59" t="str">
        <f t="shared" si="37"/>
        <v>-</v>
      </c>
      <c r="CL9" s="141">
        <f t="shared" si="38"/>
        <v>-0.3068573058570931</v>
      </c>
      <c r="CM9" s="141">
        <f t="shared" si="39"/>
        <v>-0.3068573058570931</v>
      </c>
      <c r="CN9" s="141">
        <f t="shared" si="40"/>
        <v>-0.01593558871516449</v>
      </c>
      <c r="CO9" s="141">
        <f t="shared" si="41"/>
        <v>-0.01593558871516449</v>
      </c>
      <c r="CP9" s="141">
        <f t="shared" si="42"/>
        <v>0</v>
      </c>
      <c r="CQ9" s="141">
        <f t="shared" si="43"/>
        <v>0</v>
      </c>
      <c r="CR9" s="142">
        <f t="shared" si="44"/>
        <v>-1.3870456025843139</v>
      </c>
      <c r="CS9" s="76">
        <f t="shared" si="45"/>
        <v>387874.75</v>
      </c>
      <c r="CT9" s="80">
        <f t="shared" si="19"/>
        <v>1190947.0999999999</v>
      </c>
      <c r="CU9" s="80">
        <f t="shared" si="20"/>
        <v>911306.1500000001</v>
      </c>
      <c r="CV9" s="80">
        <f t="shared" si="21"/>
        <v>-279640.9499999997</v>
      </c>
      <c r="CW9" s="80">
        <f t="shared" si="22"/>
        <v>0</v>
      </c>
      <c r="CX9" s="80">
        <f t="shared" si="23"/>
        <v>-279640.9499999997</v>
      </c>
      <c r="CY9" s="80">
        <f t="shared" si="24"/>
        <v>-279640.9499999997</v>
      </c>
      <c r="CZ9" s="80">
        <f t="shared" si="25"/>
        <v>0</v>
      </c>
      <c r="DA9" s="80">
        <f t="shared" si="26"/>
        <v>0</v>
      </c>
      <c r="DB9" s="80">
        <f t="shared" si="27"/>
        <v>-279640.9499999997</v>
      </c>
      <c r="DC9" s="80">
        <f t="shared" si="46"/>
        <v>-279640.9499999997</v>
      </c>
      <c r="DD9" s="80">
        <f t="shared" si="28"/>
        <v>0</v>
      </c>
      <c r="DE9" s="80">
        <f t="shared" si="29"/>
        <v>-279640.9499999997</v>
      </c>
      <c r="DF9" s="80">
        <f t="shared" si="30"/>
        <v>434154.4</v>
      </c>
      <c r="DG9" s="80">
        <f t="shared" si="31"/>
        <v>141.66353177501827</v>
      </c>
      <c r="DH9" s="80">
        <f t="shared" si="32"/>
        <v>-5.303944485025567</v>
      </c>
      <c r="DI9" s="80">
        <f t="shared" si="33"/>
        <v>158.56625273922572</v>
      </c>
      <c r="DJ9" s="81">
        <f t="shared" si="34"/>
        <v>0</v>
      </c>
      <c r="DK9" s="76">
        <f t="shared" si="35"/>
        <v>-102.13329072315548</v>
      </c>
      <c r="DL9" s="145">
        <f t="shared" si="49"/>
        <v>387874.75</v>
      </c>
      <c r="DM9" s="64"/>
      <c r="DN9" s="65"/>
    </row>
    <row r="10" spans="1:118" ht="12.75">
      <c r="A10" s="51" t="s">
        <v>5</v>
      </c>
      <c r="B10" s="42">
        <v>531</v>
      </c>
      <c r="C10" s="38">
        <v>1161116</v>
      </c>
      <c r="D10" s="39">
        <v>2186.66</v>
      </c>
      <c r="E10" s="39">
        <v>68.62</v>
      </c>
      <c r="F10" s="126">
        <v>4</v>
      </c>
      <c r="G10" s="132">
        <v>4946.5</v>
      </c>
      <c r="H10" s="42">
        <v>16920.7</v>
      </c>
      <c r="I10" s="42">
        <v>295.15</v>
      </c>
      <c r="J10" s="42">
        <v>0</v>
      </c>
      <c r="K10" s="42">
        <v>0</v>
      </c>
      <c r="L10" s="42">
        <v>0</v>
      </c>
      <c r="M10" s="43">
        <f t="shared" si="0"/>
        <v>0</v>
      </c>
      <c r="N10" s="42">
        <v>0</v>
      </c>
      <c r="O10" s="42">
        <v>12.3</v>
      </c>
      <c r="P10" s="42">
        <v>94675.7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3">
        <f t="shared" si="1"/>
        <v>0</v>
      </c>
      <c r="X10" s="42">
        <v>0</v>
      </c>
      <c r="Y10" s="43">
        <f t="shared" si="2"/>
        <v>116850.35</v>
      </c>
      <c r="Z10" s="42">
        <v>63321.2</v>
      </c>
      <c r="AA10" s="42">
        <v>9736.5</v>
      </c>
      <c r="AB10" s="42">
        <v>0</v>
      </c>
      <c r="AC10" s="42">
        <v>4307.75</v>
      </c>
      <c r="AD10" s="42">
        <v>0</v>
      </c>
      <c r="AE10" s="43">
        <f t="shared" si="3"/>
        <v>77365.45</v>
      </c>
      <c r="AF10" s="42">
        <v>0</v>
      </c>
      <c r="AG10" s="42">
        <v>6877.2</v>
      </c>
      <c r="AH10" s="42">
        <v>0</v>
      </c>
      <c r="AI10" s="42">
        <v>25955.55</v>
      </c>
      <c r="AJ10" s="42">
        <v>0</v>
      </c>
      <c r="AK10" s="42">
        <v>0</v>
      </c>
      <c r="AL10" s="42">
        <v>0</v>
      </c>
      <c r="AM10" s="42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4">
        <f t="shared" si="4"/>
        <v>0</v>
      </c>
      <c r="AT10" s="38">
        <v>0</v>
      </c>
      <c r="AU10" s="4">
        <f t="shared" si="5"/>
        <v>110198.2</v>
      </c>
      <c r="AV10" s="38">
        <v>0</v>
      </c>
      <c r="AW10" s="38">
        <v>6652.15</v>
      </c>
      <c r="AX10" s="4">
        <f t="shared" si="6"/>
        <v>9.094947017729282E-12</v>
      </c>
      <c r="AY10" s="42">
        <v>8211.4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3">
        <f t="shared" si="7"/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8"/>
        <v>0</v>
      </c>
      <c r="BP10" s="42">
        <v>0</v>
      </c>
      <c r="BQ10" s="42">
        <v>0</v>
      </c>
      <c r="BR10" s="42">
        <v>0</v>
      </c>
      <c r="BS10" s="43">
        <f t="shared" si="9"/>
        <v>0</v>
      </c>
      <c r="BT10" s="38">
        <v>289240.77</v>
      </c>
      <c r="BU10" s="38">
        <v>0</v>
      </c>
      <c r="BV10" s="38">
        <v>0</v>
      </c>
      <c r="BW10" s="38">
        <v>0</v>
      </c>
      <c r="BX10" s="4">
        <f t="shared" si="10"/>
        <v>289240.77</v>
      </c>
      <c r="BY10" s="38">
        <v>59229.35</v>
      </c>
      <c r="BZ10" s="38">
        <v>0</v>
      </c>
      <c r="CA10" s="38">
        <v>230011.42</v>
      </c>
      <c r="CB10" s="4">
        <f t="shared" si="11"/>
        <v>289240.77</v>
      </c>
      <c r="CC10" s="4">
        <f t="shared" si="12"/>
        <v>0</v>
      </c>
      <c r="CD10" s="74">
        <f t="shared" si="13"/>
        <v>-6652.15</v>
      </c>
      <c r="CE10" s="76">
        <f t="shared" si="14"/>
        <v>-6652.15</v>
      </c>
      <c r="CF10" s="76">
        <f t="shared" si="15"/>
        <v>0</v>
      </c>
      <c r="CG10" s="76">
        <f t="shared" si="16"/>
        <v>110198.2</v>
      </c>
      <c r="CH10" s="76">
        <f t="shared" si="17"/>
        <v>1629.3499999999995</v>
      </c>
      <c r="CI10" s="37">
        <f t="shared" si="18"/>
        <v>1629.3499999999995</v>
      </c>
      <c r="CJ10" s="59" t="str">
        <f t="shared" si="36"/>
        <v>-</v>
      </c>
      <c r="CK10" s="59" t="str">
        <f t="shared" si="37"/>
        <v>-</v>
      </c>
      <c r="CL10" s="141">
        <f t="shared" si="38"/>
        <v>-0.06036532357152839</v>
      </c>
      <c r="CM10" s="141">
        <f t="shared" si="39"/>
        <v>-0.06036532357152839</v>
      </c>
      <c r="CN10" s="141">
        <f t="shared" si="40"/>
        <v>0.014785631707232964</v>
      </c>
      <c r="CO10" s="141">
        <f t="shared" si="41"/>
        <v>0.014785631707232964</v>
      </c>
      <c r="CP10" s="141" t="str">
        <f t="shared" si="42"/>
        <v>-</v>
      </c>
      <c r="CQ10" s="141" t="str">
        <f t="shared" si="43"/>
        <v>-</v>
      </c>
      <c r="CR10" s="142">
        <f t="shared" si="44"/>
        <v>-34.5770044271401</v>
      </c>
      <c r="CS10" s="76">
        <f t="shared" si="45"/>
        <v>230011.42</v>
      </c>
      <c r="CT10" s="80">
        <f t="shared" si="19"/>
        <v>116850.35</v>
      </c>
      <c r="CU10" s="80">
        <f t="shared" si="20"/>
        <v>110198.2</v>
      </c>
      <c r="CV10" s="80">
        <f t="shared" si="21"/>
        <v>-6652.150000000009</v>
      </c>
      <c r="CW10" s="80">
        <f t="shared" si="22"/>
        <v>0</v>
      </c>
      <c r="CX10" s="80">
        <f t="shared" si="23"/>
        <v>-6652.150000000009</v>
      </c>
      <c r="CY10" s="80">
        <f t="shared" si="24"/>
        <v>-6652.150000000009</v>
      </c>
      <c r="CZ10" s="80">
        <f t="shared" si="25"/>
        <v>0</v>
      </c>
      <c r="DA10" s="80">
        <f t="shared" si="26"/>
        <v>0</v>
      </c>
      <c r="DB10" s="80">
        <f t="shared" si="27"/>
        <v>-6652.150000000009</v>
      </c>
      <c r="DC10" s="80">
        <f t="shared" si="46"/>
        <v>-6652.150000000009</v>
      </c>
      <c r="DD10" s="80">
        <f t="shared" si="28"/>
        <v>0</v>
      </c>
      <c r="DE10" s="80">
        <f t="shared" si="29"/>
        <v>-6652.150000000009</v>
      </c>
      <c r="DF10" s="80">
        <f t="shared" si="30"/>
        <v>73057.7</v>
      </c>
      <c r="DG10" s="80">
        <f t="shared" si="31"/>
        <v>433.166516007533</v>
      </c>
      <c r="DH10" s="80">
        <f t="shared" si="32"/>
        <v>3.0684557438794715</v>
      </c>
      <c r="DI10" s="80">
        <f t="shared" si="33"/>
        <v>137.58512241054612</v>
      </c>
      <c r="DJ10" s="81">
        <f t="shared" si="34"/>
        <v>0</v>
      </c>
      <c r="DK10" s="76">
        <f t="shared" si="35"/>
        <v>-12.527589453860656</v>
      </c>
      <c r="DL10" s="145">
        <f t="shared" si="49"/>
        <v>230011.42</v>
      </c>
      <c r="DM10" s="67"/>
      <c r="DN10" s="68"/>
    </row>
    <row r="11" spans="1:118" ht="12.75">
      <c r="A11" s="52" t="s">
        <v>6</v>
      </c>
      <c r="B11" s="43">
        <v>5551</v>
      </c>
      <c r="C11" s="4">
        <v>21735233</v>
      </c>
      <c r="D11" s="34">
        <v>3915.55</v>
      </c>
      <c r="E11" s="34">
        <v>122.88</v>
      </c>
      <c r="F11" s="8">
        <v>3</v>
      </c>
      <c r="G11" s="131">
        <f>(G40/($B$11+$B$27)*$B$11)</f>
        <v>272363.4133688975</v>
      </c>
      <c r="H11" s="131">
        <f aca="true" t="shared" si="50" ref="H11:AD11">(H40/($B$11+$B$27)*$B$11)</f>
        <v>53239.752271257676</v>
      </c>
      <c r="I11" s="131">
        <f t="shared" si="50"/>
        <v>34.547930811509865</v>
      </c>
      <c r="J11" s="131">
        <f t="shared" si="50"/>
        <v>7673.454372777239</v>
      </c>
      <c r="K11" s="131">
        <f t="shared" si="50"/>
        <v>11138.342628516002</v>
      </c>
      <c r="L11" s="131">
        <f t="shared" si="50"/>
        <v>0</v>
      </c>
      <c r="M11" s="43">
        <f t="shared" si="0"/>
        <v>11138.342628516002</v>
      </c>
      <c r="N11" s="131">
        <f t="shared" si="50"/>
        <v>0</v>
      </c>
      <c r="O11" s="131">
        <f t="shared" si="50"/>
        <v>222.58738279987068</v>
      </c>
      <c r="P11" s="131">
        <f t="shared" si="50"/>
        <v>2398601.143509538</v>
      </c>
      <c r="Q11" s="131">
        <f t="shared" si="50"/>
        <v>0</v>
      </c>
      <c r="R11" s="131">
        <f t="shared" si="50"/>
        <v>0</v>
      </c>
      <c r="S11" s="131">
        <f t="shared" si="50"/>
        <v>0</v>
      </c>
      <c r="T11" s="131">
        <f t="shared" si="50"/>
        <v>0</v>
      </c>
      <c r="U11" s="131">
        <f t="shared" si="50"/>
        <v>0</v>
      </c>
      <c r="V11" s="131">
        <f t="shared" si="50"/>
        <v>0</v>
      </c>
      <c r="W11" s="43">
        <f t="shared" si="1"/>
        <v>0</v>
      </c>
      <c r="X11" s="131">
        <f t="shared" si="50"/>
        <v>8131.865033947624</v>
      </c>
      <c r="Y11" s="43">
        <f t="shared" si="2"/>
        <v>2751405.1064985455</v>
      </c>
      <c r="Z11" s="131">
        <f t="shared" si="50"/>
        <v>1275573.3621968962</v>
      </c>
      <c r="AA11" s="131">
        <f t="shared" si="50"/>
        <v>0</v>
      </c>
      <c r="AB11" s="131">
        <f t="shared" si="50"/>
        <v>0</v>
      </c>
      <c r="AC11" s="131">
        <f t="shared" si="50"/>
        <v>46357.13144196573</v>
      </c>
      <c r="AD11" s="131">
        <f t="shared" si="50"/>
        <v>0</v>
      </c>
      <c r="AE11" s="43">
        <f t="shared" si="3"/>
        <v>1321930.493638862</v>
      </c>
      <c r="AF11" s="131">
        <f>(AF40/($B$11+$B$27)*$B$11)</f>
        <v>0</v>
      </c>
      <c r="AG11" s="131">
        <f aca="true" t="shared" si="51" ref="AG11:CA11">(AG40/($B$11+$B$27)*$B$11)</f>
        <v>51335.75747655998</v>
      </c>
      <c r="AH11" s="131">
        <f t="shared" si="51"/>
        <v>0</v>
      </c>
      <c r="AI11" s="131">
        <f t="shared" si="51"/>
        <v>957550.4612512124</v>
      </c>
      <c r="AJ11" s="131">
        <f t="shared" si="51"/>
        <v>0</v>
      </c>
      <c r="AK11" s="131">
        <f t="shared" si="51"/>
        <v>88197.86124312965</v>
      </c>
      <c r="AL11" s="131">
        <f t="shared" si="51"/>
        <v>0</v>
      </c>
      <c r="AM11" s="131">
        <f t="shared" si="51"/>
        <v>0</v>
      </c>
      <c r="AN11" s="131">
        <f t="shared" si="51"/>
        <v>0</v>
      </c>
      <c r="AO11" s="131">
        <f t="shared" si="51"/>
        <v>0</v>
      </c>
      <c r="AP11" s="131">
        <f t="shared" si="51"/>
        <v>0</v>
      </c>
      <c r="AQ11" s="131">
        <f t="shared" si="51"/>
        <v>0</v>
      </c>
      <c r="AR11" s="131">
        <f t="shared" si="51"/>
        <v>0</v>
      </c>
      <c r="AS11" s="4">
        <f t="shared" si="4"/>
        <v>0</v>
      </c>
      <c r="AT11" s="131">
        <f t="shared" si="51"/>
        <v>8131.865033947624</v>
      </c>
      <c r="AU11" s="4">
        <f t="shared" si="5"/>
        <v>2427146.438643711</v>
      </c>
      <c r="AV11" s="131">
        <f t="shared" si="51"/>
        <v>0</v>
      </c>
      <c r="AW11" s="131">
        <f t="shared" si="51"/>
        <v>324258.6678548335</v>
      </c>
      <c r="AX11" s="4">
        <f t="shared" si="6"/>
        <v>8.731149137020111E-10</v>
      </c>
      <c r="AY11" s="131">
        <f t="shared" si="51"/>
        <v>0</v>
      </c>
      <c r="AZ11" s="131">
        <f t="shared" si="51"/>
        <v>0</v>
      </c>
      <c r="BA11" s="131">
        <f t="shared" si="51"/>
        <v>0</v>
      </c>
      <c r="BB11" s="131">
        <f t="shared" si="51"/>
        <v>0</v>
      </c>
      <c r="BC11" s="131">
        <f t="shared" si="51"/>
        <v>0</v>
      </c>
      <c r="BD11" s="131">
        <f t="shared" si="51"/>
        <v>0</v>
      </c>
      <c r="BE11" s="131">
        <f t="shared" si="51"/>
        <v>0</v>
      </c>
      <c r="BF11" s="43">
        <f t="shared" si="7"/>
        <v>0</v>
      </c>
      <c r="BG11" s="131">
        <f t="shared" si="51"/>
        <v>0</v>
      </c>
      <c r="BH11" s="131">
        <f t="shared" si="51"/>
        <v>0</v>
      </c>
      <c r="BI11" s="131">
        <f t="shared" si="51"/>
        <v>0</v>
      </c>
      <c r="BJ11" s="131">
        <f t="shared" si="51"/>
        <v>0</v>
      </c>
      <c r="BK11" s="131">
        <f t="shared" si="51"/>
        <v>0</v>
      </c>
      <c r="BL11" s="131">
        <f t="shared" si="51"/>
        <v>0</v>
      </c>
      <c r="BM11" s="131">
        <f t="shared" si="51"/>
        <v>0</v>
      </c>
      <c r="BN11" s="131">
        <f t="shared" si="51"/>
        <v>0</v>
      </c>
      <c r="BO11" s="43">
        <f t="shared" si="8"/>
        <v>0</v>
      </c>
      <c r="BP11" s="131">
        <f t="shared" si="51"/>
        <v>0</v>
      </c>
      <c r="BQ11" s="131">
        <f t="shared" si="51"/>
        <v>0</v>
      </c>
      <c r="BR11" s="131">
        <f t="shared" si="51"/>
        <v>0</v>
      </c>
      <c r="BS11" s="43">
        <f t="shared" si="9"/>
        <v>0</v>
      </c>
      <c r="BT11" s="131">
        <f t="shared" si="51"/>
        <v>1937474.0189201422</v>
      </c>
      <c r="BU11" s="131">
        <f t="shared" si="51"/>
        <v>24318.153895893956</v>
      </c>
      <c r="BV11" s="131">
        <f t="shared" si="51"/>
        <v>0</v>
      </c>
      <c r="BW11" s="131">
        <f t="shared" si="51"/>
        <v>0</v>
      </c>
      <c r="BX11" s="4">
        <f t="shared" si="10"/>
        <v>1961792.1728160363</v>
      </c>
      <c r="BY11" s="131">
        <f t="shared" si="51"/>
        <v>720670.7789443907</v>
      </c>
      <c r="BZ11" s="131">
        <f t="shared" si="51"/>
        <v>0</v>
      </c>
      <c r="CA11" s="131">
        <f t="shared" si="51"/>
        <v>1241121.3938716457</v>
      </c>
      <c r="CB11" s="4">
        <f t="shared" si="11"/>
        <v>1961792.1728160363</v>
      </c>
      <c r="CC11" s="4">
        <f t="shared" si="12"/>
        <v>0</v>
      </c>
      <c r="CD11" s="74">
        <f t="shared" si="13"/>
        <v>-313120.32522631745</v>
      </c>
      <c r="CE11" s="76">
        <f t="shared" si="14"/>
        <v>-313120.32522631745</v>
      </c>
      <c r="CF11" s="76">
        <f t="shared" si="15"/>
        <v>0</v>
      </c>
      <c r="CG11" s="76">
        <f>AU11-AM11-AT11-AS11</f>
        <v>2419014.5736097638</v>
      </c>
      <c r="CH11" s="76">
        <f t="shared" si="17"/>
        <v>-51301.20954574847</v>
      </c>
      <c r="CI11" s="37">
        <f t="shared" si="18"/>
        <v>-40162.866917232466</v>
      </c>
      <c r="CJ11" s="59" t="str">
        <f t="shared" si="36"/>
        <v>-</v>
      </c>
      <c r="CK11" s="59" t="str">
        <f t="shared" si="37"/>
        <v>-</v>
      </c>
      <c r="CL11" s="141">
        <f t="shared" si="38"/>
        <v>-0.1294412727572224</v>
      </c>
      <c r="CM11" s="141">
        <f t="shared" si="39"/>
        <v>-0.1294412727572224</v>
      </c>
      <c r="CN11" s="141">
        <f t="shared" si="40"/>
        <v>-0.021207482627603382</v>
      </c>
      <c r="CO11" s="141">
        <f t="shared" si="41"/>
        <v>-0.01660298675146037</v>
      </c>
      <c r="CP11" s="141">
        <f t="shared" si="42"/>
        <v>0.31414109459031947</v>
      </c>
      <c r="CQ11" s="141">
        <f t="shared" si="43"/>
        <v>0.31414109459031947</v>
      </c>
      <c r="CR11" s="142">
        <f t="shared" si="44"/>
        <v>-3.886056387736149</v>
      </c>
      <c r="CS11" s="76">
        <f t="shared" si="45"/>
        <v>1216803.2399757514</v>
      </c>
      <c r="CT11" s="80">
        <f t="shared" si="19"/>
        <v>2740266.7638700297</v>
      </c>
      <c r="CU11" s="80">
        <f t="shared" si="20"/>
        <v>2427146.438643711</v>
      </c>
      <c r="CV11" s="80">
        <f t="shared" si="21"/>
        <v>-313120.32522631856</v>
      </c>
      <c r="CW11" s="80">
        <f t="shared" si="22"/>
        <v>0</v>
      </c>
      <c r="CX11" s="80">
        <f t="shared" si="23"/>
        <v>-313120.32522631856</v>
      </c>
      <c r="CY11" s="80">
        <f t="shared" si="24"/>
        <v>-324258.6678548346</v>
      </c>
      <c r="CZ11" s="80">
        <f t="shared" si="25"/>
        <v>0</v>
      </c>
      <c r="DA11" s="80">
        <f t="shared" si="26"/>
        <v>11138.342628516002</v>
      </c>
      <c r="DB11" s="80">
        <f t="shared" si="27"/>
        <v>-313120.32522631856</v>
      </c>
      <c r="DC11" s="80">
        <f t="shared" si="46"/>
        <v>-313120.32522631856</v>
      </c>
      <c r="DD11" s="80">
        <f t="shared" si="28"/>
        <v>-11138.342628516002</v>
      </c>
      <c r="DE11" s="80">
        <f t="shared" si="29"/>
        <v>-324258.6678548346</v>
      </c>
      <c r="DF11" s="80">
        <f t="shared" si="30"/>
        <v>1275573.3621968962</v>
      </c>
      <c r="DG11" s="80">
        <f t="shared" si="31"/>
        <v>219.20433074684766</v>
      </c>
      <c r="DH11" s="80">
        <f t="shared" si="32"/>
        <v>-9.2417959909473</v>
      </c>
      <c r="DI11" s="80">
        <f t="shared" si="33"/>
        <v>229.7916343355965</v>
      </c>
      <c r="DJ11" s="81">
        <f t="shared" si="34"/>
        <v>0</v>
      </c>
      <c r="DK11" s="76">
        <f t="shared" si="35"/>
        <v>-56.407913029421465</v>
      </c>
      <c r="DL11" s="145">
        <f t="shared" si="49"/>
        <v>1216803.2399757516</v>
      </c>
      <c r="DM11" s="64"/>
      <c r="DN11" s="65"/>
    </row>
    <row r="12" spans="1:118" ht="12.75">
      <c r="A12" s="51" t="s">
        <v>7</v>
      </c>
      <c r="B12" s="42">
        <v>630</v>
      </c>
      <c r="C12" s="38">
        <v>1550894</v>
      </c>
      <c r="D12" s="39">
        <v>2461.74</v>
      </c>
      <c r="E12" s="39">
        <v>77.26</v>
      </c>
      <c r="F12" s="126">
        <v>2</v>
      </c>
      <c r="G12" s="132">
        <f>(G41/($B$12+$B$14+$B$23)*$B$12)</f>
        <v>17658.11027332705</v>
      </c>
      <c r="H12" s="132">
        <f aca="true" t="shared" si="52" ref="H12:BU12">(H41/($B$12+$B$14+$B$23)*$B$12)</f>
        <v>6261.37464655985</v>
      </c>
      <c r="I12" s="132">
        <f t="shared" si="52"/>
        <v>0</v>
      </c>
      <c r="J12" s="132">
        <f t="shared" si="52"/>
        <v>0</v>
      </c>
      <c r="K12" s="132">
        <f t="shared" si="52"/>
        <v>0</v>
      </c>
      <c r="L12" s="132">
        <f t="shared" si="52"/>
        <v>0</v>
      </c>
      <c r="M12" s="43">
        <f t="shared" si="0"/>
        <v>0</v>
      </c>
      <c r="N12" s="132">
        <f t="shared" si="52"/>
        <v>0</v>
      </c>
      <c r="O12" s="132">
        <f t="shared" si="52"/>
        <v>0</v>
      </c>
      <c r="P12" s="132">
        <f t="shared" si="52"/>
        <v>183549.5796418473</v>
      </c>
      <c r="Q12" s="132">
        <f t="shared" si="52"/>
        <v>0</v>
      </c>
      <c r="R12" s="132">
        <f t="shared" si="52"/>
        <v>0</v>
      </c>
      <c r="S12" s="132">
        <f t="shared" si="52"/>
        <v>0</v>
      </c>
      <c r="T12" s="132">
        <f t="shared" si="52"/>
        <v>0</v>
      </c>
      <c r="U12" s="132">
        <f t="shared" si="52"/>
        <v>0</v>
      </c>
      <c r="V12" s="132">
        <f t="shared" si="52"/>
        <v>0</v>
      </c>
      <c r="W12" s="43">
        <f t="shared" si="1"/>
        <v>0</v>
      </c>
      <c r="X12" s="132">
        <f t="shared" si="52"/>
        <v>0</v>
      </c>
      <c r="Y12" s="43">
        <f t="shared" si="2"/>
        <v>207469.06456173418</v>
      </c>
      <c r="Z12" s="132">
        <f t="shared" si="52"/>
        <v>73471.9122525919</v>
      </c>
      <c r="AA12" s="132">
        <f t="shared" si="52"/>
        <v>0</v>
      </c>
      <c r="AB12" s="132">
        <f t="shared" si="52"/>
        <v>0</v>
      </c>
      <c r="AC12" s="132">
        <f t="shared" si="52"/>
        <v>5183.368049010368</v>
      </c>
      <c r="AD12" s="132">
        <f t="shared" si="52"/>
        <v>0</v>
      </c>
      <c r="AE12" s="43">
        <f t="shared" si="3"/>
        <v>78655.28030160227</v>
      </c>
      <c r="AF12" s="132">
        <f t="shared" si="52"/>
        <v>0</v>
      </c>
      <c r="AG12" s="132">
        <f t="shared" si="52"/>
        <v>20395.415739868047</v>
      </c>
      <c r="AH12" s="132">
        <f t="shared" si="52"/>
        <v>0</v>
      </c>
      <c r="AI12" s="132">
        <f t="shared" si="52"/>
        <v>89433.51743638076</v>
      </c>
      <c r="AJ12" s="132">
        <f t="shared" si="52"/>
        <v>0</v>
      </c>
      <c r="AK12" s="132">
        <f t="shared" si="52"/>
        <v>0</v>
      </c>
      <c r="AL12" s="132">
        <f t="shared" si="52"/>
        <v>1171.4081055607917</v>
      </c>
      <c r="AM12" s="132">
        <f t="shared" si="52"/>
        <v>0</v>
      </c>
      <c r="AN12" s="132">
        <f t="shared" si="52"/>
        <v>0</v>
      </c>
      <c r="AO12" s="132">
        <f t="shared" si="52"/>
        <v>0</v>
      </c>
      <c r="AP12" s="132">
        <f t="shared" si="52"/>
        <v>0</v>
      </c>
      <c r="AQ12" s="132">
        <f t="shared" si="52"/>
        <v>0</v>
      </c>
      <c r="AR12" s="132">
        <f t="shared" si="52"/>
        <v>0</v>
      </c>
      <c r="AS12" s="4">
        <f t="shared" si="4"/>
        <v>0</v>
      </c>
      <c r="AT12" s="132">
        <f t="shared" si="52"/>
        <v>0</v>
      </c>
      <c r="AU12" s="4">
        <f>SUM(Z12:AT12)-AE12-AH12-AS12</f>
        <v>189655.62158341188</v>
      </c>
      <c r="AV12" s="132">
        <f t="shared" si="52"/>
        <v>0</v>
      </c>
      <c r="AW12" s="132">
        <f t="shared" si="52"/>
        <v>17813.442978322335</v>
      </c>
      <c r="AX12" s="4">
        <f t="shared" si="6"/>
        <v>-3.2741809263825417E-11</v>
      </c>
      <c r="AY12" s="132">
        <f t="shared" si="52"/>
        <v>0</v>
      </c>
      <c r="AZ12" s="132">
        <f t="shared" si="52"/>
        <v>0</v>
      </c>
      <c r="BA12" s="132">
        <f t="shared" si="52"/>
        <v>0</v>
      </c>
      <c r="BB12" s="132">
        <f t="shared" si="52"/>
        <v>0</v>
      </c>
      <c r="BC12" s="132">
        <f t="shared" si="52"/>
        <v>0</v>
      </c>
      <c r="BD12" s="132">
        <f t="shared" si="52"/>
        <v>0</v>
      </c>
      <c r="BE12" s="132">
        <f t="shared" si="52"/>
        <v>0</v>
      </c>
      <c r="BF12" s="43">
        <f t="shared" si="7"/>
        <v>0</v>
      </c>
      <c r="BG12" s="132">
        <f t="shared" si="52"/>
        <v>0</v>
      </c>
      <c r="BH12" s="132">
        <f t="shared" si="52"/>
        <v>0</v>
      </c>
      <c r="BI12" s="132">
        <f t="shared" si="52"/>
        <v>0</v>
      </c>
      <c r="BJ12" s="132">
        <f t="shared" si="52"/>
        <v>0</v>
      </c>
      <c r="BK12" s="132">
        <f t="shared" si="52"/>
        <v>0</v>
      </c>
      <c r="BL12" s="132">
        <f t="shared" si="52"/>
        <v>0</v>
      </c>
      <c r="BM12" s="132">
        <f t="shared" si="52"/>
        <v>0</v>
      </c>
      <c r="BN12" s="132">
        <f t="shared" si="52"/>
        <v>0</v>
      </c>
      <c r="BO12" s="43">
        <f t="shared" si="8"/>
        <v>0</v>
      </c>
      <c r="BP12" s="132">
        <f t="shared" si="52"/>
        <v>0</v>
      </c>
      <c r="BQ12" s="132">
        <f t="shared" si="52"/>
        <v>0</v>
      </c>
      <c r="BR12" s="132">
        <f t="shared" si="52"/>
        <v>0</v>
      </c>
      <c r="BS12" s="43">
        <f t="shared" si="9"/>
        <v>0</v>
      </c>
      <c r="BT12" s="132">
        <f t="shared" si="52"/>
        <v>696593.9332704995</v>
      </c>
      <c r="BU12" s="132">
        <f t="shared" si="52"/>
        <v>0.5937794533459001</v>
      </c>
      <c r="BV12" s="132">
        <f aca="true" t="shared" si="53" ref="BV12:CA12">(BV41/($B$12+$B$14+$B$23)*$B$12)</f>
        <v>0</v>
      </c>
      <c r="BW12" s="132">
        <f t="shared" si="53"/>
        <v>0</v>
      </c>
      <c r="BX12" s="4">
        <f t="shared" si="10"/>
        <v>696594.5270499528</v>
      </c>
      <c r="BY12" s="132">
        <f t="shared" si="53"/>
        <v>93333.52026390197</v>
      </c>
      <c r="BZ12" s="132">
        <f t="shared" si="53"/>
        <v>0</v>
      </c>
      <c r="CA12" s="132">
        <f t="shared" si="53"/>
        <v>603261.006786051</v>
      </c>
      <c r="CB12" s="4">
        <f t="shared" si="11"/>
        <v>696594.5270499529</v>
      </c>
      <c r="CC12" s="4">
        <f t="shared" si="12"/>
        <v>0</v>
      </c>
      <c r="CD12" s="74">
        <f t="shared" si="13"/>
        <v>-17813.442978322335</v>
      </c>
      <c r="CE12" s="76">
        <f t="shared" si="14"/>
        <v>-17813.442978322335</v>
      </c>
      <c r="CF12" s="76">
        <f t="shared" si="15"/>
        <v>0</v>
      </c>
      <c r="CG12" s="76">
        <f aca="true" t="shared" si="54" ref="CG12:CG31">AU12-AM12-AT12-AS12</f>
        <v>189655.62158341188</v>
      </c>
      <c r="CH12" s="76">
        <f>I12-AG12+AY12+AH12+BQ12</f>
        <v>-20395.415739868047</v>
      </c>
      <c r="CI12" s="37">
        <f t="shared" si="18"/>
        <v>-20395.415739868047</v>
      </c>
      <c r="CJ12" s="59" t="str">
        <f t="shared" si="36"/>
        <v>-</v>
      </c>
      <c r="CK12" s="59" t="str">
        <f t="shared" si="37"/>
        <v>-</v>
      </c>
      <c r="CL12" s="141">
        <f t="shared" si="38"/>
        <v>-0.09392520416531844</v>
      </c>
      <c r="CM12" s="141">
        <f t="shared" si="39"/>
        <v>-0.09392520416531844</v>
      </c>
      <c r="CN12" s="141">
        <f t="shared" si="40"/>
        <v>-0.10753921011984345</v>
      </c>
      <c r="CO12" s="141">
        <f t="shared" si="41"/>
        <v>-0.10753921011984345</v>
      </c>
      <c r="CP12" s="141">
        <f t="shared" si="42"/>
        <v>0</v>
      </c>
      <c r="CQ12" s="141">
        <f t="shared" si="43"/>
        <v>0</v>
      </c>
      <c r="CR12" s="142">
        <f t="shared" si="44"/>
        <v>-33.865458448471834</v>
      </c>
      <c r="CS12" s="76">
        <f t="shared" si="45"/>
        <v>603260.4130065974</v>
      </c>
      <c r="CT12" s="80">
        <f t="shared" si="19"/>
        <v>207469.06456173418</v>
      </c>
      <c r="CU12" s="80">
        <f t="shared" si="20"/>
        <v>189655.62158341188</v>
      </c>
      <c r="CV12" s="80">
        <f t="shared" si="21"/>
        <v>-17813.442978322302</v>
      </c>
      <c r="CW12" s="80">
        <f t="shared" si="22"/>
        <v>0</v>
      </c>
      <c r="CX12" s="80">
        <f t="shared" si="23"/>
        <v>-17813.442978322302</v>
      </c>
      <c r="CY12" s="80">
        <f t="shared" si="24"/>
        <v>-17813.442978322302</v>
      </c>
      <c r="CZ12" s="80">
        <f t="shared" si="25"/>
        <v>0</v>
      </c>
      <c r="DA12" s="80">
        <f t="shared" si="26"/>
        <v>0</v>
      </c>
      <c r="DB12" s="80">
        <f t="shared" si="27"/>
        <v>-17813.442978322302</v>
      </c>
      <c r="DC12" s="80">
        <f t="shared" si="46"/>
        <v>-17813.442978322302</v>
      </c>
      <c r="DD12" s="80">
        <f t="shared" si="28"/>
        <v>0</v>
      </c>
      <c r="DE12" s="80">
        <f t="shared" si="29"/>
        <v>-17813.442978322302</v>
      </c>
      <c r="DF12" s="80">
        <f t="shared" si="30"/>
        <v>73471.9122525919</v>
      </c>
      <c r="DG12" s="80">
        <f t="shared" si="31"/>
        <v>957.5562111215833</v>
      </c>
      <c r="DH12" s="80">
        <f t="shared" si="32"/>
        <v>-32.37367577756833</v>
      </c>
      <c r="DI12" s="80">
        <f t="shared" si="33"/>
        <v>116.62208294062205</v>
      </c>
      <c r="DJ12" s="81">
        <f t="shared" si="34"/>
        <v>0</v>
      </c>
      <c r="DK12" s="76">
        <f t="shared" si="35"/>
        <v>-28.275306314797305</v>
      </c>
      <c r="DL12" s="145">
        <f t="shared" si="49"/>
        <v>603260.4130065977</v>
      </c>
      <c r="DM12" s="67"/>
      <c r="DN12" s="68"/>
    </row>
    <row r="13" spans="1:118" ht="12.75">
      <c r="A13" s="52" t="s">
        <v>8</v>
      </c>
      <c r="B13" s="43">
        <v>345</v>
      </c>
      <c r="C13" s="4">
        <v>661518</v>
      </c>
      <c r="D13" s="34">
        <v>1917.44</v>
      </c>
      <c r="E13" s="34">
        <v>60.17</v>
      </c>
      <c r="F13" s="8">
        <v>4</v>
      </c>
      <c r="G13" s="131">
        <f>505.7+7113.7+474.25</f>
        <v>8093.65</v>
      </c>
      <c r="H13" s="43">
        <f>416.6+136.8+55.6+366.8</f>
        <v>975.8000000000002</v>
      </c>
      <c r="I13" s="43">
        <v>0</v>
      </c>
      <c r="J13" s="43">
        <v>0</v>
      </c>
      <c r="K13" s="43">
        <v>0</v>
      </c>
      <c r="L13" s="43">
        <v>0</v>
      </c>
      <c r="M13" s="43">
        <f t="shared" si="0"/>
        <v>0</v>
      </c>
      <c r="N13" s="43">
        <v>0</v>
      </c>
      <c r="O13" s="43">
        <v>0</v>
      </c>
      <c r="P13" s="43">
        <f>2922+1041.45+600+357+909.2+26479.15+220+60525.15+6403.1</f>
        <v>99457.05000000002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0</v>
      </c>
      <c r="X13" s="43">
        <v>0</v>
      </c>
      <c r="Y13" s="43">
        <f t="shared" si="2"/>
        <v>108526.50000000001</v>
      </c>
      <c r="Z13" s="43">
        <f>16109.9+23195.5</f>
        <v>39305.4</v>
      </c>
      <c r="AA13" s="43">
        <v>0</v>
      </c>
      <c r="AB13" s="43">
        <v>0</v>
      </c>
      <c r="AC13" s="43">
        <f>2760.55</f>
        <v>2760.55</v>
      </c>
      <c r="AD13" s="43">
        <v>0</v>
      </c>
      <c r="AE13" s="43">
        <f t="shared" si="3"/>
        <v>42065.950000000004</v>
      </c>
      <c r="AF13" s="43">
        <v>0</v>
      </c>
      <c r="AG13" s="43">
        <f>221.7+1300</f>
        <v>1521.7</v>
      </c>
      <c r="AH13" s="43">
        <v>0</v>
      </c>
      <c r="AI13" s="43">
        <f>25552.5</f>
        <v>25552.5</v>
      </c>
      <c r="AJ13" s="43">
        <v>0</v>
      </c>
      <c r="AK13" s="43">
        <v>0</v>
      </c>
      <c r="AL13" s="43">
        <v>0</v>
      </c>
      <c r="AM13" s="43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69140.15</v>
      </c>
      <c r="AV13" s="4">
        <v>0</v>
      </c>
      <c r="AW13" s="4">
        <f>39386.35</f>
        <v>39386.35</v>
      </c>
      <c r="AX13" s="4">
        <f t="shared" si="6"/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f t="shared" si="7"/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f t="shared" si="8"/>
        <v>0</v>
      </c>
      <c r="BP13" s="43">
        <v>0</v>
      </c>
      <c r="BQ13" s="43">
        <v>0</v>
      </c>
      <c r="BR13" s="43">
        <v>0</v>
      </c>
      <c r="BS13" s="43">
        <f t="shared" si="9"/>
        <v>0</v>
      </c>
      <c r="BT13" s="4">
        <f>70325.73</f>
        <v>70325.73</v>
      </c>
      <c r="BU13" s="4">
        <v>0</v>
      </c>
      <c r="BV13" s="4">
        <v>0</v>
      </c>
      <c r="BW13" s="4">
        <v>0</v>
      </c>
      <c r="BX13" s="4">
        <f t="shared" si="10"/>
        <v>70325.73</v>
      </c>
      <c r="BY13" s="4">
        <f>22172.05</f>
        <v>22172.05</v>
      </c>
      <c r="BZ13" s="4">
        <v>0</v>
      </c>
      <c r="CA13" s="4">
        <f>48153.68</f>
        <v>48153.68</v>
      </c>
      <c r="CB13" s="4">
        <f t="shared" si="11"/>
        <v>70325.73</v>
      </c>
      <c r="CC13" s="4">
        <f t="shared" si="12"/>
        <v>0</v>
      </c>
      <c r="CD13" s="74">
        <f t="shared" si="13"/>
        <v>-39386.35</v>
      </c>
      <c r="CE13" s="76">
        <f t="shared" si="14"/>
        <v>-39386.35</v>
      </c>
      <c r="CF13" s="76">
        <f t="shared" si="15"/>
        <v>0</v>
      </c>
      <c r="CG13" s="76">
        <f t="shared" si="54"/>
        <v>69140.15</v>
      </c>
      <c r="CH13" s="76">
        <f t="shared" si="17"/>
        <v>-1521.7</v>
      </c>
      <c r="CI13" s="37">
        <f t="shared" si="18"/>
        <v>-1521.7</v>
      </c>
      <c r="CJ13" s="59" t="str">
        <f t="shared" si="36"/>
        <v>-</v>
      </c>
      <c r="CK13" s="59" t="str">
        <f t="shared" si="37"/>
        <v>-</v>
      </c>
      <c r="CL13" s="141">
        <f t="shared" si="38"/>
        <v>-0.5696595972094363</v>
      </c>
      <c r="CM13" s="141">
        <f t="shared" si="39"/>
        <v>-0.5696595972094363</v>
      </c>
      <c r="CN13" s="141">
        <f t="shared" si="40"/>
        <v>-0.02200891956410277</v>
      </c>
      <c r="CO13" s="141">
        <f t="shared" si="41"/>
        <v>-0.02200891956410277</v>
      </c>
      <c r="CP13" s="141" t="str">
        <f t="shared" si="42"/>
        <v>-</v>
      </c>
      <c r="CQ13" s="141" t="str">
        <f t="shared" si="43"/>
        <v>-</v>
      </c>
      <c r="CR13" s="142">
        <f t="shared" si="44"/>
        <v>-1.2225981843963707</v>
      </c>
      <c r="CS13" s="76">
        <f t="shared" si="45"/>
        <v>48153.67999999999</v>
      </c>
      <c r="CT13" s="80">
        <f t="shared" si="19"/>
        <v>108526.50000000001</v>
      </c>
      <c r="CU13" s="80">
        <f t="shared" si="20"/>
        <v>69140.15</v>
      </c>
      <c r="CV13" s="80">
        <f t="shared" si="21"/>
        <v>-39386.35000000002</v>
      </c>
      <c r="CW13" s="80">
        <f t="shared" si="22"/>
        <v>0</v>
      </c>
      <c r="CX13" s="80">
        <f t="shared" si="23"/>
        <v>-39386.35000000002</v>
      </c>
      <c r="CY13" s="80">
        <f t="shared" si="24"/>
        <v>-39386.35000000002</v>
      </c>
      <c r="CZ13" s="80">
        <f t="shared" si="25"/>
        <v>0</v>
      </c>
      <c r="DA13" s="80">
        <f t="shared" si="26"/>
        <v>0</v>
      </c>
      <c r="DB13" s="80">
        <f t="shared" si="27"/>
        <v>-39386.35000000002</v>
      </c>
      <c r="DC13" s="80">
        <f t="shared" si="46"/>
        <v>-39386.35000000002</v>
      </c>
      <c r="DD13" s="80">
        <f t="shared" si="28"/>
        <v>0</v>
      </c>
      <c r="DE13" s="80">
        <f t="shared" si="29"/>
        <v>-39386.35000000002</v>
      </c>
      <c r="DF13" s="80">
        <f t="shared" si="30"/>
        <v>39305.4</v>
      </c>
      <c r="DG13" s="80">
        <f t="shared" si="31"/>
        <v>139.575884057971</v>
      </c>
      <c r="DH13" s="80">
        <f t="shared" si="32"/>
        <v>-4.4107246376811595</v>
      </c>
      <c r="DI13" s="80">
        <f t="shared" si="33"/>
        <v>113.92869565217391</v>
      </c>
      <c r="DJ13" s="81">
        <f t="shared" si="34"/>
        <v>0</v>
      </c>
      <c r="DK13" s="76">
        <f t="shared" si="35"/>
        <v>-114.1633333333334</v>
      </c>
      <c r="DL13" s="145">
        <f t="shared" si="49"/>
        <v>48153.68</v>
      </c>
      <c r="DM13" s="64"/>
      <c r="DN13" s="65"/>
    </row>
    <row r="14" spans="1:118" ht="12.75">
      <c r="A14" s="51" t="s">
        <v>33</v>
      </c>
      <c r="B14" s="42">
        <v>185</v>
      </c>
      <c r="C14" s="38">
        <v>444529</v>
      </c>
      <c r="D14" s="39">
        <v>2402.86</v>
      </c>
      <c r="E14" s="39">
        <v>75.41</v>
      </c>
      <c r="F14" s="126">
        <v>2</v>
      </c>
      <c r="G14" s="132">
        <f>(G41/($B$12+$B$14+$B$23)*$B$14)</f>
        <v>5185.318096135721</v>
      </c>
      <c r="H14" s="132">
        <f aca="true" t="shared" si="55" ref="H14:BU14">(H41/($B$12+$B$14+$B$23)*$B$14)</f>
        <v>1838.6576343072575</v>
      </c>
      <c r="I14" s="132">
        <f t="shared" si="55"/>
        <v>0</v>
      </c>
      <c r="J14" s="132">
        <f t="shared" si="55"/>
        <v>0</v>
      </c>
      <c r="K14" s="132">
        <f t="shared" si="55"/>
        <v>0</v>
      </c>
      <c r="L14" s="132">
        <f t="shared" si="55"/>
        <v>0</v>
      </c>
      <c r="M14" s="43">
        <f t="shared" si="0"/>
        <v>0</v>
      </c>
      <c r="N14" s="132">
        <f t="shared" si="55"/>
        <v>0</v>
      </c>
      <c r="O14" s="132">
        <f t="shared" si="55"/>
        <v>0</v>
      </c>
      <c r="P14" s="132">
        <f t="shared" si="55"/>
        <v>53899.479736098016</v>
      </c>
      <c r="Q14" s="132">
        <f t="shared" si="55"/>
        <v>0</v>
      </c>
      <c r="R14" s="132">
        <f t="shared" si="55"/>
        <v>0</v>
      </c>
      <c r="S14" s="132">
        <f t="shared" si="55"/>
        <v>0</v>
      </c>
      <c r="T14" s="132">
        <f t="shared" si="55"/>
        <v>0</v>
      </c>
      <c r="U14" s="132">
        <f t="shared" si="55"/>
        <v>0</v>
      </c>
      <c r="V14" s="132">
        <f t="shared" si="55"/>
        <v>0</v>
      </c>
      <c r="W14" s="43">
        <f t="shared" si="1"/>
        <v>0</v>
      </c>
      <c r="X14" s="132">
        <f t="shared" si="55"/>
        <v>0</v>
      </c>
      <c r="Y14" s="43">
        <f t="shared" si="2"/>
        <v>60923.455466540996</v>
      </c>
      <c r="Z14" s="132">
        <f t="shared" si="55"/>
        <v>21575.08534401508</v>
      </c>
      <c r="AA14" s="132">
        <f t="shared" si="55"/>
        <v>0</v>
      </c>
      <c r="AB14" s="132">
        <f t="shared" si="55"/>
        <v>0</v>
      </c>
      <c r="AC14" s="132">
        <f t="shared" si="55"/>
        <v>1522.1001413760605</v>
      </c>
      <c r="AD14" s="132">
        <f t="shared" si="55"/>
        <v>0</v>
      </c>
      <c r="AE14" s="43">
        <f t="shared" si="3"/>
        <v>23097.18548539114</v>
      </c>
      <c r="AF14" s="132">
        <f t="shared" si="55"/>
        <v>0</v>
      </c>
      <c r="AG14" s="132">
        <f t="shared" si="55"/>
        <v>5989.130018850141</v>
      </c>
      <c r="AH14" s="132">
        <f t="shared" si="55"/>
        <v>0</v>
      </c>
      <c r="AI14" s="132">
        <f t="shared" si="55"/>
        <v>26262.223374175304</v>
      </c>
      <c r="AJ14" s="132">
        <f t="shared" si="55"/>
        <v>0</v>
      </c>
      <c r="AK14" s="132">
        <f t="shared" si="55"/>
        <v>0</v>
      </c>
      <c r="AL14" s="132">
        <f t="shared" si="55"/>
        <v>343.98491988689915</v>
      </c>
      <c r="AM14" s="132">
        <f t="shared" si="55"/>
        <v>0</v>
      </c>
      <c r="AN14" s="132">
        <f t="shared" si="55"/>
        <v>0</v>
      </c>
      <c r="AO14" s="132">
        <f t="shared" si="55"/>
        <v>0</v>
      </c>
      <c r="AP14" s="132">
        <f t="shared" si="55"/>
        <v>0</v>
      </c>
      <c r="AQ14" s="132">
        <f t="shared" si="55"/>
        <v>0</v>
      </c>
      <c r="AR14" s="132">
        <f t="shared" si="55"/>
        <v>0</v>
      </c>
      <c r="AS14" s="4">
        <f t="shared" si="4"/>
        <v>0</v>
      </c>
      <c r="AT14" s="132">
        <f t="shared" si="55"/>
        <v>0</v>
      </c>
      <c r="AU14" s="4">
        <f t="shared" si="5"/>
        <v>55692.52379830349</v>
      </c>
      <c r="AV14" s="132">
        <f t="shared" si="55"/>
        <v>0</v>
      </c>
      <c r="AW14" s="132">
        <f t="shared" si="55"/>
        <v>5230.931668237511</v>
      </c>
      <c r="AX14" s="4">
        <f t="shared" si="6"/>
        <v>0</v>
      </c>
      <c r="AY14" s="132">
        <f t="shared" si="55"/>
        <v>0</v>
      </c>
      <c r="AZ14" s="132">
        <f t="shared" si="55"/>
        <v>0</v>
      </c>
      <c r="BA14" s="132">
        <f t="shared" si="55"/>
        <v>0</v>
      </c>
      <c r="BB14" s="132">
        <f t="shared" si="55"/>
        <v>0</v>
      </c>
      <c r="BC14" s="132">
        <f t="shared" si="55"/>
        <v>0</v>
      </c>
      <c r="BD14" s="132">
        <f t="shared" si="55"/>
        <v>0</v>
      </c>
      <c r="BE14" s="132">
        <f t="shared" si="55"/>
        <v>0</v>
      </c>
      <c r="BF14" s="43">
        <f t="shared" si="7"/>
        <v>0</v>
      </c>
      <c r="BG14" s="132">
        <f t="shared" si="55"/>
        <v>0</v>
      </c>
      <c r="BH14" s="132">
        <f t="shared" si="55"/>
        <v>0</v>
      </c>
      <c r="BI14" s="132">
        <f t="shared" si="55"/>
        <v>0</v>
      </c>
      <c r="BJ14" s="132">
        <f t="shared" si="55"/>
        <v>0</v>
      </c>
      <c r="BK14" s="132">
        <f t="shared" si="55"/>
        <v>0</v>
      </c>
      <c r="BL14" s="132">
        <f t="shared" si="55"/>
        <v>0</v>
      </c>
      <c r="BM14" s="132">
        <f t="shared" si="55"/>
        <v>0</v>
      </c>
      <c r="BN14" s="132">
        <f t="shared" si="55"/>
        <v>0</v>
      </c>
      <c r="BO14" s="43">
        <f t="shared" si="8"/>
        <v>0</v>
      </c>
      <c r="BP14" s="132">
        <f t="shared" si="55"/>
        <v>0</v>
      </c>
      <c r="BQ14" s="132">
        <f t="shared" si="55"/>
        <v>0</v>
      </c>
      <c r="BR14" s="132">
        <f t="shared" si="55"/>
        <v>0</v>
      </c>
      <c r="BS14" s="43">
        <f t="shared" si="9"/>
        <v>0</v>
      </c>
      <c r="BT14" s="132">
        <f t="shared" si="55"/>
        <v>204555.36135721015</v>
      </c>
      <c r="BU14" s="132">
        <f t="shared" si="55"/>
        <v>0.17436380772855797</v>
      </c>
      <c r="BV14" s="132">
        <f aca="true" t="shared" si="56" ref="BV14:CA14">(BV41/($B$12+$B$14+$B$23)*$B$14)</f>
        <v>0</v>
      </c>
      <c r="BW14" s="132">
        <f t="shared" si="56"/>
        <v>0</v>
      </c>
      <c r="BX14" s="4">
        <f t="shared" si="10"/>
        <v>204555.53572101786</v>
      </c>
      <c r="BY14" s="132">
        <f t="shared" si="56"/>
        <v>27407.462299717245</v>
      </c>
      <c r="BZ14" s="132">
        <f t="shared" si="56"/>
        <v>0</v>
      </c>
      <c r="CA14" s="132">
        <f t="shared" si="56"/>
        <v>177148.07342130068</v>
      </c>
      <c r="CB14" s="4">
        <f t="shared" si="11"/>
        <v>204555.53572101792</v>
      </c>
      <c r="CC14" s="4">
        <f t="shared" si="12"/>
        <v>0</v>
      </c>
      <c r="CD14" s="74">
        <f t="shared" si="13"/>
        <v>-5230.931668237511</v>
      </c>
      <c r="CE14" s="76">
        <f t="shared" si="14"/>
        <v>-5230.931668237511</v>
      </c>
      <c r="CF14" s="76">
        <f t="shared" si="15"/>
        <v>0</v>
      </c>
      <c r="CG14" s="76">
        <f t="shared" si="54"/>
        <v>55692.52379830349</v>
      </c>
      <c r="CH14" s="76">
        <f t="shared" si="17"/>
        <v>-5989.130018850141</v>
      </c>
      <c r="CI14" s="37">
        <f t="shared" si="18"/>
        <v>-5989.130018850141</v>
      </c>
      <c r="CJ14" s="59" t="str">
        <f t="shared" si="36"/>
        <v>-</v>
      </c>
      <c r="CK14" s="59" t="str">
        <f t="shared" si="37"/>
        <v>-</v>
      </c>
      <c r="CL14" s="141">
        <f t="shared" si="38"/>
        <v>-0.09392520416531844</v>
      </c>
      <c r="CM14" s="141">
        <f t="shared" si="39"/>
        <v>-0.09392520416531844</v>
      </c>
      <c r="CN14" s="141">
        <f t="shared" si="40"/>
        <v>-0.10753921011984345</v>
      </c>
      <c r="CO14" s="141">
        <f t="shared" si="41"/>
        <v>-0.10753921011984345</v>
      </c>
      <c r="CP14" s="141">
        <f t="shared" si="42"/>
        <v>0</v>
      </c>
      <c r="CQ14" s="141">
        <f t="shared" si="43"/>
        <v>0</v>
      </c>
      <c r="CR14" s="142">
        <f t="shared" si="44"/>
        <v>-33.86545844847184</v>
      </c>
      <c r="CS14" s="76">
        <f t="shared" si="45"/>
        <v>177147.8990574929</v>
      </c>
      <c r="CT14" s="80">
        <f t="shared" si="19"/>
        <v>60923.455466540996</v>
      </c>
      <c r="CU14" s="80">
        <f t="shared" si="20"/>
        <v>55692.52379830349</v>
      </c>
      <c r="CV14" s="80">
        <f t="shared" si="21"/>
        <v>-5230.9316682375065</v>
      </c>
      <c r="CW14" s="80">
        <f t="shared" si="22"/>
        <v>0</v>
      </c>
      <c r="CX14" s="80">
        <f t="shared" si="23"/>
        <v>-5230.9316682375065</v>
      </c>
      <c r="CY14" s="80">
        <f t="shared" si="24"/>
        <v>-5230.9316682375065</v>
      </c>
      <c r="CZ14" s="80">
        <f t="shared" si="25"/>
        <v>0</v>
      </c>
      <c r="DA14" s="80">
        <f t="shared" si="26"/>
        <v>0</v>
      </c>
      <c r="DB14" s="80">
        <f t="shared" si="27"/>
        <v>-5230.9316682375065</v>
      </c>
      <c r="DC14" s="80">
        <f t="shared" si="46"/>
        <v>-5230.9316682375065</v>
      </c>
      <c r="DD14" s="80">
        <f t="shared" si="28"/>
        <v>0</v>
      </c>
      <c r="DE14" s="80">
        <f t="shared" si="29"/>
        <v>-5230.9316682375065</v>
      </c>
      <c r="DF14" s="80">
        <f t="shared" si="30"/>
        <v>21575.08534401508</v>
      </c>
      <c r="DG14" s="80">
        <f t="shared" si="31"/>
        <v>957.5562111215833</v>
      </c>
      <c r="DH14" s="80">
        <f t="shared" si="32"/>
        <v>-32.37367577756833</v>
      </c>
      <c r="DI14" s="80">
        <f t="shared" si="33"/>
        <v>116.62208294062205</v>
      </c>
      <c r="DJ14" s="81">
        <f t="shared" si="34"/>
        <v>0</v>
      </c>
      <c r="DK14" s="76">
        <f t="shared" si="35"/>
        <v>-28.275306314797334</v>
      </c>
      <c r="DL14" s="145">
        <f t="shared" si="49"/>
        <v>177147.89905749296</v>
      </c>
      <c r="DM14" s="67"/>
      <c r="DN14" s="68"/>
    </row>
    <row r="15" spans="1:118" ht="12.75">
      <c r="A15" s="52" t="s">
        <v>9</v>
      </c>
      <c r="B15" s="43">
        <v>1175</v>
      </c>
      <c r="C15" s="4">
        <v>3092391</v>
      </c>
      <c r="D15" s="34">
        <v>2631.82</v>
      </c>
      <c r="E15" s="34">
        <v>82.59</v>
      </c>
      <c r="F15" s="8">
        <v>6</v>
      </c>
      <c r="G15" s="131">
        <v>20003.6</v>
      </c>
      <c r="H15" s="43">
        <v>9226.95</v>
      </c>
      <c r="I15" s="43">
        <v>3701</v>
      </c>
      <c r="J15" s="43">
        <v>0</v>
      </c>
      <c r="K15" s="43">
        <v>0</v>
      </c>
      <c r="L15" s="43">
        <v>0</v>
      </c>
      <c r="M15" s="43">
        <f t="shared" si="0"/>
        <v>0</v>
      </c>
      <c r="N15" s="43">
        <v>0</v>
      </c>
      <c r="O15" s="43">
        <v>8914.65</v>
      </c>
      <c r="P15" s="43">
        <v>295817.4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f>SUM(R15:V15)</f>
        <v>0</v>
      </c>
      <c r="X15" s="43">
        <v>0</v>
      </c>
      <c r="Y15" s="43">
        <f>SUM(G15:X15)-M15-W15</f>
        <v>337663.60000000003</v>
      </c>
      <c r="Z15" s="43">
        <v>229341.85</v>
      </c>
      <c r="AA15" s="43">
        <v>62037.6</v>
      </c>
      <c r="AB15" s="43">
        <v>0</v>
      </c>
      <c r="AC15" s="43">
        <v>9779.9</v>
      </c>
      <c r="AD15" s="43">
        <v>0</v>
      </c>
      <c r="AE15" s="43">
        <f>SUM(Z15:AD15)</f>
        <v>301159.35000000003</v>
      </c>
      <c r="AF15" s="43">
        <v>0</v>
      </c>
      <c r="AG15" s="43">
        <v>9198.2</v>
      </c>
      <c r="AH15" s="43">
        <v>0</v>
      </c>
      <c r="AI15" s="43">
        <v>40040.15</v>
      </c>
      <c r="AJ15" s="43">
        <v>0</v>
      </c>
      <c r="AK15" s="43">
        <v>806</v>
      </c>
      <c r="AL15" s="43">
        <v>0</v>
      </c>
      <c r="AM15" s="43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f>SUM(AN15:AR15)</f>
        <v>0</v>
      </c>
      <c r="AT15" s="4">
        <v>0</v>
      </c>
      <c r="AU15" s="4">
        <f>SUM(Z15:AT15)-AE15-AH15-AS15</f>
        <v>351203.7</v>
      </c>
      <c r="AV15" s="4">
        <v>13540.1</v>
      </c>
      <c r="AW15" s="4">
        <v>0</v>
      </c>
      <c r="AX15" s="4">
        <f>Y15-AU15+AV15-AW15</f>
        <v>2.3646862246096134E-11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f>SUM(AZ15:BE15)</f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f>SUM(BG15:BN15)</f>
        <v>0</v>
      </c>
      <c r="BP15" s="43">
        <v>0</v>
      </c>
      <c r="BQ15" s="43">
        <v>0</v>
      </c>
      <c r="BR15" s="43">
        <v>0</v>
      </c>
      <c r="BS15" s="43">
        <f>+BF15-BO15+BP15+BQ15-BR15</f>
        <v>0</v>
      </c>
      <c r="BT15" s="4">
        <v>706207.85</v>
      </c>
      <c r="BU15" s="4">
        <v>0</v>
      </c>
      <c r="BV15" s="4">
        <v>0</v>
      </c>
      <c r="BW15" s="4">
        <v>0</v>
      </c>
      <c r="BX15" s="4">
        <f>SUM(BT15:BW15)</f>
        <v>706207.85</v>
      </c>
      <c r="BY15" s="4">
        <v>325602.2</v>
      </c>
      <c r="BZ15" s="4">
        <v>0</v>
      </c>
      <c r="CA15" s="4">
        <v>380605.65</v>
      </c>
      <c r="CB15" s="4">
        <f>SUM(BY15:CA15)</f>
        <v>706207.8500000001</v>
      </c>
      <c r="CC15" s="4">
        <f>BX15-CB15</f>
        <v>0</v>
      </c>
      <c r="CD15" s="74">
        <f>K15+L15+AV15-AW15</f>
        <v>13540.1</v>
      </c>
      <c r="CE15" s="76">
        <f>CD15+W15-AS15</f>
        <v>13540.1</v>
      </c>
      <c r="CF15" s="76">
        <f>BR15-BP15</f>
        <v>0</v>
      </c>
      <c r="CG15" s="76">
        <f t="shared" si="54"/>
        <v>351203.7</v>
      </c>
      <c r="CH15" s="76">
        <f>I15-AG15+AY15+AH15+BQ15</f>
        <v>-5497.200000000001</v>
      </c>
      <c r="CI15" s="37">
        <f>CH15+K15</f>
        <v>-5497.200000000001</v>
      </c>
      <c r="CJ15" s="59" t="str">
        <f t="shared" si="36"/>
        <v>-</v>
      </c>
      <c r="CK15" s="59" t="str">
        <f t="shared" si="37"/>
        <v>-</v>
      </c>
      <c r="CL15" s="141">
        <f t="shared" si="38"/>
        <v>0.03855340931772644</v>
      </c>
      <c r="CM15" s="141">
        <f t="shared" si="39"/>
        <v>0.03855340931772644</v>
      </c>
      <c r="CN15" s="141">
        <f t="shared" si="40"/>
        <v>-0.015652454686553702</v>
      </c>
      <c r="CO15" s="141">
        <f t="shared" si="41"/>
        <v>-0.015652454686553702</v>
      </c>
      <c r="CP15" s="141" t="str">
        <f t="shared" si="42"/>
        <v>-</v>
      </c>
      <c r="CQ15" s="141" t="str">
        <f t="shared" si="43"/>
        <v>-</v>
      </c>
      <c r="CR15" s="142">
        <f t="shared" si="44"/>
        <v>28.10951543932467</v>
      </c>
      <c r="CS15" s="76">
        <f t="shared" si="45"/>
        <v>380605.64999999997</v>
      </c>
      <c r="CT15" s="80">
        <f>Y15-K15-L15-V15</f>
        <v>337663.60000000003</v>
      </c>
      <c r="CU15" s="80">
        <f>AU15-AR15</f>
        <v>351203.7</v>
      </c>
      <c r="CV15" s="80">
        <f>CU15-CT15</f>
        <v>13540.099999999977</v>
      </c>
      <c r="CW15" s="80">
        <f>-V15+AR15</f>
        <v>0</v>
      </c>
      <c r="CX15" s="80">
        <f>CV15+CW15</f>
        <v>13540.099999999977</v>
      </c>
      <c r="CY15" s="80">
        <f>CX15-K15-L15</f>
        <v>13540.099999999977</v>
      </c>
      <c r="CZ15" s="80">
        <f>BR15-BP15</f>
        <v>0</v>
      </c>
      <c r="DA15" s="80">
        <f>K15+L15</f>
        <v>0</v>
      </c>
      <c r="DB15" s="80">
        <f>-CZ15+DA15+CY15</f>
        <v>13540.099999999977</v>
      </c>
      <c r="DC15" s="80">
        <f t="shared" si="46"/>
        <v>13540.099999999977</v>
      </c>
      <c r="DD15" s="80">
        <f>-BP15-DA15</f>
        <v>0</v>
      </c>
      <c r="DE15" s="80">
        <f>DB15+DD15+BR15</f>
        <v>13540.099999999977</v>
      </c>
      <c r="DF15" s="80">
        <f>Z15+AA15+AB15</f>
        <v>291379.45</v>
      </c>
      <c r="DG15" s="80">
        <f>CS15/B15</f>
        <v>323.91970212765955</v>
      </c>
      <c r="DH15" s="80">
        <f>CH15/B15</f>
        <v>-4.678468085106384</v>
      </c>
      <c r="DI15" s="80">
        <f>DF15/B15</f>
        <v>247.9825106382979</v>
      </c>
      <c r="DJ15" s="81">
        <f>CZ15/B15</f>
        <v>0</v>
      </c>
      <c r="DK15" s="76">
        <f>DB15/B15</f>
        <v>11.523489361702108</v>
      </c>
      <c r="DL15" s="145">
        <f t="shared" si="49"/>
        <v>380605.65</v>
      </c>
      <c r="DM15" s="64"/>
      <c r="DN15" s="65"/>
    </row>
    <row r="16" spans="1:118" ht="12.75">
      <c r="A16" s="51" t="s">
        <v>34</v>
      </c>
      <c r="B16" s="42">
        <v>592</v>
      </c>
      <c r="C16" s="38">
        <v>1187023</v>
      </c>
      <c r="D16" s="39">
        <v>2005.11</v>
      </c>
      <c r="E16" s="39">
        <v>62.93</v>
      </c>
      <c r="F16" s="126">
        <v>4</v>
      </c>
      <c r="G16" s="132">
        <f>4819.4+1535+13471+2327.5</f>
        <v>22152.9</v>
      </c>
      <c r="H16" s="42">
        <f>847.4+1008.2+400+6981.25+162+3312.5+346+144.65+900+364.75+105.85+370</f>
        <v>14942.6</v>
      </c>
      <c r="I16" s="42">
        <v>0</v>
      </c>
      <c r="J16" s="42">
        <v>0</v>
      </c>
      <c r="K16" s="42">
        <v>0</v>
      </c>
      <c r="L16" s="42">
        <v>0</v>
      </c>
      <c r="M16" s="43">
        <f t="shared" si="0"/>
        <v>0</v>
      </c>
      <c r="N16" s="42">
        <v>0</v>
      </c>
      <c r="O16" s="42">
        <f>200</f>
        <v>200</v>
      </c>
      <c r="P16" s="42">
        <f>4369.35+710.4+587+1022.4+45969.65+60845.2+51227.7+19225.7+42251+757.3</f>
        <v>226965.7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3">
        <f aca="true" t="shared" si="57" ref="W16:W31">SUM(R16:V16)</f>
        <v>0</v>
      </c>
      <c r="X16" s="42">
        <v>0</v>
      </c>
      <c r="Y16" s="43">
        <f aca="true" t="shared" si="58" ref="Y16:Y31">SUM(G16:X16)-M16-W16</f>
        <v>264261.2</v>
      </c>
      <c r="Z16" s="42">
        <f>19286.1+50138.35</f>
        <v>69424.45</v>
      </c>
      <c r="AA16" s="42">
        <f>126.4</f>
        <v>126.4</v>
      </c>
      <c r="AB16" s="42">
        <v>0</v>
      </c>
      <c r="AC16" s="42">
        <f>4625.3</f>
        <v>4625.3</v>
      </c>
      <c r="AD16" s="42">
        <v>0</v>
      </c>
      <c r="AE16" s="43">
        <f aca="true" t="shared" si="59" ref="AE16:AE31">SUM(Z16:AD16)</f>
        <v>74176.15</v>
      </c>
      <c r="AF16" s="42">
        <v>0</v>
      </c>
      <c r="AG16" s="42">
        <f>1502.85</f>
        <v>1502.85</v>
      </c>
      <c r="AH16" s="42">
        <v>0</v>
      </c>
      <c r="AI16" s="42">
        <f>1587.25+31716+27293.25</f>
        <v>60596.5</v>
      </c>
      <c r="AJ16" s="42">
        <v>0</v>
      </c>
      <c r="AK16" s="42">
        <f>2418</f>
        <v>2418</v>
      </c>
      <c r="AL16" s="42">
        <f>9177.95+3059.3+20000</f>
        <v>32237.25</v>
      </c>
      <c r="AM16" s="42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4">
        <f aca="true" t="shared" si="60" ref="AS16:AS31">SUM(AN16:AR16)</f>
        <v>0</v>
      </c>
      <c r="AT16" s="38">
        <v>0</v>
      </c>
      <c r="AU16" s="4">
        <f aca="true" t="shared" si="61" ref="AU16:AU31">SUM(Z16:AT16)-AE16-AH16-AS16</f>
        <v>170930.75</v>
      </c>
      <c r="AV16" s="38">
        <v>0</v>
      </c>
      <c r="AW16" s="38">
        <f>93330.45</f>
        <v>93330.45</v>
      </c>
      <c r="AX16" s="4">
        <f aca="true" t="shared" si="62" ref="AX16:AX31">Y16-AU16+AV16-AW16</f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3">
        <f aca="true" t="shared" si="63" ref="BF16:BF31">SUM(AZ16:BE16)</f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3">
        <f aca="true" t="shared" si="64" ref="BO16:BO31">SUM(BG16:BN16)</f>
        <v>0</v>
      </c>
      <c r="BP16" s="42">
        <v>0</v>
      </c>
      <c r="BQ16" s="42">
        <v>0</v>
      </c>
      <c r="BR16" s="42">
        <v>0</v>
      </c>
      <c r="BS16" s="43">
        <f aca="true" t="shared" si="65" ref="BS16:BS31">+BF16-BO16+BP16+BQ16-BR16</f>
        <v>0</v>
      </c>
      <c r="BT16" s="38">
        <v>276615.3</v>
      </c>
      <c r="BU16" s="38">
        <v>5000</v>
      </c>
      <c r="BV16" s="38">
        <v>0</v>
      </c>
      <c r="BW16" s="38">
        <v>0</v>
      </c>
      <c r="BX16" s="4">
        <f aca="true" t="shared" si="66" ref="BX16:BX31">SUM(BT16:BW16)</f>
        <v>281615.3</v>
      </c>
      <c r="BY16" s="38">
        <v>149484.8</v>
      </c>
      <c r="BZ16" s="38">
        <v>0</v>
      </c>
      <c r="CA16" s="38">
        <f>132130.5</f>
        <v>132130.5</v>
      </c>
      <c r="CB16" s="4">
        <f aca="true" t="shared" si="67" ref="CB16:CB31">SUM(BY16:CA16)</f>
        <v>281615.3</v>
      </c>
      <c r="CC16" s="4">
        <f aca="true" t="shared" si="68" ref="CC16:CC31">BX16-CB16</f>
        <v>0</v>
      </c>
      <c r="CD16" s="74">
        <f aca="true" t="shared" si="69" ref="CD16:CD31">K16+L16+AV16-AW16</f>
        <v>-93330.45</v>
      </c>
      <c r="CE16" s="76">
        <f aca="true" t="shared" si="70" ref="CE16:CE31">CD16+W16-AS16</f>
        <v>-93330.45</v>
      </c>
      <c r="CF16" s="76">
        <f aca="true" t="shared" si="71" ref="CF16:CF31">BR16-BP16</f>
        <v>0</v>
      </c>
      <c r="CG16" s="76">
        <f t="shared" si="54"/>
        <v>170930.75</v>
      </c>
      <c r="CH16" s="76">
        <f aca="true" t="shared" si="72" ref="CH16:CH31">I16-AG16+AY16+AH16+BQ16</f>
        <v>-1502.85</v>
      </c>
      <c r="CI16" s="37">
        <f aca="true" t="shared" si="73" ref="CI16:CI31">CH16+K16</f>
        <v>-1502.85</v>
      </c>
      <c r="CJ16" s="59" t="str">
        <f t="shared" si="36"/>
        <v>-</v>
      </c>
      <c r="CK16" s="59" t="str">
        <f t="shared" si="37"/>
        <v>-</v>
      </c>
      <c r="CL16" s="141">
        <f t="shared" si="38"/>
        <v>-0.5460132246538437</v>
      </c>
      <c r="CM16" s="141">
        <f t="shared" si="39"/>
        <v>-0.5460132246538437</v>
      </c>
      <c r="CN16" s="141">
        <f t="shared" si="40"/>
        <v>-0.008792157057755845</v>
      </c>
      <c r="CO16" s="141">
        <f t="shared" si="41"/>
        <v>-0.008792157057755845</v>
      </c>
      <c r="CP16" s="141">
        <f t="shared" si="42"/>
        <v>0</v>
      </c>
      <c r="CQ16" s="141">
        <f t="shared" si="43"/>
        <v>0</v>
      </c>
      <c r="CR16" s="142">
        <f t="shared" si="44"/>
        <v>-1.3621545808468727</v>
      </c>
      <c r="CS16" s="76">
        <f t="shared" si="45"/>
        <v>127130.5</v>
      </c>
      <c r="CT16" s="80">
        <f aca="true" t="shared" si="74" ref="CT16:CT31">Y16-K16-L16-V16</f>
        <v>264261.2</v>
      </c>
      <c r="CU16" s="80">
        <f aca="true" t="shared" si="75" ref="CU16:CU31">AU16-AR16</f>
        <v>170930.75</v>
      </c>
      <c r="CV16" s="80">
        <f aca="true" t="shared" si="76" ref="CV16:CV31">CU16-CT16</f>
        <v>-93330.45000000001</v>
      </c>
      <c r="CW16" s="80">
        <f aca="true" t="shared" si="77" ref="CW16:CW31">-V16+AR16</f>
        <v>0</v>
      </c>
      <c r="CX16" s="80">
        <f aca="true" t="shared" si="78" ref="CX16:CX31">CV16+CW16</f>
        <v>-93330.45000000001</v>
      </c>
      <c r="CY16" s="80">
        <f aca="true" t="shared" si="79" ref="CY16:CY31">CX16-K16-L16</f>
        <v>-93330.45000000001</v>
      </c>
      <c r="CZ16" s="80">
        <f aca="true" t="shared" si="80" ref="CZ16:CZ31">BR16-BP16</f>
        <v>0</v>
      </c>
      <c r="DA16" s="80">
        <f aca="true" t="shared" si="81" ref="DA16:DA31">K16+L16</f>
        <v>0</v>
      </c>
      <c r="DB16" s="80">
        <f aca="true" t="shared" si="82" ref="DB16:DB31">-CZ16+DA16+CY16</f>
        <v>-93330.45000000001</v>
      </c>
      <c r="DC16" s="80">
        <f t="shared" si="46"/>
        <v>-93330.45000000001</v>
      </c>
      <c r="DD16" s="80">
        <f aca="true" t="shared" si="83" ref="DD16:DD31">-BP16-DA16</f>
        <v>0</v>
      </c>
      <c r="DE16" s="80">
        <f aca="true" t="shared" si="84" ref="DE16:DE31">DB16+DD16+BR16</f>
        <v>-93330.45000000001</v>
      </c>
      <c r="DF16" s="80">
        <f aca="true" t="shared" si="85" ref="DF16:DF31">Z16+AA16+AB16</f>
        <v>69550.84999999999</v>
      </c>
      <c r="DG16" s="80">
        <f aca="true" t="shared" si="86" ref="DG16:DG31">CS16/B16</f>
        <v>214.74746621621622</v>
      </c>
      <c r="DH16" s="80">
        <f aca="true" t="shared" si="87" ref="DH16:DH31">CH16/B16</f>
        <v>-2.5385979729729726</v>
      </c>
      <c r="DI16" s="80">
        <f aca="true" t="shared" si="88" ref="DI16:DI31">DF16/B16</f>
        <v>117.4845439189189</v>
      </c>
      <c r="DJ16" s="81">
        <f aca="true" t="shared" si="89" ref="DJ16:DJ31">CZ16/B16</f>
        <v>0</v>
      </c>
      <c r="DK16" s="76">
        <f aca="true" t="shared" si="90" ref="DK16:DK31">DB16/B16</f>
        <v>-157.65278716216218</v>
      </c>
      <c r="DL16" s="145">
        <f t="shared" si="49"/>
        <v>127130.5</v>
      </c>
      <c r="DM16" s="67"/>
      <c r="DN16" s="68"/>
    </row>
    <row r="17" spans="1:118" ht="12.75">
      <c r="A17" s="52" t="s">
        <v>10</v>
      </c>
      <c r="B17" s="43">
        <v>380</v>
      </c>
      <c r="C17" s="4">
        <v>918924</v>
      </c>
      <c r="D17" s="34">
        <v>2418.22</v>
      </c>
      <c r="E17" s="34">
        <v>75.89</v>
      </c>
      <c r="F17" s="8">
        <v>4</v>
      </c>
      <c r="G17" s="131">
        <v>16286.15</v>
      </c>
      <c r="H17" s="43">
        <v>1587</v>
      </c>
      <c r="I17" s="43">
        <v>6865.8</v>
      </c>
      <c r="J17" s="43">
        <v>0</v>
      </c>
      <c r="K17" s="43">
        <v>0</v>
      </c>
      <c r="L17" s="43">
        <v>50000</v>
      </c>
      <c r="M17" s="43">
        <f t="shared" si="0"/>
        <v>50000</v>
      </c>
      <c r="N17" s="43">
        <v>0</v>
      </c>
      <c r="O17" s="43">
        <v>71.85</v>
      </c>
      <c r="P17" s="43">
        <v>69815.05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f t="shared" si="57"/>
        <v>0</v>
      </c>
      <c r="X17" s="43">
        <v>0</v>
      </c>
      <c r="Y17" s="43">
        <f t="shared" si="58"/>
        <v>144625.85</v>
      </c>
      <c r="Z17" s="43">
        <v>71422.9</v>
      </c>
      <c r="AA17" s="43">
        <v>265.9</v>
      </c>
      <c r="AB17" s="43">
        <v>0</v>
      </c>
      <c r="AC17" s="43">
        <v>3151.4</v>
      </c>
      <c r="AD17" s="43">
        <v>0</v>
      </c>
      <c r="AE17" s="43">
        <f t="shared" si="59"/>
        <v>74840.19999999998</v>
      </c>
      <c r="AF17" s="43">
        <v>0</v>
      </c>
      <c r="AG17" s="43">
        <v>1872.75</v>
      </c>
      <c r="AH17" s="43">
        <v>0</v>
      </c>
      <c r="AI17" s="43">
        <v>2000</v>
      </c>
      <c r="AJ17" s="43">
        <v>0</v>
      </c>
      <c r="AK17" s="43">
        <v>0</v>
      </c>
      <c r="AL17" s="43">
        <v>0</v>
      </c>
      <c r="AM17" s="43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60"/>
        <v>0</v>
      </c>
      <c r="AT17" s="4">
        <v>0</v>
      </c>
      <c r="AU17" s="4">
        <f t="shared" si="61"/>
        <v>78712.94999999998</v>
      </c>
      <c r="AV17" s="4">
        <v>0</v>
      </c>
      <c r="AW17" s="4">
        <v>65912.9</v>
      </c>
      <c r="AX17" s="4">
        <f t="shared" si="62"/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f t="shared" si="63"/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f t="shared" si="64"/>
        <v>0</v>
      </c>
      <c r="BP17" s="43">
        <v>0</v>
      </c>
      <c r="BQ17" s="43">
        <v>0</v>
      </c>
      <c r="BR17" s="43">
        <v>0</v>
      </c>
      <c r="BS17" s="43">
        <f t="shared" si="65"/>
        <v>0</v>
      </c>
      <c r="BT17" s="4">
        <v>46975.2</v>
      </c>
      <c r="BU17" s="4">
        <v>45000</v>
      </c>
      <c r="BV17" s="4">
        <v>0</v>
      </c>
      <c r="BW17" s="4">
        <f>65912.9+26118.8</f>
        <v>92031.7</v>
      </c>
      <c r="BX17" s="4">
        <f t="shared" si="66"/>
        <v>184006.9</v>
      </c>
      <c r="BY17" s="4">
        <v>184006.9</v>
      </c>
      <c r="BZ17" s="4">
        <v>0</v>
      </c>
      <c r="CA17" s="4">
        <v>0</v>
      </c>
      <c r="CB17" s="4">
        <f t="shared" si="67"/>
        <v>184006.9</v>
      </c>
      <c r="CC17" s="4">
        <f t="shared" si="68"/>
        <v>0</v>
      </c>
      <c r="CD17" s="74">
        <f t="shared" si="69"/>
        <v>-15912.899999999994</v>
      </c>
      <c r="CE17" s="76">
        <f t="shared" si="70"/>
        <v>-15912.899999999994</v>
      </c>
      <c r="CF17" s="76">
        <f t="shared" si="71"/>
        <v>0</v>
      </c>
      <c r="CG17" s="76">
        <f t="shared" si="54"/>
        <v>78712.94999999998</v>
      </c>
      <c r="CH17" s="76">
        <f t="shared" si="72"/>
        <v>4993.05</v>
      </c>
      <c r="CI17" s="37">
        <f t="shared" si="73"/>
        <v>4993.05</v>
      </c>
      <c r="CJ17" s="59" t="str">
        <f t="shared" si="36"/>
        <v>-</v>
      </c>
      <c r="CK17" s="59" t="str">
        <f t="shared" si="37"/>
        <v>-</v>
      </c>
      <c r="CL17" s="141">
        <f t="shared" si="38"/>
        <v>-0.20216368462876816</v>
      </c>
      <c r="CM17" s="141">
        <f t="shared" si="39"/>
        <v>-0.20216368462876816</v>
      </c>
      <c r="CN17" s="141">
        <f t="shared" si="40"/>
        <v>0.06343365354747854</v>
      </c>
      <c r="CO17" s="141">
        <f t="shared" si="41"/>
        <v>0.06343365354747854</v>
      </c>
      <c r="CP17" s="141">
        <f t="shared" si="42"/>
        <v>0.5263157894736842</v>
      </c>
      <c r="CQ17" s="141">
        <f t="shared" si="43"/>
        <v>0</v>
      </c>
      <c r="CR17" s="142">
        <f t="shared" si="44"/>
        <v>8.611359337392937</v>
      </c>
      <c r="CS17" s="76">
        <f t="shared" si="45"/>
        <v>-137031.7</v>
      </c>
      <c r="CT17" s="80">
        <f t="shared" si="74"/>
        <v>94625.85</v>
      </c>
      <c r="CU17" s="80">
        <f t="shared" si="75"/>
        <v>78712.94999999998</v>
      </c>
      <c r="CV17" s="80">
        <f t="shared" si="76"/>
        <v>-15912.900000000023</v>
      </c>
      <c r="CW17" s="80">
        <f t="shared" si="77"/>
        <v>0</v>
      </c>
      <c r="CX17" s="80">
        <f t="shared" si="78"/>
        <v>-15912.900000000023</v>
      </c>
      <c r="CY17" s="80">
        <f t="shared" si="79"/>
        <v>-65912.90000000002</v>
      </c>
      <c r="CZ17" s="80">
        <f t="shared" si="80"/>
        <v>0</v>
      </c>
      <c r="DA17" s="80">
        <f t="shared" si="81"/>
        <v>50000</v>
      </c>
      <c r="DB17" s="80">
        <f t="shared" si="82"/>
        <v>-15912.900000000023</v>
      </c>
      <c r="DC17" s="80">
        <f t="shared" si="46"/>
        <v>-15912.900000000023</v>
      </c>
      <c r="DD17" s="80">
        <f t="shared" si="83"/>
        <v>-50000</v>
      </c>
      <c r="DE17" s="80">
        <f t="shared" si="84"/>
        <v>-65912.90000000002</v>
      </c>
      <c r="DF17" s="80">
        <f t="shared" si="85"/>
        <v>71688.79999999999</v>
      </c>
      <c r="DG17" s="80">
        <f t="shared" si="86"/>
        <v>-360.6097368421053</v>
      </c>
      <c r="DH17" s="80">
        <f t="shared" si="87"/>
        <v>13.139605263157895</v>
      </c>
      <c r="DI17" s="80">
        <f t="shared" si="88"/>
        <v>188.65473684210522</v>
      </c>
      <c r="DJ17" s="81">
        <f t="shared" si="89"/>
        <v>0</v>
      </c>
      <c r="DK17" s="76">
        <f t="shared" si="90"/>
        <v>-41.87605263157901</v>
      </c>
      <c r="DL17" s="145">
        <f t="shared" si="49"/>
        <v>-137031.7</v>
      </c>
      <c r="DM17" s="64"/>
      <c r="DN17" s="65"/>
    </row>
    <row r="18" spans="1:118" ht="12.75">
      <c r="A18" s="51" t="s">
        <v>11</v>
      </c>
      <c r="B18" s="42">
        <v>1046</v>
      </c>
      <c r="C18" s="38">
        <v>6420699</v>
      </c>
      <c r="D18" s="39">
        <v>6138.44</v>
      </c>
      <c r="E18" s="39">
        <v>192.64</v>
      </c>
      <c r="F18" s="126">
        <v>1</v>
      </c>
      <c r="G18" s="132">
        <v>30800.9</v>
      </c>
      <c r="H18" s="42">
        <v>305114.9</v>
      </c>
      <c r="I18" s="42">
        <v>583</v>
      </c>
      <c r="J18" s="42">
        <v>0</v>
      </c>
      <c r="K18" s="42">
        <v>0</v>
      </c>
      <c r="L18" s="42">
        <v>0</v>
      </c>
      <c r="M18" s="43">
        <f t="shared" si="0"/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3">
        <f t="shared" si="57"/>
        <v>0</v>
      </c>
      <c r="X18" s="42">
        <v>0</v>
      </c>
      <c r="Y18" s="43">
        <f t="shared" si="58"/>
        <v>336498.80000000005</v>
      </c>
      <c r="Z18" s="42">
        <v>147441.25</v>
      </c>
      <c r="AA18" s="42">
        <v>0</v>
      </c>
      <c r="AB18" s="42">
        <v>0</v>
      </c>
      <c r="AC18" s="42">
        <v>8525.9</v>
      </c>
      <c r="AD18" s="42">
        <v>0</v>
      </c>
      <c r="AE18" s="43">
        <f t="shared" si="59"/>
        <v>155967.15</v>
      </c>
      <c r="AF18" s="42">
        <v>0</v>
      </c>
      <c r="AG18" s="42">
        <v>44428.3</v>
      </c>
      <c r="AH18" s="42">
        <v>0</v>
      </c>
      <c r="AI18" s="42">
        <v>48317.8</v>
      </c>
      <c r="AJ18" s="42">
        <v>0</v>
      </c>
      <c r="AK18" s="42">
        <v>0</v>
      </c>
      <c r="AL18" s="42">
        <v>0</v>
      </c>
      <c r="AM18" s="42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60"/>
        <v>0</v>
      </c>
      <c r="AT18" s="38">
        <v>0</v>
      </c>
      <c r="AU18" s="4">
        <f t="shared" si="61"/>
        <v>248713.24999999997</v>
      </c>
      <c r="AV18" s="38">
        <v>0</v>
      </c>
      <c r="AW18" s="38">
        <v>87785.55</v>
      </c>
      <c r="AX18" s="4">
        <f t="shared" si="62"/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63"/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3">
        <f t="shared" si="64"/>
        <v>0</v>
      </c>
      <c r="BP18" s="42">
        <v>0</v>
      </c>
      <c r="BQ18" s="42">
        <v>0</v>
      </c>
      <c r="BR18" s="42">
        <v>0</v>
      </c>
      <c r="BS18" s="43">
        <f t="shared" si="65"/>
        <v>0</v>
      </c>
      <c r="BT18" s="38">
        <v>1516504.25</v>
      </c>
      <c r="BU18" s="38">
        <v>0</v>
      </c>
      <c r="BV18" s="38">
        <v>0</v>
      </c>
      <c r="BW18" s="38">
        <v>0</v>
      </c>
      <c r="BX18" s="4">
        <f t="shared" si="66"/>
        <v>1516504.25</v>
      </c>
      <c r="BY18" s="38">
        <v>150629.5</v>
      </c>
      <c r="BZ18" s="38">
        <v>0</v>
      </c>
      <c r="CA18" s="38">
        <v>1365874.75</v>
      </c>
      <c r="CB18" s="4">
        <f t="shared" si="67"/>
        <v>1516504.25</v>
      </c>
      <c r="CC18" s="4">
        <f t="shared" si="68"/>
        <v>0</v>
      </c>
      <c r="CD18" s="74">
        <f t="shared" si="69"/>
        <v>-87785.55</v>
      </c>
      <c r="CE18" s="76">
        <f t="shared" si="70"/>
        <v>-87785.55</v>
      </c>
      <c r="CF18" s="76">
        <f t="shared" si="71"/>
        <v>0</v>
      </c>
      <c r="CG18" s="76">
        <f t="shared" si="54"/>
        <v>248713.24999999997</v>
      </c>
      <c r="CH18" s="76">
        <f t="shared" si="72"/>
        <v>-43845.3</v>
      </c>
      <c r="CI18" s="37">
        <f t="shared" si="73"/>
        <v>-43845.3</v>
      </c>
      <c r="CJ18" s="59" t="str">
        <f t="shared" si="36"/>
        <v>-</v>
      </c>
      <c r="CK18" s="59" t="str">
        <f t="shared" si="37"/>
        <v>-</v>
      </c>
      <c r="CL18" s="141">
        <f t="shared" si="38"/>
        <v>-0.3529588793520249</v>
      </c>
      <c r="CM18" s="141">
        <f t="shared" si="39"/>
        <v>-0.3529588793520249</v>
      </c>
      <c r="CN18" s="141">
        <f t="shared" si="40"/>
        <v>-0.17628855720392866</v>
      </c>
      <c r="CO18" s="141">
        <f t="shared" si="41"/>
        <v>-0.17628855720392866</v>
      </c>
      <c r="CP18" s="141" t="str">
        <f t="shared" si="42"/>
        <v>-</v>
      </c>
      <c r="CQ18" s="141" t="str">
        <f t="shared" si="43"/>
        <v>-</v>
      </c>
      <c r="CR18" s="142">
        <f t="shared" si="44"/>
        <v>-15.559220737353698</v>
      </c>
      <c r="CS18" s="76">
        <f t="shared" si="45"/>
        <v>1365874.75</v>
      </c>
      <c r="CT18" s="80">
        <f t="shared" si="74"/>
        <v>336498.80000000005</v>
      </c>
      <c r="CU18" s="80">
        <f t="shared" si="75"/>
        <v>248713.24999999997</v>
      </c>
      <c r="CV18" s="80">
        <f t="shared" si="76"/>
        <v>-87785.55000000008</v>
      </c>
      <c r="CW18" s="80">
        <f t="shared" si="77"/>
        <v>0</v>
      </c>
      <c r="CX18" s="80">
        <f t="shared" si="78"/>
        <v>-87785.55000000008</v>
      </c>
      <c r="CY18" s="80">
        <f t="shared" si="79"/>
        <v>-87785.55000000008</v>
      </c>
      <c r="CZ18" s="80">
        <f t="shared" si="80"/>
        <v>0</v>
      </c>
      <c r="DA18" s="80">
        <f t="shared" si="81"/>
        <v>0</v>
      </c>
      <c r="DB18" s="80">
        <f t="shared" si="82"/>
        <v>-87785.55000000008</v>
      </c>
      <c r="DC18" s="80">
        <f t="shared" si="46"/>
        <v>-87785.55000000008</v>
      </c>
      <c r="DD18" s="80">
        <f t="shared" si="83"/>
        <v>0</v>
      </c>
      <c r="DE18" s="80">
        <f t="shared" si="84"/>
        <v>-87785.55000000008</v>
      </c>
      <c r="DF18" s="80">
        <f t="shared" si="85"/>
        <v>147441.25</v>
      </c>
      <c r="DG18" s="80">
        <f t="shared" si="86"/>
        <v>1305.8076003824092</v>
      </c>
      <c r="DH18" s="80">
        <f t="shared" si="87"/>
        <v>-41.91711281070746</v>
      </c>
      <c r="DI18" s="80">
        <f t="shared" si="88"/>
        <v>140.95721797323137</v>
      </c>
      <c r="DJ18" s="81">
        <f t="shared" si="89"/>
        <v>0</v>
      </c>
      <c r="DK18" s="76">
        <f t="shared" si="90"/>
        <v>-83.92500000000007</v>
      </c>
      <c r="DL18" s="145">
        <f t="shared" si="49"/>
        <v>1365874.75</v>
      </c>
      <c r="DM18" s="67"/>
      <c r="DN18" s="68"/>
    </row>
    <row r="19" spans="1:118" ht="12.75">
      <c r="A19" s="52" t="s">
        <v>35</v>
      </c>
      <c r="B19" s="43">
        <v>2958</v>
      </c>
      <c r="C19" s="4">
        <v>9501172</v>
      </c>
      <c r="D19" s="34">
        <v>3212.03</v>
      </c>
      <c r="E19" s="34">
        <v>100.8</v>
      </c>
      <c r="F19" s="8">
        <v>4</v>
      </c>
      <c r="G19" s="131">
        <v>67585.25</v>
      </c>
      <c r="H19" s="43">
        <v>17258.55</v>
      </c>
      <c r="I19" s="43">
        <v>32038.55</v>
      </c>
      <c r="J19" s="43">
        <v>4617</v>
      </c>
      <c r="K19" s="43">
        <v>0</v>
      </c>
      <c r="L19" s="43">
        <v>0</v>
      </c>
      <c r="M19" s="43">
        <f t="shared" si="0"/>
        <v>0</v>
      </c>
      <c r="N19" s="43">
        <v>0</v>
      </c>
      <c r="O19" s="43">
        <v>0</v>
      </c>
      <c r="P19" s="43">
        <v>1308390.65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f t="shared" si="57"/>
        <v>0</v>
      </c>
      <c r="X19" s="43">
        <v>0</v>
      </c>
      <c r="Y19" s="43">
        <f t="shared" si="58"/>
        <v>1429890</v>
      </c>
      <c r="Z19" s="43">
        <v>561465</v>
      </c>
      <c r="AA19" s="43">
        <v>43446.15</v>
      </c>
      <c r="AB19" s="43">
        <v>0</v>
      </c>
      <c r="AC19" s="43">
        <v>23867.55</v>
      </c>
      <c r="AD19" s="43">
        <v>0</v>
      </c>
      <c r="AE19" s="43">
        <f t="shared" si="59"/>
        <v>628778.7000000001</v>
      </c>
      <c r="AF19" s="43">
        <v>0</v>
      </c>
      <c r="AG19" s="43">
        <v>58990.2</v>
      </c>
      <c r="AH19" s="43">
        <v>0</v>
      </c>
      <c r="AI19" s="43">
        <v>770091.85</v>
      </c>
      <c r="AJ19" s="43">
        <v>-200</v>
      </c>
      <c r="AK19" s="43">
        <v>0</v>
      </c>
      <c r="AL19" s="43">
        <v>0</v>
      </c>
      <c r="AM19" s="43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60"/>
        <v>0</v>
      </c>
      <c r="AT19" s="4">
        <v>0</v>
      </c>
      <c r="AU19" s="4">
        <f t="shared" si="61"/>
        <v>1457660.75</v>
      </c>
      <c r="AV19" s="4">
        <v>27770.75</v>
      </c>
      <c r="AW19" s="4">
        <v>0</v>
      </c>
      <c r="AX19" s="4">
        <f t="shared" si="62"/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f t="shared" si="63"/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f t="shared" si="64"/>
        <v>0</v>
      </c>
      <c r="BP19" s="43">
        <v>0</v>
      </c>
      <c r="BQ19" s="43">
        <v>0</v>
      </c>
      <c r="BR19" s="43">
        <v>0</v>
      </c>
      <c r="BS19" s="43">
        <f t="shared" si="65"/>
        <v>0</v>
      </c>
      <c r="BT19" s="4">
        <v>1922289.25</v>
      </c>
      <c r="BU19" s="4">
        <v>0</v>
      </c>
      <c r="BV19" s="4">
        <v>0</v>
      </c>
      <c r="BW19" s="4">
        <v>0</v>
      </c>
      <c r="BX19" s="4">
        <f t="shared" si="66"/>
        <v>1922289.25</v>
      </c>
      <c r="BY19" s="4">
        <v>1017746.25</v>
      </c>
      <c r="BZ19" s="4">
        <v>0</v>
      </c>
      <c r="CA19" s="4">
        <v>904543</v>
      </c>
      <c r="CB19" s="4">
        <f t="shared" si="67"/>
        <v>1922289.25</v>
      </c>
      <c r="CC19" s="4">
        <f t="shared" si="68"/>
        <v>0</v>
      </c>
      <c r="CD19" s="74">
        <f t="shared" si="69"/>
        <v>27770.75</v>
      </c>
      <c r="CE19" s="76">
        <f t="shared" si="70"/>
        <v>27770.75</v>
      </c>
      <c r="CF19" s="76">
        <f t="shared" si="71"/>
        <v>0</v>
      </c>
      <c r="CG19" s="76">
        <f t="shared" si="54"/>
        <v>1457660.75</v>
      </c>
      <c r="CH19" s="76">
        <f t="shared" si="72"/>
        <v>-26951.649999999998</v>
      </c>
      <c r="CI19" s="37">
        <f t="shared" si="73"/>
        <v>-26951.649999999998</v>
      </c>
      <c r="CJ19" s="59" t="str">
        <f t="shared" si="36"/>
        <v>-</v>
      </c>
      <c r="CK19" s="59" t="str">
        <f t="shared" si="37"/>
        <v>-</v>
      </c>
      <c r="CL19" s="141">
        <f t="shared" si="38"/>
        <v>0.01905158659173611</v>
      </c>
      <c r="CM19" s="141">
        <f t="shared" si="39"/>
        <v>0.01905158659173611</v>
      </c>
      <c r="CN19" s="141">
        <f t="shared" si="40"/>
        <v>-0.01848965885923731</v>
      </c>
      <c r="CO19" s="141">
        <f t="shared" si="41"/>
        <v>-0.01848965885923731</v>
      </c>
      <c r="CP19" s="141" t="str">
        <f t="shared" si="42"/>
        <v>-</v>
      </c>
      <c r="CQ19" s="141" t="str">
        <f t="shared" si="43"/>
        <v>-</v>
      </c>
      <c r="CR19" s="142">
        <f t="shared" si="44"/>
        <v>32.571788662531624</v>
      </c>
      <c r="CS19" s="76">
        <f t="shared" si="45"/>
        <v>904543</v>
      </c>
      <c r="CT19" s="80">
        <f t="shared" si="74"/>
        <v>1429890</v>
      </c>
      <c r="CU19" s="80">
        <f t="shared" si="75"/>
        <v>1457660.75</v>
      </c>
      <c r="CV19" s="80">
        <f t="shared" si="76"/>
        <v>27770.75</v>
      </c>
      <c r="CW19" s="80">
        <f t="shared" si="77"/>
        <v>0</v>
      </c>
      <c r="CX19" s="80">
        <f t="shared" si="78"/>
        <v>27770.75</v>
      </c>
      <c r="CY19" s="80">
        <f t="shared" si="79"/>
        <v>27770.75</v>
      </c>
      <c r="CZ19" s="80">
        <f t="shared" si="80"/>
        <v>0</v>
      </c>
      <c r="DA19" s="80">
        <f t="shared" si="81"/>
        <v>0</v>
      </c>
      <c r="DB19" s="80">
        <f t="shared" si="82"/>
        <v>27770.75</v>
      </c>
      <c r="DC19" s="80">
        <f t="shared" si="46"/>
        <v>27770.75</v>
      </c>
      <c r="DD19" s="80">
        <f t="shared" si="83"/>
        <v>0</v>
      </c>
      <c r="DE19" s="80">
        <f t="shared" si="84"/>
        <v>27770.75</v>
      </c>
      <c r="DF19" s="80">
        <f t="shared" si="85"/>
        <v>604911.15</v>
      </c>
      <c r="DG19" s="80">
        <f t="shared" si="86"/>
        <v>305.79546991210276</v>
      </c>
      <c r="DH19" s="80">
        <f t="shared" si="87"/>
        <v>-9.111443542934415</v>
      </c>
      <c r="DI19" s="80">
        <f t="shared" si="88"/>
        <v>204.50005070993916</v>
      </c>
      <c r="DJ19" s="81">
        <f t="shared" si="89"/>
        <v>0</v>
      </c>
      <c r="DK19" s="76">
        <f t="shared" si="90"/>
        <v>9.388353617308992</v>
      </c>
      <c r="DL19" s="145">
        <f t="shared" si="49"/>
        <v>904543</v>
      </c>
      <c r="DM19" s="64"/>
      <c r="DN19" s="65"/>
    </row>
    <row r="20" spans="1:118" ht="12.75">
      <c r="A20" s="51" t="s">
        <v>12</v>
      </c>
      <c r="B20" s="42">
        <v>436</v>
      </c>
      <c r="C20" s="38">
        <v>1229517</v>
      </c>
      <c r="D20" s="39">
        <v>2819.99</v>
      </c>
      <c r="E20" s="39">
        <v>88.5</v>
      </c>
      <c r="F20" s="126">
        <v>4</v>
      </c>
      <c r="G20" s="132">
        <v>5580</v>
      </c>
      <c r="H20" s="42">
        <v>1655.8</v>
      </c>
      <c r="I20" s="42">
        <v>0</v>
      </c>
      <c r="J20" s="42">
        <v>0</v>
      </c>
      <c r="K20" s="42">
        <v>0</v>
      </c>
      <c r="L20" s="42">
        <v>0</v>
      </c>
      <c r="M20" s="43">
        <f t="shared" si="0"/>
        <v>0</v>
      </c>
      <c r="N20" s="42">
        <v>0</v>
      </c>
      <c r="O20" s="42">
        <v>2011.4</v>
      </c>
      <c r="P20" s="42">
        <v>125566.9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3">
        <f t="shared" si="57"/>
        <v>0</v>
      </c>
      <c r="X20" s="42">
        <v>0</v>
      </c>
      <c r="Y20" s="43">
        <f t="shared" si="58"/>
        <v>134814.1</v>
      </c>
      <c r="Z20" s="42">
        <v>64463.65</v>
      </c>
      <c r="AA20" s="42">
        <v>16113.65</v>
      </c>
      <c r="AB20" s="42">
        <v>0</v>
      </c>
      <c r="AC20" s="42">
        <v>3623.75</v>
      </c>
      <c r="AD20" s="42">
        <v>0</v>
      </c>
      <c r="AE20" s="43">
        <f t="shared" si="59"/>
        <v>84201.05</v>
      </c>
      <c r="AF20" s="42">
        <v>0</v>
      </c>
      <c r="AG20" s="42">
        <v>895.05</v>
      </c>
      <c r="AH20" s="42">
        <v>0</v>
      </c>
      <c r="AI20" s="42">
        <v>71837.75</v>
      </c>
      <c r="AJ20" s="42">
        <v>0</v>
      </c>
      <c r="AK20" s="42">
        <v>1612</v>
      </c>
      <c r="AL20" s="42">
        <v>0</v>
      </c>
      <c r="AM20" s="42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60"/>
        <v>0</v>
      </c>
      <c r="AT20" s="38">
        <v>0</v>
      </c>
      <c r="AU20" s="4">
        <f t="shared" si="61"/>
        <v>158545.84999999998</v>
      </c>
      <c r="AV20" s="38">
        <v>23731.75</v>
      </c>
      <c r="AW20" s="38">
        <v>0</v>
      </c>
      <c r="AX20" s="4">
        <f t="shared" si="62"/>
        <v>2.9103830456733704E-11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3">
        <f t="shared" si="63"/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3">
        <f t="shared" si="64"/>
        <v>0</v>
      </c>
      <c r="BP20" s="42">
        <v>0</v>
      </c>
      <c r="BQ20" s="42">
        <v>0</v>
      </c>
      <c r="BR20" s="42">
        <v>0</v>
      </c>
      <c r="BS20" s="43">
        <f t="shared" si="65"/>
        <v>0</v>
      </c>
      <c r="BT20" s="38">
        <v>281150.18</v>
      </c>
      <c r="BU20" s="38">
        <v>0</v>
      </c>
      <c r="BV20" s="38">
        <v>0</v>
      </c>
      <c r="BW20" s="38">
        <v>0</v>
      </c>
      <c r="BX20" s="4">
        <f t="shared" si="66"/>
        <v>281150.18</v>
      </c>
      <c r="BY20" s="38">
        <v>100937.15</v>
      </c>
      <c r="BZ20" s="38">
        <v>0</v>
      </c>
      <c r="CA20" s="38">
        <v>180213.03</v>
      </c>
      <c r="CB20" s="4">
        <f t="shared" si="67"/>
        <v>281150.18</v>
      </c>
      <c r="CC20" s="4">
        <f t="shared" si="68"/>
        <v>0</v>
      </c>
      <c r="CD20" s="74">
        <f t="shared" si="69"/>
        <v>23731.75</v>
      </c>
      <c r="CE20" s="76">
        <f t="shared" si="70"/>
        <v>23731.75</v>
      </c>
      <c r="CF20" s="76">
        <f t="shared" si="71"/>
        <v>0</v>
      </c>
      <c r="CG20" s="76">
        <f t="shared" si="54"/>
        <v>158545.84999999998</v>
      </c>
      <c r="CH20" s="76">
        <f t="shared" si="72"/>
        <v>-895.05</v>
      </c>
      <c r="CI20" s="37">
        <f t="shared" si="73"/>
        <v>-895.05</v>
      </c>
      <c r="CJ20" s="59" t="str">
        <f t="shared" si="36"/>
        <v>-</v>
      </c>
      <c r="CK20" s="59" t="str">
        <f t="shared" si="37"/>
        <v>-</v>
      </c>
      <c r="CL20" s="141">
        <f t="shared" si="38"/>
        <v>0.14968382963035617</v>
      </c>
      <c r="CM20" s="141">
        <f t="shared" si="39"/>
        <v>0.14968382963035617</v>
      </c>
      <c r="CN20" s="141">
        <f t="shared" si="40"/>
        <v>-0.005645370093256935</v>
      </c>
      <c r="CO20" s="141">
        <f t="shared" si="41"/>
        <v>-0.005645370093256935</v>
      </c>
      <c r="CP20" s="141" t="str">
        <f t="shared" si="42"/>
        <v>-</v>
      </c>
      <c r="CQ20" s="141" t="str">
        <f t="shared" si="43"/>
        <v>-</v>
      </c>
      <c r="CR20" s="142">
        <f t="shared" si="44"/>
        <v>7.593752251730277</v>
      </c>
      <c r="CS20" s="76">
        <f t="shared" si="45"/>
        <v>180213.03</v>
      </c>
      <c r="CT20" s="80">
        <f t="shared" si="74"/>
        <v>134814.1</v>
      </c>
      <c r="CU20" s="80">
        <f t="shared" si="75"/>
        <v>158545.84999999998</v>
      </c>
      <c r="CV20" s="80">
        <f t="shared" si="76"/>
        <v>23731.74999999997</v>
      </c>
      <c r="CW20" s="80">
        <f t="shared" si="77"/>
        <v>0</v>
      </c>
      <c r="CX20" s="80">
        <f t="shared" si="78"/>
        <v>23731.74999999997</v>
      </c>
      <c r="CY20" s="80">
        <f t="shared" si="79"/>
        <v>23731.74999999997</v>
      </c>
      <c r="CZ20" s="80">
        <f t="shared" si="80"/>
        <v>0</v>
      </c>
      <c r="DA20" s="80">
        <f t="shared" si="81"/>
        <v>0</v>
      </c>
      <c r="DB20" s="80">
        <f t="shared" si="82"/>
        <v>23731.74999999997</v>
      </c>
      <c r="DC20" s="80">
        <f t="shared" si="46"/>
        <v>23731.74999999997</v>
      </c>
      <c r="DD20" s="80">
        <f t="shared" si="83"/>
        <v>0</v>
      </c>
      <c r="DE20" s="80">
        <f t="shared" si="84"/>
        <v>23731.74999999997</v>
      </c>
      <c r="DF20" s="80">
        <f t="shared" si="85"/>
        <v>80577.3</v>
      </c>
      <c r="DG20" s="80">
        <f t="shared" si="86"/>
        <v>413.3326376146789</v>
      </c>
      <c r="DH20" s="80">
        <f t="shared" si="87"/>
        <v>-2.052866972477064</v>
      </c>
      <c r="DI20" s="80">
        <f t="shared" si="88"/>
        <v>184.81032110091743</v>
      </c>
      <c r="DJ20" s="81">
        <f t="shared" si="89"/>
        <v>0</v>
      </c>
      <c r="DK20" s="76">
        <f t="shared" si="90"/>
        <v>54.43061926605498</v>
      </c>
      <c r="DL20" s="145">
        <f t="shared" si="49"/>
        <v>180213.03</v>
      </c>
      <c r="DM20" s="67"/>
      <c r="DN20" s="68"/>
    </row>
    <row r="21" spans="1:118" ht="12.75">
      <c r="A21" s="52" t="s">
        <v>13</v>
      </c>
      <c r="B21" s="43">
        <v>3937</v>
      </c>
      <c r="C21" s="4">
        <v>13719689</v>
      </c>
      <c r="D21" s="34">
        <v>3484.81</v>
      </c>
      <c r="E21" s="34">
        <v>109.36</v>
      </c>
      <c r="F21" s="8">
        <v>2</v>
      </c>
      <c r="G21" s="131">
        <v>164917.1</v>
      </c>
      <c r="H21" s="43">
        <v>45156.9</v>
      </c>
      <c r="I21" s="43">
        <v>0</v>
      </c>
      <c r="J21" s="43">
        <v>0</v>
      </c>
      <c r="K21" s="43">
        <v>0</v>
      </c>
      <c r="L21" s="43">
        <v>0</v>
      </c>
      <c r="M21" s="43">
        <f t="shared" si="0"/>
        <v>0</v>
      </c>
      <c r="N21" s="43">
        <v>0</v>
      </c>
      <c r="O21" s="43">
        <v>0</v>
      </c>
      <c r="P21" s="43">
        <v>1477985.4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f t="shared" si="57"/>
        <v>0</v>
      </c>
      <c r="X21" s="43">
        <v>52869</v>
      </c>
      <c r="Y21" s="43">
        <f t="shared" si="58"/>
        <v>1740928.4</v>
      </c>
      <c r="Z21" s="43">
        <v>537703.9</v>
      </c>
      <c r="AA21" s="43">
        <v>164806.6</v>
      </c>
      <c r="AB21" s="43">
        <v>0</v>
      </c>
      <c r="AC21" s="43">
        <v>31969.95</v>
      </c>
      <c r="AD21" s="43">
        <v>0</v>
      </c>
      <c r="AE21" s="43">
        <f t="shared" si="59"/>
        <v>734480.45</v>
      </c>
      <c r="AF21" s="43">
        <v>0</v>
      </c>
      <c r="AG21" s="43">
        <v>9976.45</v>
      </c>
      <c r="AH21" s="43">
        <v>0</v>
      </c>
      <c r="AI21" s="43">
        <v>723397.71</v>
      </c>
      <c r="AJ21" s="43">
        <v>0</v>
      </c>
      <c r="AK21" s="43">
        <v>88661</v>
      </c>
      <c r="AL21" s="43">
        <v>0</v>
      </c>
      <c r="AM21" s="43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60"/>
        <v>0</v>
      </c>
      <c r="AT21" s="4">
        <v>52869</v>
      </c>
      <c r="AU21" s="4">
        <f t="shared" si="61"/>
        <v>1609384.6099999996</v>
      </c>
      <c r="AV21" s="4">
        <v>0</v>
      </c>
      <c r="AW21" s="4">
        <v>131543.79</v>
      </c>
      <c r="AX21" s="4">
        <f t="shared" si="62"/>
        <v>2.6193447411060333E-10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f t="shared" si="63"/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f t="shared" si="64"/>
        <v>0</v>
      </c>
      <c r="BP21" s="43">
        <v>0</v>
      </c>
      <c r="BQ21" s="43">
        <v>0</v>
      </c>
      <c r="BR21" s="43">
        <v>0</v>
      </c>
      <c r="BS21" s="43">
        <f t="shared" si="65"/>
        <v>0</v>
      </c>
      <c r="BT21" s="4">
        <v>1198714.02</v>
      </c>
      <c r="BU21" s="4">
        <v>0</v>
      </c>
      <c r="BV21" s="4">
        <v>0</v>
      </c>
      <c r="BW21" s="4">
        <v>0</v>
      </c>
      <c r="BX21" s="4">
        <f t="shared" si="66"/>
        <v>1198714.02</v>
      </c>
      <c r="BY21" s="4">
        <v>483587.08</v>
      </c>
      <c r="BZ21" s="4">
        <v>0</v>
      </c>
      <c r="CA21" s="4">
        <v>715126.94</v>
      </c>
      <c r="CB21" s="4">
        <f t="shared" si="67"/>
        <v>1198714.02</v>
      </c>
      <c r="CC21" s="4">
        <f t="shared" si="68"/>
        <v>0</v>
      </c>
      <c r="CD21" s="74">
        <f t="shared" si="69"/>
        <v>-131543.79</v>
      </c>
      <c r="CE21" s="76">
        <f t="shared" si="70"/>
        <v>-131543.79</v>
      </c>
      <c r="CF21" s="76">
        <f t="shared" si="71"/>
        <v>0</v>
      </c>
      <c r="CG21" s="76">
        <f t="shared" si="54"/>
        <v>1556515.6099999996</v>
      </c>
      <c r="CH21" s="76">
        <f t="shared" si="72"/>
        <v>-9976.45</v>
      </c>
      <c r="CI21" s="37">
        <f t="shared" si="73"/>
        <v>-9976.45</v>
      </c>
      <c r="CJ21" s="59" t="str">
        <f t="shared" si="36"/>
        <v>-</v>
      </c>
      <c r="CK21" s="59" t="str">
        <f t="shared" si="37"/>
        <v>-</v>
      </c>
      <c r="CL21" s="141">
        <f t="shared" si="38"/>
        <v>-0.08451170624623548</v>
      </c>
      <c r="CM21" s="141">
        <f t="shared" si="39"/>
        <v>-0.08451170624623548</v>
      </c>
      <c r="CN21" s="141">
        <f t="shared" si="40"/>
        <v>-0.006409476355974357</v>
      </c>
      <c r="CO21" s="141">
        <f t="shared" si="41"/>
        <v>-0.006409476355974357</v>
      </c>
      <c r="CP21" s="141" t="str">
        <f t="shared" si="42"/>
        <v>-</v>
      </c>
      <c r="CQ21" s="141" t="str">
        <f t="shared" si="43"/>
        <v>-</v>
      </c>
      <c r="CR21" s="142">
        <f t="shared" si="44"/>
        <v>-5.436417332965698</v>
      </c>
      <c r="CS21" s="76">
        <f t="shared" si="45"/>
        <v>715126.94</v>
      </c>
      <c r="CT21" s="80">
        <f t="shared" si="74"/>
        <v>1740928.4</v>
      </c>
      <c r="CU21" s="80">
        <f t="shared" si="75"/>
        <v>1609384.6099999996</v>
      </c>
      <c r="CV21" s="80">
        <f t="shared" si="76"/>
        <v>-131543.79000000027</v>
      </c>
      <c r="CW21" s="80">
        <f t="shared" si="77"/>
        <v>0</v>
      </c>
      <c r="CX21" s="80">
        <f t="shared" si="78"/>
        <v>-131543.79000000027</v>
      </c>
      <c r="CY21" s="80">
        <f t="shared" si="79"/>
        <v>-131543.79000000027</v>
      </c>
      <c r="CZ21" s="80">
        <f t="shared" si="80"/>
        <v>0</v>
      </c>
      <c r="DA21" s="80">
        <f t="shared" si="81"/>
        <v>0</v>
      </c>
      <c r="DB21" s="80">
        <f t="shared" si="82"/>
        <v>-131543.79000000027</v>
      </c>
      <c r="DC21" s="80">
        <f t="shared" si="46"/>
        <v>-131543.79000000027</v>
      </c>
      <c r="DD21" s="80">
        <f t="shared" si="83"/>
        <v>0</v>
      </c>
      <c r="DE21" s="80">
        <f t="shared" si="84"/>
        <v>-131543.79000000027</v>
      </c>
      <c r="DF21" s="80">
        <f t="shared" si="85"/>
        <v>702510.5</v>
      </c>
      <c r="DG21" s="80">
        <f t="shared" si="86"/>
        <v>181.64260604521206</v>
      </c>
      <c r="DH21" s="80">
        <f t="shared" si="87"/>
        <v>-2.534023368046736</v>
      </c>
      <c r="DI21" s="80">
        <f t="shared" si="88"/>
        <v>178.43802387604777</v>
      </c>
      <c r="DJ21" s="81">
        <f t="shared" si="89"/>
        <v>0</v>
      </c>
      <c r="DK21" s="76">
        <f t="shared" si="90"/>
        <v>-33.412189484379034</v>
      </c>
      <c r="DL21" s="145">
        <f t="shared" si="49"/>
        <v>715126.94</v>
      </c>
      <c r="DM21" s="64"/>
      <c r="DN21" s="134"/>
    </row>
    <row r="22" spans="1:118" ht="12.75">
      <c r="A22" s="51" t="s">
        <v>14</v>
      </c>
      <c r="B22" s="42">
        <v>2790</v>
      </c>
      <c r="C22" s="38">
        <v>9219366</v>
      </c>
      <c r="D22" s="39">
        <v>3304.43</v>
      </c>
      <c r="E22" s="39">
        <v>103.7</v>
      </c>
      <c r="F22" s="126">
        <v>2</v>
      </c>
      <c r="G22" s="132">
        <v>56779.75</v>
      </c>
      <c r="H22" s="42">
        <v>10968.05</v>
      </c>
      <c r="I22" s="42">
        <v>0</v>
      </c>
      <c r="J22" s="42">
        <v>6988</v>
      </c>
      <c r="K22" s="42">
        <v>0</v>
      </c>
      <c r="L22" s="42">
        <v>0</v>
      </c>
      <c r="M22" s="43">
        <f t="shared" si="0"/>
        <v>0</v>
      </c>
      <c r="N22" s="42">
        <v>0</v>
      </c>
      <c r="O22" s="42">
        <v>0</v>
      </c>
      <c r="P22" s="42">
        <v>1372959.5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3">
        <f t="shared" si="57"/>
        <v>0</v>
      </c>
      <c r="X22" s="42">
        <v>0</v>
      </c>
      <c r="Y22" s="43">
        <f t="shared" si="58"/>
        <v>1447695.3</v>
      </c>
      <c r="Z22" s="42">
        <v>410047</v>
      </c>
      <c r="AA22" s="42">
        <v>0</v>
      </c>
      <c r="AB22" s="42">
        <v>0</v>
      </c>
      <c r="AC22" s="42">
        <v>22287.8</v>
      </c>
      <c r="AD22" s="42">
        <v>0</v>
      </c>
      <c r="AE22" s="43">
        <f t="shared" si="59"/>
        <v>432334.8</v>
      </c>
      <c r="AF22" s="42">
        <v>0</v>
      </c>
      <c r="AG22" s="42">
        <v>17638.65</v>
      </c>
      <c r="AH22" s="42">
        <v>17390</v>
      </c>
      <c r="AI22" s="42">
        <v>570834.95</v>
      </c>
      <c r="AJ22" s="42">
        <v>0</v>
      </c>
      <c r="AK22" s="42">
        <v>0</v>
      </c>
      <c r="AL22" s="42">
        <v>0</v>
      </c>
      <c r="AM22" s="42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4">
        <f t="shared" si="60"/>
        <v>0</v>
      </c>
      <c r="AT22" s="38">
        <v>0</v>
      </c>
      <c r="AU22" s="4">
        <f t="shared" si="61"/>
        <v>1020808.3999999999</v>
      </c>
      <c r="AV22" s="38">
        <v>0</v>
      </c>
      <c r="AW22" s="38">
        <v>426886.9</v>
      </c>
      <c r="AX22" s="4">
        <f t="shared" si="62"/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3">
        <f t="shared" si="63"/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3">
        <f t="shared" si="64"/>
        <v>0</v>
      </c>
      <c r="BP22" s="42">
        <v>0</v>
      </c>
      <c r="BQ22" s="42">
        <v>0</v>
      </c>
      <c r="BR22" s="42">
        <v>0</v>
      </c>
      <c r="BS22" s="43">
        <f t="shared" si="65"/>
        <v>0</v>
      </c>
      <c r="BT22" s="38">
        <v>483060.3</v>
      </c>
      <c r="BU22" s="38">
        <v>1</v>
      </c>
      <c r="BV22" s="38">
        <v>0</v>
      </c>
      <c r="BW22" s="38">
        <v>0</v>
      </c>
      <c r="BX22" s="4">
        <f t="shared" si="66"/>
        <v>483061.3</v>
      </c>
      <c r="BY22" s="38">
        <v>402399.25</v>
      </c>
      <c r="BZ22" s="38">
        <v>0</v>
      </c>
      <c r="CA22" s="38">
        <v>80662.05</v>
      </c>
      <c r="CB22" s="4">
        <f t="shared" si="67"/>
        <v>483061.3</v>
      </c>
      <c r="CC22" s="4">
        <f t="shared" si="68"/>
        <v>0</v>
      </c>
      <c r="CD22" s="74">
        <f t="shared" si="69"/>
        <v>-426886.9</v>
      </c>
      <c r="CE22" s="76">
        <f t="shared" si="70"/>
        <v>-426886.9</v>
      </c>
      <c r="CF22" s="76">
        <f t="shared" si="71"/>
        <v>0</v>
      </c>
      <c r="CG22" s="76">
        <f t="shared" si="54"/>
        <v>1020808.3999999999</v>
      </c>
      <c r="CH22" s="76">
        <f t="shared" si="72"/>
        <v>-248.65000000000146</v>
      </c>
      <c r="CI22" s="37">
        <f t="shared" si="73"/>
        <v>-248.65000000000146</v>
      </c>
      <c r="CJ22" s="59" t="str">
        <f t="shared" si="36"/>
        <v>-</v>
      </c>
      <c r="CK22" s="59" t="str">
        <f t="shared" si="37"/>
        <v>-</v>
      </c>
      <c r="CL22" s="141">
        <f t="shared" si="38"/>
        <v>-0.41818513640757665</v>
      </c>
      <c r="CM22" s="141">
        <f t="shared" si="39"/>
        <v>-0.41818513640757665</v>
      </c>
      <c r="CN22" s="141">
        <f t="shared" si="40"/>
        <v>-0.0002435814595569565</v>
      </c>
      <c r="CO22" s="141">
        <f t="shared" si="41"/>
        <v>-0.0002435814595569565</v>
      </c>
      <c r="CP22" s="141">
        <f t="shared" si="42"/>
        <v>0</v>
      </c>
      <c r="CQ22" s="141">
        <f t="shared" si="43"/>
        <v>0</v>
      </c>
      <c r="CR22" s="142">
        <f t="shared" si="44"/>
        <v>-0.18895180433037412</v>
      </c>
      <c r="CS22" s="76">
        <f t="shared" si="45"/>
        <v>80661.04999999999</v>
      </c>
      <c r="CT22" s="80">
        <f t="shared" si="74"/>
        <v>1447695.3</v>
      </c>
      <c r="CU22" s="80">
        <f t="shared" si="75"/>
        <v>1020808.3999999999</v>
      </c>
      <c r="CV22" s="80">
        <f t="shared" si="76"/>
        <v>-426886.90000000014</v>
      </c>
      <c r="CW22" s="80">
        <f t="shared" si="77"/>
        <v>0</v>
      </c>
      <c r="CX22" s="80">
        <f t="shared" si="78"/>
        <v>-426886.90000000014</v>
      </c>
      <c r="CY22" s="80">
        <f t="shared" si="79"/>
        <v>-426886.90000000014</v>
      </c>
      <c r="CZ22" s="80">
        <f t="shared" si="80"/>
        <v>0</v>
      </c>
      <c r="DA22" s="80">
        <f t="shared" si="81"/>
        <v>0</v>
      </c>
      <c r="DB22" s="80">
        <f t="shared" si="82"/>
        <v>-426886.90000000014</v>
      </c>
      <c r="DC22" s="80">
        <f t="shared" si="46"/>
        <v>-426886.90000000014</v>
      </c>
      <c r="DD22" s="80">
        <f t="shared" si="83"/>
        <v>0</v>
      </c>
      <c r="DE22" s="80">
        <f t="shared" si="84"/>
        <v>-426886.90000000014</v>
      </c>
      <c r="DF22" s="80">
        <f t="shared" si="85"/>
        <v>410047</v>
      </c>
      <c r="DG22" s="80">
        <f t="shared" si="86"/>
        <v>28.91077060931899</v>
      </c>
      <c r="DH22" s="80">
        <f t="shared" si="87"/>
        <v>-0.08912186379928368</v>
      </c>
      <c r="DI22" s="80">
        <f t="shared" si="88"/>
        <v>146.97025089605734</v>
      </c>
      <c r="DJ22" s="81">
        <f t="shared" si="89"/>
        <v>0</v>
      </c>
      <c r="DK22" s="76">
        <f t="shared" si="90"/>
        <v>-153.0060573476703</v>
      </c>
      <c r="DL22" s="145">
        <f t="shared" si="49"/>
        <v>80661.05</v>
      </c>
      <c r="DM22" s="67"/>
      <c r="DN22" s="68"/>
    </row>
    <row r="23" spans="1:118" ht="12.75">
      <c r="A23" s="52" t="s">
        <v>15</v>
      </c>
      <c r="B23" s="43">
        <v>246</v>
      </c>
      <c r="C23" s="4">
        <v>657883</v>
      </c>
      <c r="D23" s="34">
        <v>2674.32</v>
      </c>
      <c r="E23" s="34">
        <v>83.93</v>
      </c>
      <c r="F23" s="8">
        <v>2</v>
      </c>
      <c r="G23" s="137">
        <f>(G41/($B$12+$B$14+$B$23)*$B$23)</f>
        <v>6895.071630537229</v>
      </c>
      <c r="H23" s="137">
        <f aca="true" t="shared" si="91" ref="H23:BU23">(H41/($B$12+$B$14+$B$23)*$B$23)</f>
        <v>2444.9177191328936</v>
      </c>
      <c r="I23" s="137">
        <f t="shared" si="91"/>
        <v>0</v>
      </c>
      <c r="J23" s="137">
        <f t="shared" si="91"/>
        <v>0</v>
      </c>
      <c r="K23" s="137">
        <f t="shared" si="91"/>
        <v>0</v>
      </c>
      <c r="L23" s="137">
        <f t="shared" si="91"/>
        <v>0</v>
      </c>
      <c r="M23" s="43">
        <f t="shared" si="0"/>
        <v>0</v>
      </c>
      <c r="N23" s="137">
        <f t="shared" si="91"/>
        <v>0</v>
      </c>
      <c r="O23" s="137">
        <f t="shared" si="91"/>
        <v>0</v>
      </c>
      <c r="P23" s="137">
        <f t="shared" si="91"/>
        <v>71671.74062205465</v>
      </c>
      <c r="Q23" s="137">
        <f t="shared" si="91"/>
        <v>0</v>
      </c>
      <c r="R23" s="137">
        <f t="shared" si="91"/>
        <v>0</v>
      </c>
      <c r="S23" s="137">
        <f t="shared" si="91"/>
        <v>0</v>
      </c>
      <c r="T23" s="137">
        <f t="shared" si="91"/>
        <v>0</v>
      </c>
      <c r="U23" s="137">
        <f t="shared" si="91"/>
        <v>0</v>
      </c>
      <c r="V23" s="137">
        <f t="shared" si="91"/>
        <v>0</v>
      </c>
      <c r="W23" s="43">
        <f t="shared" si="57"/>
        <v>0</v>
      </c>
      <c r="X23" s="137">
        <f t="shared" si="91"/>
        <v>0</v>
      </c>
      <c r="Y23" s="43">
        <f>SUM(G23:X23)-M23-W23</f>
        <v>81011.72997172478</v>
      </c>
      <c r="Z23" s="137">
        <f t="shared" si="91"/>
        <v>28689.032403393023</v>
      </c>
      <c r="AA23" s="137">
        <f t="shared" si="91"/>
        <v>0</v>
      </c>
      <c r="AB23" s="137">
        <f t="shared" si="91"/>
        <v>0</v>
      </c>
      <c r="AC23" s="137">
        <f t="shared" si="91"/>
        <v>2023.9818096135723</v>
      </c>
      <c r="AD23" s="137">
        <f t="shared" si="91"/>
        <v>0</v>
      </c>
      <c r="AE23" s="43">
        <f t="shared" si="59"/>
        <v>30713.014213006594</v>
      </c>
      <c r="AF23" s="137">
        <f t="shared" si="91"/>
        <v>0</v>
      </c>
      <c r="AG23" s="137">
        <f t="shared" si="91"/>
        <v>7963.924241281809</v>
      </c>
      <c r="AH23" s="137">
        <f t="shared" si="91"/>
        <v>0</v>
      </c>
      <c r="AI23" s="137">
        <f t="shared" si="91"/>
        <v>34921.65918944392</v>
      </c>
      <c r="AJ23" s="137">
        <f t="shared" si="91"/>
        <v>0</v>
      </c>
      <c r="AK23" s="137">
        <f t="shared" si="91"/>
        <v>0</v>
      </c>
      <c r="AL23" s="137">
        <f t="shared" si="91"/>
        <v>457.4069745523091</v>
      </c>
      <c r="AM23" s="137">
        <f t="shared" si="91"/>
        <v>0</v>
      </c>
      <c r="AN23" s="137">
        <f t="shared" si="91"/>
        <v>0</v>
      </c>
      <c r="AO23" s="137">
        <f t="shared" si="91"/>
        <v>0</v>
      </c>
      <c r="AP23" s="137">
        <f t="shared" si="91"/>
        <v>0</v>
      </c>
      <c r="AQ23" s="137">
        <f t="shared" si="91"/>
        <v>0</v>
      </c>
      <c r="AR23" s="137">
        <f t="shared" si="91"/>
        <v>0</v>
      </c>
      <c r="AS23" s="4">
        <f t="shared" si="60"/>
        <v>0</v>
      </c>
      <c r="AT23" s="137">
        <f t="shared" si="91"/>
        <v>0</v>
      </c>
      <c r="AU23" s="4">
        <f t="shared" si="61"/>
        <v>74056.00461828464</v>
      </c>
      <c r="AV23" s="137">
        <f t="shared" si="91"/>
        <v>0</v>
      </c>
      <c r="AW23" s="137">
        <f t="shared" si="91"/>
        <v>6955.72535344015</v>
      </c>
      <c r="AX23" s="4">
        <f t="shared" si="62"/>
        <v>-1.0913936421275139E-11</v>
      </c>
      <c r="AY23" s="137">
        <f t="shared" si="91"/>
        <v>0</v>
      </c>
      <c r="AZ23" s="137">
        <f t="shared" si="91"/>
        <v>0</v>
      </c>
      <c r="BA23" s="137">
        <f t="shared" si="91"/>
        <v>0</v>
      </c>
      <c r="BB23" s="137">
        <f t="shared" si="91"/>
        <v>0</v>
      </c>
      <c r="BC23" s="137">
        <f t="shared" si="91"/>
        <v>0</v>
      </c>
      <c r="BD23" s="137">
        <f t="shared" si="91"/>
        <v>0</v>
      </c>
      <c r="BE23" s="137">
        <f t="shared" si="91"/>
        <v>0</v>
      </c>
      <c r="BF23" s="43">
        <f t="shared" si="63"/>
        <v>0</v>
      </c>
      <c r="BG23" s="137">
        <f t="shared" si="91"/>
        <v>0</v>
      </c>
      <c r="BH23" s="137">
        <f t="shared" si="91"/>
        <v>0</v>
      </c>
      <c r="BI23" s="137">
        <f t="shared" si="91"/>
        <v>0</v>
      </c>
      <c r="BJ23" s="137">
        <f t="shared" si="91"/>
        <v>0</v>
      </c>
      <c r="BK23" s="137">
        <f t="shared" si="91"/>
        <v>0</v>
      </c>
      <c r="BL23" s="137">
        <f t="shared" si="91"/>
        <v>0</v>
      </c>
      <c r="BM23" s="137">
        <f t="shared" si="91"/>
        <v>0</v>
      </c>
      <c r="BN23" s="137">
        <f t="shared" si="91"/>
        <v>0</v>
      </c>
      <c r="BO23" s="43">
        <f t="shared" si="64"/>
        <v>0</v>
      </c>
      <c r="BP23" s="137">
        <f t="shared" si="91"/>
        <v>0</v>
      </c>
      <c r="BQ23" s="137">
        <f t="shared" si="91"/>
        <v>0</v>
      </c>
      <c r="BR23" s="137">
        <f t="shared" si="91"/>
        <v>0</v>
      </c>
      <c r="BS23" s="43">
        <f t="shared" si="65"/>
        <v>0</v>
      </c>
      <c r="BT23" s="137">
        <f t="shared" si="91"/>
        <v>272003.3453722903</v>
      </c>
      <c r="BU23" s="137">
        <f t="shared" si="91"/>
        <v>0.23185673892554193</v>
      </c>
      <c r="BV23" s="137">
        <f aca="true" t="shared" si="92" ref="BV23:CA23">(BV41/($B$12+$B$14+$B$23)*$B$23)</f>
        <v>0</v>
      </c>
      <c r="BW23" s="137">
        <f t="shared" si="92"/>
        <v>0</v>
      </c>
      <c r="BX23" s="4">
        <f t="shared" si="66"/>
        <v>272003.5772290292</v>
      </c>
      <c r="BY23" s="137">
        <f t="shared" si="92"/>
        <v>36444.51743638077</v>
      </c>
      <c r="BZ23" s="137">
        <f t="shared" si="92"/>
        <v>0</v>
      </c>
      <c r="CA23" s="137">
        <f t="shared" si="92"/>
        <v>235559.05979264845</v>
      </c>
      <c r="CB23" s="4">
        <f t="shared" si="67"/>
        <v>272003.5772290292</v>
      </c>
      <c r="CC23" s="4">
        <f t="shared" si="68"/>
        <v>0</v>
      </c>
      <c r="CD23" s="74">
        <f t="shared" si="69"/>
        <v>-6955.72535344015</v>
      </c>
      <c r="CE23" s="76">
        <f t="shared" si="70"/>
        <v>-6955.72535344015</v>
      </c>
      <c r="CF23" s="76">
        <f t="shared" si="71"/>
        <v>0</v>
      </c>
      <c r="CG23" s="76">
        <f t="shared" si="54"/>
        <v>74056.00461828464</v>
      </c>
      <c r="CH23" s="76">
        <f t="shared" si="72"/>
        <v>-7963.924241281809</v>
      </c>
      <c r="CI23" s="37">
        <f t="shared" si="73"/>
        <v>-7963.924241281809</v>
      </c>
      <c r="CJ23" s="59" t="str">
        <f t="shared" si="36"/>
        <v>-</v>
      </c>
      <c r="CK23" s="59" t="str">
        <f t="shared" si="37"/>
        <v>-</v>
      </c>
      <c r="CL23" s="141">
        <f t="shared" si="38"/>
        <v>-0.09392520416531844</v>
      </c>
      <c r="CM23" s="141">
        <f t="shared" si="39"/>
        <v>-0.09392520416531844</v>
      </c>
      <c r="CN23" s="141">
        <f t="shared" si="40"/>
        <v>-0.10753921011984345</v>
      </c>
      <c r="CO23" s="141">
        <f t="shared" si="41"/>
        <v>-0.10753921011984345</v>
      </c>
      <c r="CP23" s="141">
        <f t="shared" si="42"/>
        <v>0</v>
      </c>
      <c r="CQ23" s="141">
        <f t="shared" si="43"/>
        <v>0</v>
      </c>
      <c r="CR23" s="142">
        <f t="shared" si="44"/>
        <v>-33.86545844847185</v>
      </c>
      <c r="CS23" s="76">
        <f t="shared" si="45"/>
        <v>235558.82793590953</v>
      </c>
      <c r="CT23" s="80">
        <f t="shared" si="74"/>
        <v>81011.72997172478</v>
      </c>
      <c r="CU23" s="80">
        <f t="shared" si="75"/>
        <v>74056.00461828464</v>
      </c>
      <c r="CV23" s="80">
        <f t="shared" si="76"/>
        <v>-6955.725353440139</v>
      </c>
      <c r="CW23" s="80">
        <f t="shared" si="77"/>
        <v>0</v>
      </c>
      <c r="CX23" s="80">
        <f t="shared" si="78"/>
        <v>-6955.725353440139</v>
      </c>
      <c r="CY23" s="80">
        <f t="shared" si="79"/>
        <v>-6955.725353440139</v>
      </c>
      <c r="CZ23" s="80">
        <f t="shared" si="80"/>
        <v>0</v>
      </c>
      <c r="DA23" s="80">
        <f t="shared" si="81"/>
        <v>0</v>
      </c>
      <c r="DB23" s="80">
        <f t="shared" si="82"/>
        <v>-6955.725353440139</v>
      </c>
      <c r="DC23" s="80">
        <f t="shared" si="46"/>
        <v>-6955.725353440139</v>
      </c>
      <c r="DD23" s="80">
        <f t="shared" si="83"/>
        <v>0</v>
      </c>
      <c r="DE23" s="80">
        <f t="shared" si="84"/>
        <v>-6955.725353440139</v>
      </c>
      <c r="DF23" s="80">
        <f t="shared" si="85"/>
        <v>28689.032403393023</v>
      </c>
      <c r="DG23" s="80">
        <f t="shared" si="86"/>
        <v>957.5562111215835</v>
      </c>
      <c r="DH23" s="80">
        <f t="shared" si="87"/>
        <v>-32.37367577756833</v>
      </c>
      <c r="DI23" s="80">
        <f t="shared" si="88"/>
        <v>116.62208294062205</v>
      </c>
      <c r="DJ23" s="81">
        <f t="shared" si="89"/>
        <v>0</v>
      </c>
      <c r="DK23" s="76">
        <f t="shared" si="90"/>
        <v>-28.275306314797312</v>
      </c>
      <c r="DL23" s="145">
        <f t="shared" si="49"/>
        <v>235558.82793590953</v>
      </c>
      <c r="DM23" s="64"/>
      <c r="DN23" s="65"/>
    </row>
    <row r="24" spans="1:118" ht="12.75">
      <c r="A24" s="51" t="s">
        <v>16</v>
      </c>
      <c r="B24" s="42">
        <v>3709</v>
      </c>
      <c r="C24" s="38">
        <v>11250123</v>
      </c>
      <c r="D24" s="39">
        <v>3033.2</v>
      </c>
      <c r="E24" s="39">
        <v>95.19</v>
      </c>
      <c r="F24" s="126">
        <v>0</v>
      </c>
      <c r="G24" s="132">
        <f>35277.8+729+22351.2+1260+3848.05</f>
        <v>63466.05</v>
      </c>
      <c r="H24" s="42">
        <f>1437.3+4290.3+8160+573.4+258.25+500+1555.05+2007.5+172.2+690+3609</f>
        <v>23253</v>
      </c>
      <c r="I24" s="42">
        <v>0</v>
      </c>
      <c r="J24" s="42">
        <v>0</v>
      </c>
      <c r="K24" s="42">
        <v>0</v>
      </c>
      <c r="L24" s="42">
        <v>0</v>
      </c>
      <c r="M24" s="43">
        <f t="shared" si="0"/>
        <v>0</v>
      </c>
      <c r="N24" s="42">
        <v>0</v>
      </c>
      <c r="O24" s="42">
        <v>0</v>
      </c>
      <c r="P24" s="42">
        <f>29602.55+3000+3697+290494.15+4700+2957.6+3663.05+74492.8+253156.35+18648.5+203356.65+119314.85+47805.05</f>
        <v>1054888.55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3">
        <f t="shared" si="57"/>
        <v>0</v>
      </c>
      <c r="X24" s="42">
        <v>0</v>
      </c>
      <c r="Y24" s="43">
        <f t="shared" si="58"/>
        <v>1141607.6</v>
      </c>
      <c r="Z24" s="42">
        <f>210924.15</f>
        <v>210924.15</v>
      </c>
      <c r="AA24" s="42">
        <f>40000</f>
        <v>40000</v>
      </c>
      <c r="AB24" s="42">
        <v>0</v>
      </c>
      <c r="AC24" s="42">
        <f>30105.2</f>
        <v>30105.2</v>
      </c>
      <c r="AD24" s="42">
        <v>0</v>
      </c>
      <c r="AE24" s="43">
        <f t="shared" si="59"/>
        <v>281029.35</v>
      </c>
      <c r="AF24" s="42">
        <v>0</v>
      </c>
      <c r="AG24" s="42">
        <f>29519.65+1080</f>
        <v>30599.65</v>
      </c>
      <c r="AH24" s="42">
        <v>0</v>
      </c>
      <c r="AI24" s="42">
        <f>68401.65+44235.2+109086.85+21310.25+269126.05</f>
        <v>512160</v>
      </c>
      <c r="AJ24" s="42">
        <v>0</v>
      </c>
      <c r="AK24" s="42">
        <f>13702</f>
        <v>13702</v>
      </c>
      <c r="AL24" s="42">
        <v>0</v>
      </c>
      <c r="AM24" s="42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60"/>
        <v>0</v>
      </c>
      <c r="AT24" s="38">
        <v>0</v>
      </c>
      <c r="AU24" s="4">
        <f t="shared" si="61"/>
        <v>837491.0000000001</v>
      </c>
      <c r="AV24" s="38">
        <v>0</v>
      </c>
      <c r="AW24" s="38">
        <f>304116.6</f>
        <v>304116.6</v>
      </c>
      <c r="AX24" s="4">
        <f t="shared" si="62"/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3">
        <f t="shared" si="63"/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3">
        <f t="shared" si="64"/>
        <v>0</v>
      </c>
      <c r="BP24" s="42">
        <v>0</v>
      </c>
      <c r="BQ24" s="42">
        <v>0</v>
      </c>
      <c r="BR24" s="42">
        <v>0</v>
      </c>
      <c r="BS24" s="43">
        <f t="shared" si="65"/>
        <v>0</v>
      </c>
      <c r="BT24" s="38">
        <v>1381661.87</v>
      </c>
      <c r="BU24" s="38">
        <v>0</v>
      </c>
      <c r="BV24" s="38">
        <v>0</v>
      </c>
      <c r="BW24" s="38">
        <v>0</v>
      </c>
      <c r="BX24" s="4">
        <f t="shared" si="66"/>
        <v>1381661.87</v>
      </c>
      <c r="BY24" s="38">
        <v>358627.2</v>
      </c>
      <c r="BZ24" s="38">
        <v>20000</v>
      </c>
      <c r="CA24" s="38">
        <v>1003034.67</v>
      </c>
      <c r="CB24" s="4">
        <f t="shared" si="67"/>
        <v>1381661.87</v>
      </c>
      <c r="CC24" s="4">
        <f t="shared" si="68"/>
        <v>0</v>
      </c>
      <c r="CD24" s="74">
        <f t="shared" si="69"/>
        <v>-304116.6</v>
      </c>
      <c r="CE24" s="76">
        <f t="shared" si="70"/>
        <v>-304116.6</v>
      </c>
      <c r="CF24" s="76">
        <f t="shared" si="71"/>
        <v>0</v>
      </c>
      <c r="CG24" s="76">
        <f t="shared" si="54"/>
        <v>837491.0000000001</v>
      </c>
      <c r="CH24" s="76">
        <f t="shared" si="72"/>
        <v>-30599.65</v>
      </c>
      <c r="CI24" s="37">
        <f t="shared" si="73"/>
        <v>-30599.65</v>
      </c>
      <c r="CJ24" s="59" t="str">
        <f t="shared" si="36"/>
        <v>-</v>
      </c>
      <c r="CK24" s="59" t="str">
        <f t="shared" si="37"/>
        <v>-</v>
      </c>
      <c r="CL24" s="141">
        <f t="shared" si="38"/>
        <v>-0.36312820078066504</v>
      </c>
      <c r="CM24" s="141">
        <f t="shared" si="39"/>
        <v>-0.36312820078066504</v>
      </c>
      <c r="CN24" s="141">
        <f t="shared" si="40"/>
        <v>-0.03653728816190263</v>
      </c>
      <c r="CO24" s="141">
        <f t="shared" si="41"/>
        <v>-0.03653728816190263</v>
      </c>
      <c r="CP24" s="141" t="str">
        <f t="shared" si="42"/>
        <v>-</v>
      </c>
      <c r="CQ24" s="141" t="str">
        <f t="shared" si="43"/>
        <v>-</v>
      </c>
      <c r="CR24" s="142">
        <f t="shared" si="44"/>
        <v>-3.3639553710649146</v>
      </c>
      <c r="CS24" s="76">
        <f t="shared" si="45"/>
        <v>1023034.6700000002</v>
      </c>
      <c r="CT24" s="80">
        <f t="shared" si="74"/>
        <v>1141607.6</v>
      </c>
      <c r="CU24" s="80">
        <f t="shared" si="75"/>
        <v>837491.0000000001</v>
      </c>
      <c r="CV24" s="80">
        <f t="shared" si="76"/>
        <v>-304116.6</v>
      </c>
      <c r="CW24" s="80">
        <f t="shared" si="77"/>
        <v>0</v>
      </c>
      <c r="CX24" s="80">
        <f t="shared" si="78"/>
        <v>-304116.6</v>
      </c>
      <c r="CY24" s="80">
        <f t="shared" si="79"/>
        <v>-304116.6</v>
      </c>
      <c r="CZ24" s="80">
        <f t="shared" si="80"/>
        <v>0</v>
      </c>
      <c r="DA24" s="80">
        <f t="shared" si="81"/>
        <v>0</v>
      </c>
      <c r="DB24" s="80">
        <f t="shared" si="82"/>
        <v>-304116.6</v>
      </c>
      <c r="DC24" s="80">
        <f t="shared" si="46"/>
        <v>-304116.6</v>
      </c>
      <c r="DD24" s="80">
        <f t="shared" si="83"/>
        <v>0</v>
      </c>
      <c r="DE24" s="80">
        <f t="shared" si="84"/>
        <v>-304116.6</v>
      </c>
      <c r="DF24" s="80">
        <f t="shared" si="85"/>
        <v>250924.15</v>
      </c>
      <c r="DG24" s="80">
        <f t="shared" si="86"/>
        <v>275.82493124831495</v>
      </c>
      <c r="DH24" s="80">
        <f t="shared" si="87"/>
        <v>-8.250107845780533</v>
      </c>
      <c r="DI24" s="80">
        <f t="shared" si="88"/>
        <v>67.65277702884875</v>
      </c>
      <c r="DJ24" s="81">
        <f t="shared" si="89"/>
        <v>0</v>
      </c>
      <c r="DK24" s="76">
        <f t="shared" si="90"/>
        <v>-81.99423025074144</v>
      </c>
      <c r="DL24" s="145">
        <f t="shared" si="49"/>
        <v>1003034.67</v>
      </c>
      <c r="DM24" s="67"/>
      <c r="DN24" s="68"/>
    </row>
    <row r="25" spans="1:118" ht="12.75">
      <c r="A25" s="52" t="s">
        <v>36</v>
      </c>
      <c r="B25" s="43">
        <v>1810</v>
      </c>
      <c r="C25" s="4">
        <v>4451273</v>
      </c>
      <c r="D25" s="34">
        <v>2459.27</v>
      </c>
      <c r="E25" s="34">
        <v>77.18</v>
      </c>
      <c r="F25" s="8">
        <v>4</v>
      </c>
      <c r="G25" s="131">
        <v>42591.55</v>
      </c>
      <c r="H25" s="43">
        <v>8421.4</v>
      </c>
      <c r="I25" s="43">
        <v>2504.15</v>
      </c>
      <c r="J25" s="43">
        <v>1900.8</v>
      </c>
      <c r="K25" s="43">
        <v>0</v>
      </c>
      <c r="L25" s="43">
        <v>0</v>
      </c>
      <c r="M25" s="43">
        <f t="shared" si="0"/>
        <v>0</v>
      </c>
      <c r="N25" s="43">
        <v>0</v>
      </c>
      <c r="O25" s="43">
        <v>0</v>
      </c>
      <c r="P25" s="43">
        <v>656368.45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f t="shared" si="57"/>
        <v>0</v>
      </c>
      <c r="X25" s="43">
        <v>0</v>
      </c>
      <c r="Y25" s="43">
        <f t="shared" si="58"/>
        <v>711786.35</v>
      </c>
      <c r="Z25" s="43">
        <v>260313.55</v>
      </c>
      <c r="AA25" s="43">
        <v>0</v>
      </c>
      <c r="AB25" s="43">
        <v>0</v>
      </c>
      <c r="AC25" s="43">
        <v>14722.8</v>
      </c>
      <c r="AD25" s="43">
        <v>0</v>
      </c>
      <c r="AE25" s="43">
        <f t="shared" si="59"/>
        <v>275036.35</v>
      </c>
      <c r="AF25" s="43">
        <v>0</v>
      </c>
      <c r="AG25" s="43">
        <v>1646</v>
      </c>
      <c r="AH25" s="43">
        <v>0</v>
      </c>
      <c r="AI25" s="43">
        <v>329621.85</v>
      </c>
      <c r="AJ25" s="43">
        <v>0</v>
      </c>
      <c r="AK25" s="43">
        <v>6289.45</v>
      </c>
      <c r="AL25" s="43">
        <v>0</v>
      </c>
      <c r="AM25" s="43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60"/>
        <v>0</v>
      </c>
      <c r="AT25" s="4">
        <v>0</v>
      </c>
      <c r="AU25" s="4">
        <f t="shared" si="61"/>
        <v>612593.6499999999</v>
      </c>
      <c r="AV25" s="4">
        <v>0</v>
      </c>
      <c r="AW25" s="4">
        <v>99192.7</v>
      </c>
      <c r="AX25" s="4">
        <f t="shared" si="62"/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f t="shared" si="63"/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f t="shared" si="64"/>
        <v>0</v>
      </c>
      <c r="BP25" s="43">
        <v>0</v>
      </c>
      <c r="BQ25" s="43">
        <v>0</v>
      </c>
      <c r="BR25" s="43">
        <v>0</v>
      </c>
      <c r="BS25" s="43">
        <f t="shared" si="65"/>
        <v>0</v>
      </c>
      <c r="BT25" s="4">
        <v>274169.05</v>
      </c>
      <c r="BU25" s="4">
        <v>0</v>
      </c>
      <c r="BV25" s="4">
        <v>0</v>
      </c>
      <c r="BW25" s="4">
        <v>254395.21</v>
      </c>
      <c r="BX25" s="4">
        <f t="shared" si="66"/>
        <v>528564.26</v>
      </c>
      <c r="BY25" s="4">
        <v>276164.9</v>
      </c>
      <c r="BZ25" s="4">
        <v>0</v>
      </c>
      <c r="CA25" s="4">
        <v>252399.36</v>
      </c>
      <c r="CB25" s="4">
        <f t="shared" si="67"/>
        <v>528564.26</v>
      </c>
      <c r="CC25" s="4">
        <f t="shared" si="68"/>
        <v>0</v>
      </c>
      <c r="CD25" s="74">
        <f t="shared" si="69"/>
        <v>-99192.7</v>
      </c>
      <c r="CE25" s="76">
        <f t="shared" si="70"/>
        <v>-99192.7</v>
      </c>
      <c r="CF25" s="76">
        <f t="shared" si="71"/>
        <v>0</v>
      </c>
      <c r="CG25" s="76">
        <f t="shared" si="54"/>
        <v>612593.6499999999</v>
      </c>
      <c r="CH25" s="76">
        <f t="shared" si="72"/>
        <v>858.1500000000001</v>
      </c>
      <c r="CI25" s="37">
        <f t="shared" si="73"/>
        <v>858.1500000000001</v>
      </c>
      <c r="CJ25" s="59" t="str">
        <f t="shared" si="36"/>
        <v>-</v>
      </c>
      <c r="CK25" s="59" t="str">
        <f t="shared" si="37"/>
        <v>-</v>
      </c>
      <c r="CL25" s="141">
        <f t="shared" si="38"/>
        <v>-0.1619225076851515</v>
      </c>
      <c r="CM25" s="141">
        <f t="shared" si="39"/>
        <v>-0.1619225076851515</v>
      </c>
      <c r="CN25" s="141">
        <f t="shared" si="40"/>
        <v>0.0014008470378365826</v>
      </c>
      <c r="CO25" s="141">
        <f t="shared" si="41"/>
        <v>0.0014008470378365826</v>
      </c>
      <c r="CP25" s="141" t="str">
        <f t="shared" si="42"/>
        <v>-</v>
      </c>
      <c r="CQ25" s="141" t="str">
        <f t="shared" si="43"/>
        <v>-</v>
      </c>
      <c r="CR25" s="142">
        <f t="shared" si="44"/>
        <v>0.02012093631890285</v>
      </c>
      <c r="CS25" s="76">
        <f t="shared" si="45"/>
        <v>-1995.850000000035</v>
      </c>
      <c r="CT25" s="80">
        <f t="shared" si="74"/>
        <v>711786.35</v>
      </c>
      <c r="CU25" s="80">
        <f t="shared" si="75"/>
        <v>612593.6499999999</v>
      </c>
      <c r="CV25" s="80">
        <f t="shared" si="76"/>
        <v>-99192.70000000007</v>
      </c>
      <c r="CW25" s="80">
        <f t="shared" si="77"/>
        <v>0</v>
      </c>
      <c r="CX25" s="80">
        <f t="shared" si="78"/>
        <v>-99192.70000000007</v>
      </c>
      <c r="CY25" s="80">
        <f t="shared" si="79"/>
        <v>-99192.70000000007</v>
      </c>
      <c r="CZ25" s="80">
        <f t="shared" si="80"/>
        <v>0</v>
      </c>
      <c r="DA25" s="80">
        <f t="shared" si="81"/>
        <v>0</v>
      </c>
      <c r="DB25" s="80">
        <f t="shared" si="82"/>
        <v>-99192.70000000007</v>
      </c>
      <c r="DC25" s="80">
        <f t="shared" si="46"/>
        <v>-99192.70000000007</v>
      </c>
      <c r="DD25" s="80">
        <f t="shared" si="83"/>
        <v>0</v>
      </c>
      <c r="DE25" s="80">
        <f t="shared" si="84"/>
        <v>-99192.70000000007</v>
      </c>
      <c r="DF25" s="80">
        <f t="shared" si="85"/>
        <v>260313.55</v>
      </c>
      <c r="DG25" s="80">
        <f t="shared" si="86"/>
        <v>-1.102679558011069</v>
      </c>
      <c r="DH25" s="80">
        <f t="shared" si="87"/>
        <v>0.4741160220994476</v>
      </c>
      <c r="DI25" s="80">
        <f t="shared" si="88"/>
        <v>143.81964088397788</v>
      </c>
      <c r="DJ25" s="81">
        <f t="shared" si="89"/>
        <v>0</v>
      </c>
      <c r="DK25" s="76">
        <f t="shared" si="90"/>
        <v>-54.80259668508291</v>
      </c>
      <c r="DL25" s="145">
        <f t="shared" si="49"/>
        <v>-1995.8500000000058</v>
      </c>
      <c r="DM25" s="64"/>
      <c r="DN25" s="65"/>
    </row>
    <row r="26" spans="1:118" ht="12.75">
      <c r="A26" s="51" t="s">
        <v>17</v>
      </c>
      <c r="B26" s="42">
        <v>443</v>
      </c>
      <c r="C26" s="38">
        <v>1098547</v>
      </c>
      <c r="D26" s="39">
        <v>2479.79</v>
      </c>
      <c r="E26" s="39">
        <v>77.82</v>
      </c>
      <c r="F26" s="126">
        <v>4</v>
      </c>
      <c r="G26" s="132">
        <v>4819</v>
      </c>
      <c r="H26" s="42">
        <v>2678.4</v>
      </c>
      <c r="I26" s="42">
        <v>0</v>
      </c>
      <c r="J26" s="42">
        <v>0</v>
      </c>
      <c r="K26" s="42">
        <v>0</v>
      </c>
      <c r="L26" s="42">
        <v>0</v>
      </c>
      <c r="M26" s="43">
        <f t="shared" si="0"/>
        <v>0</v>
      </c>
      <c r="N26" s="42">
        <v>0</v>
      </c>
      <c r="O26" s="42">
        <v>0</v>
      </c>
      <c r="P26" s="42">
        <v>211550.6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3">
        <f t="shared" si="57"/>
        <v>0</v>
      </c>
      <c r="X26" s="42">
        <v>0</v>
      </c>
      <c r="Y26" s="43">
        <f t="shared" si="58"/>
        <v>219048</v>
      </c>
      <c r="Z26" s="42">
        <v>64615.6</v>
      </c>
      <c r="AA26" s="42">
        <v>5671.75</v>
      </c>
      <c r="AB26" s="42">
        <v>0</v>
      </c>
      <c r="AC26" s="42">
        <v>3379.35</v>
      </c>
      <c r="AD26" s="42">
        <v>0</v>
      </c>
      <c r="AE26" s="43">
        <f t="shared" si="59"/>
        <v>73666.70000000001</v>
      </c>
      <c r="AF26" s="42">
        <v>0</v>
      </c>
      <c r="AG26" s="42">
        <v>1015.35</v>
      </c>
      <c r="AH26" s="42">
        <v>0</v>
      </c>
      <c r="AI26" s="42">
        <v>67368</v>
      </c>
      <c r="AJ26" s="42">
        <v>0</v>
      </c>
      <c r="AK26" s="42">
        <v>0</v>
      </c>
      <c r="AL26" s="42">
        <v>26528.55</v>
      </c>
      <c r="AM26" s="42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60"/>
        <v>0</v>
      </c>
      <c r="AT26" s="38">
        <v>0</v>
      </c>
      <c r="AU26" s="4">
        <f t="shared" si="61"/>
        <v>168578.6</v>
      </c>
      <c r="AV26" s="38">
        <v>0</v>
      </c>
      <c r="AW26" s="38">
        <v>50469.15</v>
      </c>
      <c r="AX26" s="4">
        <f t="shared" si="62"/>
        <v>0.24999999999272404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63"/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3">
        <f t="shared" si="64"/>
        <v>0</v>
      </c>
      <c r="BP26" s="42">
        <v>0</v>
      </c>
      <c r="BQ26" s="42">
        <v>0</v>
      </c>
      <c r="BR26" s="42">
        <v>0</v>
      </c>
      <c r="BS26" s="43">
        <f t="shared" si="65"/>
        <v>0</v>
      </c>
      <c r="BT26" s="38">
        <v>195711.61</v>
      </c>
      <c r="BU26" s="38">
        <v>0</v>
      </c>
      <c r="BV26" s="38">
        <v>0</v>
      </c>
      <c r="BW26" s="38">
        <v>0</v>
      </c>
      <c r="BX26" s="4">
        <f t="shared" si="66"/>
        <v>195711.61</v>
      </c>
      <c r="BY26" s="38">
        <v>152204.4</v>
      </c>
      <c r="BZ26" s="38">
        <v>0</v>
      </c>
      <c r="CA26" s="38">
        <v>43507.21</v>
      </c>
      <c r="CB26" s="4">
        <f t="shared" si="67"/>
        <v>195711.61</v>
      </c>
      <c r="CC26" s="4">
        <f t="shared" si="68"/>
        <v>0</v>
      </c>
      <c r="CD26" s="74">
        <f t="shared" si="69"/>
        <v>-50469.15</v>
      </c>
      <c r="CE26" s="76">
        <f t="shared" si="70"/>
        <v>-50469.15</v>
      </c>
      <c r="CF26" s="76">
        <f t="shared" si="71"/>
        <v>0</v>
      </c>
      <c r="CG26" s="76">
        <f t="shared" si="54"/>
        <v>168578.6</v>
      </c>
      <c r="CH26" s="76">
        <f t="shared" si="72"/>
        <v>-1015.35</v>
      </c>
      <c r="CI26" s="37">
        <f t="shared" si="73"/>
        <v>-1015.35</v>
      </c>
      <c r="CJ26" s="59" t="str">
        <f t="shared" si="36"/>
        <v>-</v>
      </c>
      <c r="CK26" s="59" t="str">
        <f t="shared" si="37"/>
        <v>-</v>
      </c>
      <c r="CL26" s="141">
        <f t="shared" si="38"/>
        <v>-0.29938052635387885</v>
      </c>
      <c r="CM26" s="141">
        <f t="shared" si="39"/>
        <v>-0.29938052635387885</v>
      </c>
      <c r="CN26" s="141">
        <f t="shared" si="40"/>
        <v>-0.006023006478876916</v>
      </c>
      <c r="CO26" s="141">
        <f t="shared" si="41"/>
        <v>-0.006023006478876916</v>
      </c>
      <c r="CP26" s="141" t="str">
        <f t="shared" si="42"/>
        <v>-</v>
      </c>
      <c r="CQ26" s="141" t="str">
        <f t="shared" si="43"/>
        <v>-</v>
      </c>
      <c r="CR26" s="142">
        <f t="shared" si="44"/>
        <v>-0.8620555329344757</v>
      </c>
      <c r="CS26" s="76">
        <f t="shared" si="45"/>
        <v>43507.20999999999</v>
      </c>
      <c r="CT26" s="80">
        <f t="shared" si="74"/>
        <v>219048</v>
      </c>
      <c r="CU26" s="80">
        <f t="shared" si="75"/>
        <v>168578.6</v>
      </c>
      <c r="CV26" s="80">
        <f t="shared" si="76"/>
        <v>-50469.399999999994</v>
      </c>
      <c r="CW26" s="80">
        <f t="shared" si="77"/>
        <v>0</v>
      </c>
      <c r="CX26" s="80">
        <f t="shared" si="78"/>
        <v>-50469.399999999994</v>
      </c>
      <c r="CY26" s="80">
        <f t="shared" si="79"/>
        <v>-50469.399999999994</v>
      </c>
      <c r="CZ26" s="80">
        <f t="shared" si="80"/>
        <v>0</v>
      </c>
      <c r="DA26" s="80">
        <f t="shared" si="81"/>
        <v>0</v>
      </c>
      <c r="DB26" s="80">
        <f t="shared" si="82"/>
        <v>-50469.399999999994</v>
      </c>
      <c r="DC26" s="80">
        <f t="shared" si="46"/>
        <v>-50469.399999999994</v>
      </c>
      <c r="DD26" s="80">
        <f t="shared" si="83"/>
        <v>0</v>
      </c>
      <c r="DE26" s="80">
        <f t="shared" si="84"/>
        <v>-50469.399999999994</v>
      </c>
      <c r="DF26" s="80">
        <f t="shared" si="85"/>
        <v>70287.35</v>
      </c>
      <c r="DG26" s="80">
        <f t="shared" si="86"/>
        <v>98.21040632054174</v>
      </c>
      <c r="DH26" s="80">
        <f t="shared" si="87"/>
        <v>-2.291986455981941</v>
      </c>
      <c r="DI26" s="80">
        <f t="shared" si="88"/>
        <v>158.66218961625285</v>
      </c>
      <c r="DJ26" s="81">
        <f t="shared" si="89"/>
        <v>0</v>
      </c>
      <c r="DK26" s="76">
        <f t="shared" si="90"/>
        <v>-113.92641083521444</v>
      </c>
      <c r="DL26" s="145">
        <f t="shared" si="49"/>
        <v>43507.21</v>
      </c>
      <c r="DM26" s="67"/>
      <c r="DN26" s="68"/>
    </row>
    <row r="27" spans="1:118" ht="12.75">
      <c r="A27" s="52" t="s">
        <v>18</v>
      </c>
      <c r="B27" s="43">
        <v>635</v>
      </c>
      <c r="C27" s="4">
        <v>1743748</v>
      </c>
      <c r="D27" s="34">
        <v>2746.06</v>
      </c>
      <c r="E27" s="34">
        <v>86.18</v>
      </c>
      <c r="F27" s="8">
        <v>3</v>
      </c>
      <c r="G27" s="131">
        <f>(G40/($B$11+$B$27)*$B$27)</f>
        <v>31156.686631102486</v>
      </c>
      <c r="H27" s="131">
        <f aca="true" t="shared" si="93" ref="H27:BU27">(H40/($B$11+$B$27)*$B$27)</f>
        <v>6090.297728742321</v>
      </c>
      <c r="I27" s="131">
        <f t="shared" si="93"/>
        <v>3.952069188490139</v>
      </c>
      <c r="J27" s="131">
        <f t="shared" si="93"/>
        <v>877.7956272227611</v>
      </c>
      <c r="K27" s="131">
        <f t="shared" si="93"/>
        <v>1274.157371483996</v>
      </c>
      <c r="L27" s="131">
        <f t="shared" si="93"/>
        <v>0</v>
      </c>
      <c r="M27" s="43">
        <f t="shared" si="0"/>
        <v>1274.157371483996</v>
      </c>
      <c r="N27" s="131">
        <f t="shared" si="93"/>
        <v>0</v>
      </c>
      <c r="O27" s="131">
        <f t="shared" si="93"/>
        <v>25.462617200129326</v>
      </c>
      <c r="P27" s="131">
        <f t="shared" si="93"/>
        <v>274385.1064904623</v>
      </c>
      <c r="Q27" s="131">
        <f t="shared" si="93"/>
        <v>0</v>
      </c>
      <c r="R27" s="131">
        <f t="shared" si="93"/>
        <v>0</v>
      </c>
      <c r="S27" s="131">
        <f t="shared" si="93"/>
        <v>0</v>
      </c>
      <c r="T27" s="131">
        <f t="shared" si="93"/>
        <v>0</v>
      </c>
      <c r="U27" s="131">
        <f t="shared" si="93"/>
        <v>0</v>
      </c>
      <c r="V27" s="131">
        <f t="shared" si="93"/>
        <v>0</v>
      </c>
      <c r="W27" s="43">
        <f t="shared" si="57"/>
        <v>0</v>
      </c>
      <c r="X27" s="131">
        <f t="shared" si="93"/>
        <v>930.2349660523764</v>
      </c>
      <c r="Y27" s="43">
        <f t="shared" si="58"/>
        <v>314743.69350145495</v>
      </c>
      <c r="Z27" s="131">
        <f t="shared" si="93"/>
        <v>145917.6878031038</v>
      </c>
      <c r="AA27" s="131">
        <f t="shared" si="93"/>
        <v>0</v>
      </c>
      <c r="AB27" s="131">
        <f t="shared" si="93"/>
        <v>0</v>
      </c>
      <c r="AC27" s="131">
        <f t="shared" si="93"/>
        <v>5302.96855803427</v>
      </c>
      <c r="AD27" s="131">
        <f t="shared" si="93"/>
        <v>0</v>
      </c>
      <c r="AE27" s="43">
        <f t="shared" si="59"/>
        <v>151220.65636113807</v>
      </c>
      <c r="AF27" s="131">
        <f t="shared" si="93"/>
        <v>0</v>
      </c>
      <c r="AG27" s="131">
        <f t="shared" si="93"/>
        <v>5872.492523440026</v>
      </c>
      <c r="AH27" s="131">
        <f t="shared" si="93"/>
        <v>0</v>
      </c>
      <c r="AI27" s="131">
        <f t="shared" si="93"/>
        <v>109537.83874878759</v>
      </c>
      <c r="AJ27" s="131">
        <f t="shared" si="93"/>
        <v>0</v>
      </c>
      <c r="AK27" s="131">
        <f t="shared" si="93"/>
        <v>10089.288756870352</v>
      </c>
      <c r="AL27" s="131">
        <f t="shared" si="93"/>
        <v>0</v>
      </c>
      <c r="AM27" s="131">
        <f t="shared" si="93"/>
        <v>0</v>
      </c>
      <c r="AN27" s="131">
        <f t="shared" si="93"/>
        <v>0</v>
      </c>
      <c r="AO27" s="131">
        <f t="shared" si="93"/>
        <v>0</v>
      </c>
      <c r="AP27" s="131">
        <f t="shared" si="93"/>
        <v>0</v>
      </c>
      <c r="AQ27" s="131">
        <f t="shared" si="93"/>
        <v>0</v>
      </c>
      <c r="AR27" s="131">
        <f t="shared" si="93"/>
        <v>0</v>
      </c>
      <c r="AS27" s="4">
        <f t="shared" si="60"/>
        <v>0</v>
      </c>
      <c r="AT27" s="131">
        <f t="shared" si="93"/>
        <v>930.2349660523764</v>
      </c>
      <c r="AU27" s="4">
        <f t="shared" si="61"/>
        <v>277650.51135628845</v>
      </c>
      <c r="AV27" s="131">
        <f t="shared" si="93"/>
        <v>0</v>
      </c>
      <c r="AW27" s="131">
        <f t="shared" si="93"/>
        <v>37093.1821451665</v>
      </c>
      <c r="AX27" s="4">
        <f t="shared" si="62"/>
        <v>0</v>
      </c>
      <c r="AY27" s="131">
        <f t="shared" si="93"/>
        <v>0</v>
      </c>
      <c r="AZ27" s="131">
        <f t="shared" si="93"/>
        <v>0</v>
      </c>
      <c r="BA27" s="131">
        <f t="shared" si="93"/>
        <v>0</v>
      </c>
      <c r="BB27" s="131">
        <f t="shared" si="93"/>
        <v>0</v>
      </c>
      <c r="BC27" s="131">
        <f t="shared" si="93"/>
        <v>0</v>
      </c>
      <c r="BD27" s="131">
        <f t="shared" si="93"/>
        <v>0</v>
      </c>
      <c r="BE27" s="131">
        <f t="shared" si="93"/>
        <v>0</v>
      </c>
      <c r="BF27" s="43">
        <f t="shared" si="63"/>
        <v>0</v>
      </c>
      <c r="BG27" s="131">
        <f t="shared" si="93"/>
        <v>0</v>
      </c>
      <c r="BH27" s="131">
        <f t="shared" si="93"/>
        <v>0</v>
      </c>
      <c r="BI27" s="131">
        <f t="shared" si="93"/>
        <v>0</v>
      </c>
      <c r="BJ27" s="131">
        <f t="shared" si="93"/>
        <v>0</v>
      </c>
      <c r="BK27" s="131">
        <f t="shared" si="93"/>
        <v>0</v>
      </c>
      <c r="BL27" s="131">
        <f t="shared" si="93"/>
        <v>0</v>
      </c>
      <c r="BM27" s="131">
        <f t="shared" si="93"/>
        <v>0</v>
      </c>
      <c r="BN27" s="131">
        <f t="shared" si="93"/>
        <v>0</v>
      </c>
      <c r="BO27" s="43">
        <f t="shared" si="64"/>
        <v>0</v>
      </c>
      <c r="BP27" s="131">
        <f t="shared" si="93"/>
        <v>0</v>
      </c>
      <c r="BQ27" s="131">
        <f t="shared" si="93"/>
        <v>0</v>
      </c>
      <c r="BR27" s="131">
        <f t="shared" si="93"/>
        <v>0</v>
      </c>
      <c r="BS27" s="43">
        <f t="shared" si="65"/>
        <v>0</v>
      </c>
      <c r="BT27" s="131">
        <f t="shared" si="93"/>
        <v>221635.02107985775</v>
      </c>
      <c r="BU27" s="131">
        <f t="shared" si="93"/>
        <v>2781.8461041060464</v>
      </c>
      <c r="BV27" s="131">
        <f aca="true" t="shared" si="94" ref="BV27:CA27">(BV40/($B$11+$B$27)*$B$27)</f>
        <v>0</v>
      </c>
      <c r="BW27" s="131">
        <f t="shared" si="94"/>
        <v>0</v>
      </c>
      <c r="BX27" s="4">
        <f t="shared" si="66"/>
        <v>224416.8671839638</v>
      </c>
      <c r="BY27" s="131">
        <f t="shared" si="94"/>
        <v>82440.27105560945</v>
      </c>
      <c r="BZ27" s="131">
        <f t="shared" si="94"/>
        <v>0</v>
      </c>
      <c r="CA27" s="131">
        <f t="shared" si="94"/>
        <v>141976.59612835434</v>
      </c>
      <c r="CB27" s="4">
        <f t="shared" si="67"/>
        <v>224416.8671839638</v>
      </c>
      <c r="CC27" s="4">
        <f t="shared" si="68"/>
        <v>0</v>
      </c>
      <c r="CD27" s="74">
        <f t="shared" si="69"/>
        <v>-35819.024773682504</v>
      </c>
      <c r="CE27" s="76">
        <f t="shared" si="70"/>
        <v>-35819.024773682504</v>
      </c>
      <c r="CF27" s="76">
        <f t="shared" si="71"/>
        <v>0</v>
      </c>
      <c r="CG27" s="76">
        <f t="shared" si="54"/>
        <v>276720.27639023605</v>
      </c>
      <c r="CH27" s="76">
        <f t="shared" si="72"/>
        <v>-5868.540454251536</v>
      </c>
      <c r="CI27" s="37">
        <f t="shared" si="73"/>
        <v>-4594.38308276754</v>
      </c>
      <c r="CJ27" s="59" t="str">
        <f t="shared" si="36"/>
        <v>-</v>
      </c>
      <c r="CK27" s="59" t="str">
        <f t="shared" si="37"/>
        <v>-</v>
      </c>
      <c r="CL27" s="141">
        <f t="shared" si="38"/>
        <v>-0.12944127275722236</v>
      </c>
      <c r="CM27" s="141">
        <f t="shared" si="39"/>
        <v>-0.12944127275722236</v>
      </c>
      <c r="CN27" s="141">
        <f t="shared" si="40"/>
        <v>-0.02120748262760338</v>
      </c>
      <c r="CO27" s="141">
        <f t="shared" si="41"/>
        <v>-0.016602986751460366</v>
      </c>
      <c r="CP27" s="141">
        <f t="shared" si="42"/>
        <v>0.31414109459031947</v>
      </c>
      <c r="CQ27" s="141">
        <f t="shared" si="43"/>
        <v>0.31414109459031947</v>
      </c>
      <c r="CR27" s="142">
        <f t="shared" si="44"/>
        <v>-3.88605638773615</v>
      </c>
      <c r="CS27" s="76">
        <f t="shared" si="45"/>
        <v>139194.7500242483</v>
      </c>
      <c r="CT27" s="80">
        <f t="shared" si="74"/>
        <v>313469.536129971</v>
      </c>
      <c r="CU27" s="80">
        <f t="shared" si="75"/>
        <v>277650.51135628845</v>
      </c>
      <c r="CV27" s="80">
        <f t="shared" si="76"/>
        <v>-35819.024773682526</v>
      </c>
      <c r="CW27" s="80">
        <f t="shared" si="77"/>
        <v>0</v>
      </c>
      <c r="CX27" s="80">
        <f t="shared" si="78"/>
        <v>-35819.024773682526</v>
      </c>
      <c r="CY27" s="80">
        <f t="shared" si="79"/>
        <v>-37093.182145166524</v>
      </c>
      <c r="CZ27" s="80">
        <f t="shared" si="80"/>
        <v>0</v>
      </c>
      <c r="DA27" s="80">
        <f t="shared" si="81"/>
        <v>1274.157371483996</v>
      </c>
      <c r="DB27" s="80">
        <f t="shared" si="82"/>
        <v>-35819.024773682526</v>
      </c>
      <c r="DC27" s="80">
        <f t="shared" si="46"/>
        <v>-35819.024773682526</v>
      </c>
      <c r="DD27" s="80">
        <f t="shared" si="83"/>
        <v>-1274.157371483996</v>
      </c>
      <c r="DE27" s="80">
        <f t="shared" si="84"/>
        <v>-37093.182145166524</v>
      </c>
      <c r="DF27" s="80">
        <f t="shared" si="85"/>
        <v>145917.6878031038</v>
      </c>
      <c r="DG27" s="80">
        <f t="shared" si="86"/>
        <v>219.20433074684772</v>
      </c>
      <c r="DH27" s="80">
        <f t="shared" si="87"/>
        <v>-9.2417959909473</v>
      </c>
      <c r="DI27" s="80">
        <f t="shared" si="88"/>
        <v>229.7916343355965</v>
      </c>
      <c r="DJ27" s="81">
        <f t="shared" si="89"/>
        <v>0</v>
      </c>
      <c r="DK27" s="76">
        <f t="shared" si="90"/>
        <v>-56.4079130294213</v>
      </c>
      <c r="DL27" s="145">
        <f t="shared" si="49"/>
        <v>139194.7500242483</v>
      </c>
      <c r="DM27" s="64"/>
      <c r="DN27" s="65"/>
    </row>
    <row r="28" spans="1:118" ht="12.75">
      <c r="A28" s="51" t="s">
        <v>19</v>
      </c>
      <c r="B28" s="42">
        <v>420</v>
      </c>
      <c r="C28" s="38">
        <v>803824</v>
      </c>
      <c r="D28" s="39">
        <v>1913.87</v>
      </c>
      <c r="E28" s="39">
        <v>60.06</v>
      </c>
      <c r="F28" s="126">
        <v>3</v>
      </c>
      <c r="G28" s="132">
        <f>(G42/($B$5+$B$28)*$B$28)</f>
        <v>9815.466101694916</v>
      </c>
      <c r="H28" s="132">
        <f aca="true" t="shared" si="95" ref="H28:BU28">(H42/($B$5+$B$28)*$B$28)</f>
        <v>5021.847457627118</v>
      </c>
      <c r="I28" s="132">
        <f t="shared" si="95"/>
        <v>145.47457627118646</v>
      </c>
      <c r="J28" s="132">
        <f t="shared" si="95"/>
        <v>2541.8644067796613</v>
      </c>
      <c r="K28" s="132">
        <f t="shared" si="95"/>
        <v>0</v>
      </c>
      <c r="L28" s="132">
        <f t="shared" si="95"/>
        <v>0</v>
      </c>
      <c r="M28" s="43">
        <f t="shared" si="0"/>
        <v>0</v>
      </c>
      <c r="N28" s="132">
        <f t="shared" si="95"/>
        <v>0</v>
      </c>
      <c r="O28" s="132">
        <f t="shared" si="95"/>
        <v>0</v>
      </c>
      <c r="P28" s="132">
        <f t="shared" si="95"/>
        <v>183737.13559322033</v>
      </c>
      <c r="Q28" s="132">
        <f t="shared" si="95"/>
        <v>0</v>
      </c>
      <c r="R28" s="132">
        <f t="shared" si="95"/>
        <v>0</v>
      </c>
      <c r="S28" s="132">
        <f t="shared" si="95"/>
        <v>0</v>
      </c>
      <c r="T28" s="132">
        <f t="shared" si="95"/>
        <v>0</v>
      </c>
      <c r="U28" s="132">
        <f t="shared" si="95"/>
        <v>0</v>
      </c>
      <c r="V28" s="132">
        <f t="shared" si="95"/>
        <v>0</v>
      </c>
      <c r="W28" s="43">
        <f t="shared" si="57"/>
        <v>0</v>
      </c>
      <c r="X28" s="132">
        <f t="shared" si="95"/>
        <v>0</v>
      </c>
      <c r="Y28" s="43">
        <f t="shared" si="58"/>
        <v>201261.7881355932</v>
      </c>
      <c r="Z28" s="132">
        <f t="shared" si="95"/>
        <v>71418.2033898305</v>
      </c>
      <c r="AA28" s="132">
        <f t="shared" si="95"/>
        <v>0</v>
      </c>
      <c r="AB28" s="132">
        <f t="shared" si="95"/>
        <v>0</v>
      </c>
      <c r="AC28" s="132">
        <f t="shared" si="95"/>
        <v>3714.127118644067</v>
      </c>
      <c r="AD28" s="132">
        <f t="shared" si="95"/>
        <v>0</v>
      </c>
      <c r="AE28" s="43">
        <f t="shared" si="59"/>
        <v>75132.33050847457</v>
      </c>
      <c r="AF28" s="132">
        <f t="shared" si="95"/>
        <v>0</v>
      </c>
      <c r="AG28" s="132">
        <f t="shared" si="95"/>
        <v>2087.974576271187</v>
      </c>
      <c r="AH28" s="132">
        <f t="shared" si="95"/>
        <v>0</v>
      </c>
      <c r="AI28" s="132">
        <f t="shared" si="95"/>
        <v>115621.95762711865</v>
      </c>
      <c r="AJ28" s="132">
        <f t="shared" si="95"/>
        <v>0</v>
      </c>
      <c r="AK28" s="132">
        <f t="shared" si="95"/>
        <v>2458.983050847458</v>
      </c>
      <c r="AL28" s="132">
        <f t="shared" si="95"/>
        <v>0</v>
      </c>
      <c r="AM28" s="132">
        <f t="shared" si="95"/>
        <v>0</v>
      </c>
      <c r="AN28" s="132">
        <f t="shared" si="95"/>
        <v>0</v>
      </c>
      <c r="AO28" s="132">
        <f t="shared" si="95"/>
        <v>0</v>
      </c>
      <c r="AP28" s="132">
        <f t="shared" si="95"/>
        <v>0</v>
      </c>
      <c r="AQ28" s="132">
        <f t="shared" si="95"/>
        <v>0</v>
      </c>
      <c r="AR28" s="132">
        <f t="shared" si="95"/>
        <v>0</v>
      </c>
      <c r="AS28" s="4">
        <f t="shared" si="60"/>
        <v>0</v>
      </c>
      <c r="AT28" s="132">
        <f t="shared" si="95"/>
        <v>0</v>
      </c>
      <c r="AU28" s="4">
        <f t="shared" si="61"/>
        <v>195301.24576271191</v>
      </c>
      <c r="AV28" s="132">
        <f t="shared" si="95"/>
        <v>0</v>
      </c>
      <c r="AW28" s="132">
        <f t="shared" si="95"/>
        <v>5960.542372881356</v>
      </c>
      <c r="AX28" s="4">
        <f t="shared" si="62"/>
        <v>-6.639311322942376E-11</v>
      </c>
      <c r="AY28" s="132">
        <f t="shared" si="95"/>
        <v>0</v>
      </c>
      <c r="AZ28" s="132">
        <f t="shared" si="95"/>
        <v>0</v>
      </c>
      <c r="BA28" s="132">
        <f t="shared" si="95"/>
        <v>0</v>
      </c>
      <c r="BB28" s="132">
        <f t="shared" si="95"/>
        <v>0</v>
      </c>
      <c r="BC28" s="132">
        <f t="shared" si="95"/>
        <v>0</v>
      </c>
      <c r="BD28" s="132">
        <f t="shared" si="95"/>
        <v>0</v>
      </c>
      <c r="BE28" s="132">
        <f t="shared" si="95"/>
        <v>0</v>
      </c>
      <c r="BF28" s="43">
        <f t="shared" si="63"/>
        <v>0</v>
      </c>
      <c r="BG28" s="132">
        <f t="shared" si="95"/>
        <v>0</v>
      </c>
      <c r="BH28" s="132">
        <f t="shared" si="95"/>
        <v>0</v>
      </c>
      <c r="BI28" s="132">
        <f t="shared" si="95"/>
        <v>0</v>
      </c>
      <c r="BJ28" s="132">
        <f t="shared" si="95"/>
        <v>0</v>
      </c>
      <c r="BK28" s="132">
        <f t="shared" si="95"/>
        <v>0</v>
      </c>
      <c r="BL28" s="132">
        <f t="shared" si="95"/>
        <v>0</v>
      </c>
      <c r="BM28" s="132">
        <f t="shared" si="95"/>
        <v>0</v>
      </c>
      <c r="BN28" s="132">
        <f t="shared" si="95"/>
        <v>0</v>
      </c>
      <c r="BO28" s="43">
        <f t="shared" si="64"/>
        <v>0</v>
      </c>
      <c r="BP28" s="132">
        <f t="shared" si="95"/>
        <v>0</v>
      </c>
      <c r="BQ28" s="132">
        <f t="shared" si="95"/>
        <v>0</v>
      </c>
      <c r="BR28" s="132">
        <f t="shared" si="95"/>
        <v>0</v>
      </c>
      <c r="BS28" s="43">
        <f t="shared" si="65"/>
        <v>0</v>
      </c>
      <c r="BT28" s="132">
        <f t="shared" si="95"/>
        <v>238204.37288135593</v>
      </c>
      <c r="BU28" s="132">
        <f t="shared" si="95"/>
        <v>0</v>
      </c>
      <c r="BV28" s="132">
        <f aca="true" t="shared" si="96" ref="BV28:CA28">(BV42/($B$5+$B$28)*$B$28)</f>
        <v>0</v>
      </c>
      <c r="BW28" s="132">
        <f t="shared" si="96"/>
        <v>0</v>
      </c>
      <c r="BX28" s="4">
        <f t="shared" si="66"/>
        <v>238204.37288135593</v>
      </c>
      <c r="BY28" s="132">
        <f t="shared" si="96"/>
        <v>86045.31355932204</v>
      </c>
      <c r="BZ28" s="132">
        <f t="shared" si="96"/>
        <v>0</v>
      </c>
      <c r="CA28" s="132">
        <f t="shared" si="96"/>
        <v>152159.0593220339</v>
      </c>
      <c r="CB28" s="4">
        <f t="shared" si="67"/>
        <v>238204.37288135593</v>
      </c>
      <c r="CC28" s="4">
        <f t="shared" si="68"/>
        <v>0</v>
      </c>
      <c r="CD28" s="74">
        <f t="shared" si="69"/>
        <v>-5960.542372881356</v>
      </c>
      <c r="CE28" s="76">
        <f t="shared" si="70"/>
        <v>-5960.542372881356</v>
      </c>
      <c r="CF28" s="76">
        <f t="shared" si="71"/>
        <v>0</v>
      </c>
      <c r="CG28" s="76">
        <f t="shared" si="54"/>
        <v>195301.24576271191</v>
      </c>
      <c r="CH28" s="76">
        <f t="shared" si="72"/>
        <v>-1942.5000000000005</v>
      </c>
      <c r="CI28" s="37">
        <f t="shared" si="73"/>
        <v>-1942.5000000000005</v>
      </c>
      <c r="CJ28" s="59" t="str">
        <f t="shared" si="36"/>
        <v>-</v>
      </c>
      <c r="CK28" s="59" t="str">
        <f t="shared" si="37"/>
        <v>-</v>
      </c>
      <c r="CL28" s="141">
        <f t="shared" si="38"/>
        <v>-0.030519735548043176</v>
      </c>
      <c r="CM28" s="141">
        <f t="shared" si="39"/>
        <v>-0.030519735548043176</v>
      </c>
      <c r="CN28" s="141">
        <f t="shared" si="40"/>
        <v>-0.009946173115352827</v>
      </c>
      <c r="CO28" s="141">
        <f t="shared" si="41"/>
        <v>-0.009946173115352827</v>
      </c>
      <c r="CP28" s="141" t="str">
        <f t="shared" si="42"/>
        <v>-</v>
      </c>
      <c r="CQ28" s="141" t="str">
        <f t="shared" si="43"/>
        <v>-</v>
      </c>
      <c r="CR28" s="142">
        <f t="shared" si="44"/>
        <v>-25.527720432675903</v>
      </c>
      <c r="CS28" s="76">
        <f t="shared" si="45"/>
        <v>152159.0593220339</v>
      </c>
      <c r="CT28" s="80">
        <f t="shared" si="74"/>
        <v>201261.7881355932</v>
      </c>
      <c r="CU28" s="80">
        <f t="shared" si="75"/>
        <v>195301.24576271191</v>
      </c>
      <c r="CV28" s="80">
        <f t="shared" si="76"/>
        <v>-5960.542372881289</v>
      </c>
      <c r="CW28" s="80">
        <f t="shared" si="77"/>
        <v>0</v>
      </c>
      <c r="CX28" s="80">
        <f t="shared" si="78"/>
        <v>-5960.542372881289</v>
      </c>
      <c r="CY28" s="80">
        <f t="shared" si="79"/>
        <v>-5960.542372881289</v>
      </c>
      <c r="CZ28" s="80">
        <f t="shared" si="80"/>
        <v>0</v>
      </c>
      <c r="DA28" s="80">
        <f t="shared" si="81"/>
        <v>0</v>
      </c>
      <c r="DB28" s="80">
        <f t="shared" si="82"/>
        <v>-5960.542372881289</v>
      </c>
      <c r="DC28" s="80">
        <f t="shared" si="46"/>
        <v>-5960.542372881289</v>
      </c>
      <c r="DD28" s="80">
        <f t="shared" si="83"/>
        <v>0</v>
      </c>
      <c r="DE28" s="80">
        <f t="shared" si="84"/>
        <v>-5960.542372881289</v>
      </c>
      <c r="DF28" s="80">
        <f t="shared" si="85"/>
        <v>71418.2033898305</v>
      </c>
      <c r="DG28" s="80">
        <f t="shared" si="86"/>
        <v>362.28347457627115</v>
      </c>
      <c r="DH28" s="80">
        <f t="shared" si="87"/>
        <v>-4.625000000000001</v>
      </c>
      <c r="DI28" s="80">
        <f t="shared" si="88"/>
        <v>170.04334140435833</v>
      </c>
      <c r="DJ28" s="81">
        <f t="shared" si="89"/>
        <v>0</v>
      </c>
      <c r="DK28" s="76">
        <f t="shared" si="90"/>
        <v>-14.191767554479261</v>
      </c>
      <c r="DL28" s="145">
        <f t="shared" si="49"/>
        <v>152159.0593220339</v>
      </c>
      <c r="DM28" s="67"/>
      <c r="DN28" s="68"/>
    </row>
    <row r="29" spans="1:118" ht="12.75">
      <c r="A29" s="52" t="s">
        <v>21</v>
      </c>
      <c r="B29" s="43">
        <v>2584</v>
      </c>
      <c r="C29" s="4">
        <v>8646121</v>
      </c>
      <c r="D29" s="34">
        <v>3346.02</v>
      </c>
      <c r="E29" s="34">
        <v>105.01</v>
      </c>
      <c r="F29" s="8">
        <v>3</v>
      </c>
      <c r="G29" s="131">
        <v>92192.8</v>
      </c>
      <c r="H29" s="43">
        <v>7421.75</v>
      </c>
      <c r="I29" s="43">
        <v>0</v>
      </c>
      <c r="J29" s="43">
        <v>0</v>
      </c>
      <c r="K29" s="43">
        <v>0</v>
      </c>
      <c r="L29" s="43">
        <v>0</v>
      </c>
      <c r="M29" s="43">
        <f t="shared" si="0"/>
        <v>0</v>
      </c>
      <c r="N29" s="43">
        <v>528888.45</v>
      </c>
      <c r="O29" s="43">
        <v>21593.7</v>
      </c>
      <c r="P29" s="43">
        <v>9000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f t="shared" si="57"/>
        <v>0</v>
      </c>
      <c r="X29" s="43">
        <v>0</v>
      </c>
      <c r="Y29" s="43">
        <f t="shared" si="58"/>
        <v>659096.7</v>
      </c>
      <c r="Z29" s="43">
        <v>507515.1</v>
      </c>
      <c r="AA29" s="43">
        <v>0</v>
      </c>
      <c r="AB29" s="43">
        <v>0</v>
      </c>
      <c r="AC29" s="43">
        <v>21359.45</v>
      </c>
      <c r="AD29" s="43">
        <v>0</v>
      </c>
      <c r="AE29" s="43">
        <f t="shared" si="59"/>
        <v>528874.5499999999</v>
      </c>
      <c r="AF29" s="43">
        <v>0</v>
      </c>
      <c r="AG29" s="43">
        <v>7751.7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60"/>
        <v>0</v>
      </c>
      <c r="AT29" s="4">
        <v>0</v>
      </c>
      <c r="AU29" s="4">
        <f t="shared" si="61"/>
        <v>536626.2499999999</v>
      </c>
      <c r="AV29" s="4">
        <v>0</v>
      </c>
      <c r="AW29" s="4">
        <v>122470.45</v>
      </c>
      <c r="AX29" s="4">
        <f t="shared" si="62"/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f t="shared" si="63"/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f t="shared" si="64"/>
        <v>0</v>
      </c>
      <c r="BP29" s="43">
        <v>0</v>
      </c>
      <c r="BQ29" s="43">
        <v>0</v>
      </c>
      <c r="BR29" s="43">
        <v>0</v>
      </c>
      <c r="BS29" s="43">
        <f t="shared" si="65"/>
        <v>0</v>
      </c>
      <c r="BT29" s="4">
        <v>934358.6</v>
      </c>
      <c r="BU29" s="4">
        <v>0</v>
      </c>
      <c r="BV29" s="4">
        <v>0</v>
      </c>
      <c r="BW29" s="4">
        <v>0</v>
      </c>
      <c r="BX29" s="4">
        <f t="shared" si="66"/>
        <v>934358.6</v>
      </c>
      <c r="BY29" s="4">
        <v>338207.4</v>
      </c>
      <c r="BZ29" s="4">
        <v>0</v>
      </c>
      <c r="CA29" s="4">
        <v>596151.2</v>
      </c>
      <c r="CB29" s="4">
        <f t="shared" si="67"/>
        <v>934358.6</v>
      </c>
      <c r="CC29" s="4">
        <f t="shared" si="68"/>
        <v>0</v>
      </c>
      <c r="CD29" s="74">
        <f t="shared" si="69"/>
        <v>-122470.45</v>
      </c>
      <c r="CE29" s="76">
        <f t="shared" si="70"/>
        <v>-122470.45</v>
      </c>
      <c r="CF29" s="76">
        <f t="shared" si="71"/>
        <v>0</v>
      </c>
      <c r="CG29" s="76">
        <f t="shared" si="54"/>
        <v>536626.2499999999</v>
      </c>
      <c r="CH29" s="76">
        <f t="shared" si="72"/>
        <v>-7751.7</v>
      </c>
      <c r="CI29" s="37">
        <f t="shared" si="73"/>
        <v>-7751.7</v>
      </c>
      <c r="CJ29" s="59" t="str">
        <f t="shared" si="36"/>
        <v>-</v>
      </c>
      <c r="CK29" s="59" t="str">
        <f t="shared" si="37"/>
        <v>-</v>
      </c>
      <c r="CL29" s="141">
        <f t="shared" si="38"/>
        <v>-0.22822299505475183</v>
      </c>
      <c r="CM29" s="141">
        <f t="shared" si="39"/>
        <v>-0.22822299505475183</v>
      </c>
      <c r="CN29" s="141">
        <f t="shared" si="40"/>
        <v>-0.014445249370488309</v>
      </c>
      <c r="CO29" s="141">
        <f t="shared" si="41"/>
        <v>-0.014445249370488309</v>
      </c>
      <c r="CP29" s="141" t="str">
        <f t="shared" si="42"/>
        <v>-</v>
      </c>
      <c r="CQ29" s="141" t="str">
        <f t="shared" si="43"/>
        <v>-</v>
      </c>
      <c r="CR29" s="142">
        <f t="shared" si="44"/>
        <v>-4.8677146201389805</v>
      </c>
      <c r="CS29" s="76">
        <f t="shared" si="45"/>
        <v>596151.2</v>
      </c>
      <c r="CT29" s="80">
        <f t="shared" si="74"/>
        <v>659096.7</v>
      </c>
      <c r="CU29" s="80">
        <f t="shared" si="75"/>
        <v>536626.2499999999</v>
      </c>
      <c r="CV29" s="80">
        <f t="shared" si="76"/>
        <v>-122470.45000000007</v>
      </c>
      <c r="CW29" s="80">
        <f t="shared" si="77"/>
        <v>0</v>
      </c>
      <c r="CX29" s="80">
        <f t="shared" si="78"/>
        <v>-122470.45000000007</v>
      </c>
      <c r="CY29" s="80">
        <f t="shared" si="79"/>
        <v>-122470.45000000007</v>
      </c>
      <c r="CZ29" s="80">
        <f t="shared" si="80"/>
        <v>0</v>
      </c>
      <c r="DA29" s="80">
        <f t="shared" si="81"/>
        <v>0</v>
      </c>
      <c r="DB29" s="80">
        <f t="shared" si="82"/>
        <v>-122470.45000000007</v>
      </c>
      <c r="DC29" s="80">
        <f t="shared" si="46"/>
        <v>-122470.45000000007</v>
      </c>
      <c r="DD29" s="80">
        <f t="shared" si="83"/>
        <v>0</v>
      </c>
      <c r="DE29" s="80">
        <f t="shared" si="84"/>
        <v>-122470.45000000007</v>
      </c>
      <c r="DF29" s="80">
        <f t="shared" si="85"/>
        <v>507515.1</v>
      </c>
      <c r="DG29" s="80">
        <f t="shared" si="86"/>
        <v>230.70866873065015</v>
      </c>
      <c r="DH29" s="80">
        <f t="shared" si="87"/>
        <v>-2.9998839009287925</v>
      </c>
      <c r="DI29" s="80">
        <f t="shared" si="88"/>
        <v>196.40677244582042</v>
      </c>
      <c r="DJ29" s="81">
        <f t="shared" si="89"/>
        <v>0</v>
      </c>
      <c r="DK29" s="76">
        <f t="shared" si="90"/>
        <v>-47.39568498452015</v>
      </c>
      <c r="DL29" s="145">
        <f t="shared" si="49"/>
        <v>596151.2</v>
      </c>
      <c r="DM29" s="64"/>
      <c r="DN29" s="65"/>
    </row>
    <row r="30" spans="1:118" ht="12.75">
      <c r="A30" s="51" t="s">
        <v>31</v>
      </c>
      <c r="B30" s="42">
        <v>394</v>
      </c>
      <c r="C30" s="38">
        <v>962825</v>
      </c>
      <c r="D30" s="39">
        <v>2443.72</v>
      </c>
      <c r="E30" s="39">
        <v>76.69</v>
      </c>
      <c r="F30" s="126">
        <v>2</v>
      </c>
      <c r="G30" s="132">
        <v>8810.9</v>
      </c>
      <c r="H30" s="42">
        <v>2188.9</v>
      </c>
      <c r="I30" s="42">
        <v>0</v>
      </c>
      <c r="J30" s="42">
        <v>0</v>
      </c>
      <c r="K30" s="42">
        <v>0</v>
      </c>
      <c r="L30" s="42">
        <v>0</v>
      </c>
      <c r="M30" s="43">
        <f t="shared" si="0"/>
        <v>0</v>
      </c>
      <c r="N30" s="42">
        <v>0</v>
      </c>
      <c r="O30" s="42">
        <v>0</v>
      </c>
      <c r="P30" s="42">
        <v>46560.35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3">
        <f t="shared" si="57"/>
        <v>0</v>
      </c>
      <c r="X30" s="42">
        <v>0</v>
      </c>
      <c r="Y30" s="43">
        <f t="shared" si="58"/>
        <v>57560.149999999994</v>
      </c>
      <c r="Z30" s="42">
        <v>56270.5</v>
      </c>
      <c r="AA30" s="42">
        <v>0</v>
      </c>
      <c r="AB30" s="42">
        <v>0</v>
      </c>
      <c r="AC30" s="42">
        <v>3240.95</v>
      </c>
      <c r="AD30" s="42">
        <v>0</v>
      </c>
      <c r="AE30" s="43">
        <f t="shared" si="59"/>
        <v>59511.45</v>
      </c>
      <c r="AF30" s="42">
        <v>0</v>
      </c>
      <c r="AG30" s="42">
        <v>1440.4</v>
      </c>
      <c r="AH30" s="42">
        <v>0</v>
      </c>
      <c r="AI30" s="42">
        <v>4267.05</v>
      </c>
      <c r="AJ30" s="42">
        <v>0</v>
      </c>
      <c r="AK30" s="42">
        <v>0</v>
      </c>
      <c r="AL30" s="42">
        <v>0</v>
      </c>
      <c r="AM30" s="42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4">
        <f t="shared" si="60"/>
        <v>0</v>
      </c>
      <c r="AT30" s="38">
        <v>0</v>
      </c>
      <c r="AU30" s="4">
        <f t="shared" si="61"/>
        <v>65218.899999999994</v>
      </c>
      <c r="AV30" s="38">
        <v>7658.75</v>
      </c>
      <c r="AW30" s="38">
        <v>0</v>
      </c>
      <c r="AX30" s="4">
        <f t="shared" si="62"/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63"/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3">
        <f t="shared" si="64"/>
        <v>0</v>
      </c>
      <c r="BP30" s="42">
        <v>0</v>
      </c>
      <c r="BQ30" s="42">
        <v>0</v>
      </c>
      <c r="BR30" s="42">
        <v>0</v>
      </c>
      <c r="BS30" s="43">
        <f t="shared" si="65"/>
        <v>0</v>
      </c>
      <c r="BT30" s="38">
        <v>181651.48</v>
      </c>
      <c r="BU30" s="38">
        <v>0</v>
      </c>
      <c r="BV30" s="38">
        <v>0</v>
      </c>
      <c r="BW30" s="38">
        <v>0</v>
      </c>
      <c r="BX30" s="4">
        <f t="shared" si="66"/>
        <v>181651.48</v>
      </c>
      <c r="BY30" s="38">
        <v>31963.25</v>
      </c>
      <c r="BZ30" s="38">
        <v>0</v>
      </c>
      <c r="CA30" s="38">
        <v>149688.23</v>
      </c>
      <c r="CB30" s="4">
        <f t="shared" si="67"/>
        <v>181651.48</v>
      </c>
      <c r="CC30" s="4">
        <f t="shared" si="68"/>
        <v>0</v>
      </c>
      <c r="CD30" s="74">
        <f t="shared" si="69"/>
        <v>7658.75</v>
      </c>
      <c r="CE30" s="76">
        <f t="shared" si="70"/>
        <v>7658.75</v>
      </c>
      <c r="CF30" s="76">
        <f t="shared" si="71"/>
        <v>0</v>
      </c>
      <c r="CG30" s="76">
        <f t="shared" si="54"/>
        <v>65218.899999999994</v>
      </c>
      <c r="CH30" s="76">
        <f t="shared" si="72"/>
        <v>-1440.4</v>
      </c>
      <c r="CI30" s="37">
        <f t="shared" si="73"/>
        <v>-1440.4</v>
      </c>
      <c r="CJ30" s="59" t="str">
        <f t="shared" si="36"/>
        <v>-</v>
      </c>
      <c r="CK30" s="59" t="str">
        <f t="shared" si="37"/>
        <v>-</v>
      </c>
      <c r="CL30" s="141">
        <f t="shared" si="38"/>
        <v>0.11743145008578802</v>
      </c>
      <c r="CM30" s="141">
        <f t="shared" si="39"/>
        <v>0.11743145008578802</v>
      </c>
      <c r="CN30" s="141">
        <f t="shared" si="40"/>
        <v>-0.022085622419268036</v>
      </c>
      <c r="CO30" s="141">
        <f t="shared" si="41"/>
        <v>-0.022085622419268036</v>
      </c>
      <c r="CP30" s="141" t="str">
        <f t="shared" si="42"/>
        <v>-</v>
      </c>
      <c r="CQ30" s="141" t="str">
        <f t="shared" si="43"/>
        <v>-</v>
      </c>
      <c r="CR30" s="142">
        <f t="shared" si="44"/>
        <v>19.54473380120777</v>
      </c>
      <c r="CS30" s="76">
        <f t="shared" si="45"/>
        <v>149688.23</v>
      </c>
      <c r="CT30" s="80">
        <f t="shared" si="74"/>
        <v>57560.149999999994</v>
      </c>
      <c r="CU30" s="80">
        <f t="shared" si="75"/>
        <v>65218.899999999994</v>
      </c>
      <c r="CV30" s="80">
        <f t="shared" si="76"/>
        <v>7658.75</v>
      </c>
      <c r="CW30" s="80">
        <f t="shared" si="77"/>
        <v>0</v>
      </c>
      <c r="CX30" s="80">
        <f t="shared" si="78"/>
        <v>7658.75</v>
      </c>
      <c r="CY30" s="80">
        <f t="shared" si="79"/>
        <v>7658.75</v>
      </c>
      <c r="CZ30" s="80">
        <f t="shared" si="80"/>
        <v>0</v>
      </c>
      <c r="DA30" s="80">
        <f t="shared" si="81"/>
        <v>0</v>
      </c>
      <c r="DB30" s="80">
        <f t="shared" si="82"/>
        <v>7658.75</v>
      </c>
      <c r="DC30" s="80">
        <f t="shared" si="46"/>
        <v>7658.75</v>
      </c>
      <c r="DD30" s="80">
        <f t="shared" si="83"/>
        <v>0</v>
      </c>
      <c r="DE30" s="80">
        <f t="shared" si="84"/>
        <v>7658.75</v>
      </c>
      <c r="DF30" s="80">
        <f t="shared" si="85"/>
        <v>56270.5</v>
      </c>
      <c r="DG30" s="80">
        <f t="shared" si="86"/>
        <v>379.9193654822335</v>
      </c>
      <c r="DH30" s="80">
        <f t="shared" si="87"/>
        <v>-3.655837563451777</v>
      </c>
      <c r="DI30" s="80">
        <f t="shared" si="88"/>
        <v>142.81852791878174</v>
      </c>
      <c r="DJ30" s="81">
        <f t="shared" si="89"/>
        <v>0</v>
      </c>
      <c r="DK30" s="76">
        <f t="shared" si="90"/>
        <v>19.438451776649746</v>
      </c>
      <c r="DL30" s="145">
        <f t="shared" si="49"/>
        <v>149688.23</v>
      </c>
      <c r="DM30" s="67"/>
      <c r="DN30" s="68"/>
    </row>
    <row r="31" spans="1:118" ht="13.5" thickBot="1">
      <c r="A31" s="53" t="s">
        <v>20</v>
      </c>
      <c r="B31" s="44">
        <v>301</v>
      </c>
      <c r="C31" s="7">
        <v>990901</v>
      </c>
      <c r="D31" s="35">
        <v>3292.03</v>
      </c>
      <c r="E31" s="35">
        <v>103.31</v>
      </c>
      <c r="F31" s="127">
        <v>4</v>
      </c>
      <c r="G31" s="131">
        <v>2905.45</v>
      </c>
      <c r="H31" s="43">
        <v>1011.8</v>
      </c>
      <c r="I31" s="43">
        <v>183.75</v>
      </c>
      <c r="J31" s="43">
        <v>0</v>
      </c>
      <c r="K31" s="43">
        <v>0</v>
      </c>
      <c r="L31" s="43">
        <v>0</v>
      </c>
      <c r="M31" s="43">
        <f t="shared" si="0"/>
        <v>0</v>
      </c>
      <c r="N31" s="43">
        <v>0</v>
      </c>
      <c r="O31" s="43">
        <v>1853.9</v>
      </c>
      <c r="P31" s="43">
        <v>87171.15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f t="shared" si="57"/>
        <v>0</v>
      </c>
      <c r="X31" s="43">
        <v>0</v>
      </c>
      <c r="Y31" s="43">
        <f t="shared" si="58"/>
        <v>93126.04999999999</v>
      </c>
      <c r="Z31" s="43">
        <v>70752.95</v>
      </c>
      <c r="AA31" s="43">
        <v>920.25</v>
      </c>
      <c r="AB31" s="43">
        <v>0</v>
      </c>
      <c r="AC31" s="43">
        <v>2377.75</v>
      </c>
      <c r="AD31" s="43">
        <v>0</v>
      </c>
      <c r="AE31" s="43">
        <f t="shared" si="59"/>
        <v>74050.95</v>
      </c>
      <c r="AF31" s="43">
        <v>0</v>
      </c>
      <c r="AG31" s="43">
        <v>3828.05</v>
      </c>
      <c r="AH31" s="43">
        <v>0</v>
      </c>
      <c r="AI31" s="43">
        <v>13061.75</v>
      </c>
      <c r="AJ31" s="43">
        <v>0</v>
      </c>
      <c r="AK31" s="43">
        <v>0</v>
      </c>
      <c r="AL31" s="43">
        <v>0</v>
      </c>
      <c r="AM31" s="43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60"/>
        <v>0</v>
      </c>
      <c r="AT31" s="4">
        <v>0</v>
      </c>
      <c r="AU31" s="4">
        <f t="shared" si="61"/>
        <v>90940.74999999999</v>
      </c>
      <c r="AV31" s="4">
        <v>0</v>
      </c>
      <c r="AW31" s="4">
        <v>2185.3</v>
      </c>
      <c r="AX31" s="4">
        <f t="shared" si="62"/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f t="shared" si="63"/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f t="shared" si="64"/>
        <v>0</v>
      </c>
      <c r="BP31" s="43">
        <v>0</v>
      </c>
      <c r="BQ31" s="43">
        <v>0</v>
      </c>
      <c r="BR31" s="43">
        <v>0</v>
      </c>
      <c r="BS31" s="43">
        <f t="shared" si="65"/>
        <v>0</v>
      </c>
      <c r="BT31" s="4">
        <v>225805.3</v>
      </c>
      <c r="BU31" s="4">
        <v>0</v>
      </c>
      <c r="BV31" s="4">
        <v>0</v>
      </c>
      <c r="BW31" s="4">
        <v>0</v>
      </c>
      <c r="BX31" s="4">
        <f t="shared" si="66"/>
        <v>225805.3</v>
      </c>
      <c r="BY31" s="4">
        <v>60411.25</v>
      </c>
      <c r="BZ31" s="4">
        <v>0</v>
      </c>
      <c r="CA31" s="4">
        <v>165394.05</v>
      </c>
      <c r="CB31" s="4">
        <f t="shared" si="67"/>
        <v>225805.3</v>
      </c>
      <c r="CC31" s="4">
        <f t="shared" si="68"/>
        <v>0</v>
      </c>
      <c r="CD31" s="74">
        <f t="shared" si="69"/>
        <v>-2185.3</v>
      </c>
      <c r="CE31" s="76">
        <f t="shared" si="70"/>
        <v>-2185.3</v>
      </c>
      <c r="CF31" s="76">
        <f t="shared" si="71"/>
        <v>0</v>
      </c>
      <c r="CG31" s="76">
        <f t="shared" si="54"/>
        <v>90940.74999999999</v>
      </c>
      <c r="CH31" s="76">
        <f t="shared" si="72"/>
        <v>-3644.3</v>
      </c>
      <c r="CI31" s="37">
        <f t="shared" si="73"/>
        <v>-3644.3</v>
      </c>
      <c r="CJ31" s="59" t="str">
        <f t="shared" si="36"/>
        <v>-</v>
      </c>
      <c r="CK31" s="59" t="str">
        <f t="shared" si="37"/>
        <v>-</v>
      </c>
      <c r="CL31" s="141">
        <f t="shared" si="38"/>
        <v>-0.02402993157632855</v>
      </c>
      <c r="CM31" s="141">
        <f t="shared" si="39"/>
        <v>-0.02402993157632855</v>
      </c>
      <c r="CN31" s="141">
        <f t="shared" si="40"/>
        <v>-0.040073344457792585</v>
      </c>
      <c r="CO31" s="141">
        <f t="shared" si="41"/>
        <v>-0.040073344457792585</v>
      </c>
      <c r="CP31" s="141" t="str">
        <f t="shared" si="42"/>
        <v>-</v>
      </c>
      <c r="CQ31" s="141" t="str">
        <f t="shared" si="43"/>
        <v>-</v>
      </c>
      <c r="CR31" s="142">
        <f t="shared" si="44"/>
        <v>-75.68482588202991</v>
      </c>
      <c r="CS31" s="76">
        <f t="shared" si="45"/>
        <v>165394.05</v>
      </c>
      <c r="CT31" s="80">
        <f t="shared" si="74"/>
        <v>93126.04999999999</v>
      </c>
      <c r="CU31" s="80">
        <f t="shared" si="75"/>
        <v>90940.74999999999</v>
      </c>
      <c r="CV31" s="80">
        <f t="shared" si="76"/>
        <v>-2185.300000000003</v>
      </c>
      <c r="CW31" s="80">
        <f t="shared" si="77"/>
        <v>0</v>
      </c>
      <c r="CX31" s="80">
        <f t="shared" si="78"/>
        <v>-2185.300000000003</v>
      </c>
      <c r="CY31" s="80">
        <f t="shared" si="79"/>
        <v>-2185.300000000003</v>
      </c>
      <c r="CZ31" s="80">
        <f t="shared" si="80"/>
        <v>0</v>
      </c>
      <c r="DA31" s="80">
        <f t="shared" si="81"/>
        <v>0</v>
      </c>
      <c r="DB31" s="80">
        <f t="shared" si="82"/>
        <v>-2185.300000000003</v>
      </c>
      <c r="DC31" s="80">
        <f t="shared" si="46"/>
        <v>-2185.300000000003</v>
      </c>
      <c r="DD31" s="80">
        <f t="shared" si="83"/>
        <v>0</v>
      </c>
      <c r="DE31" s="80">
        <f t="shared" si="84"/>
        <v>-2185.300000000003</v>
      </c>
      <c r="DF31" s="80">
        <f t="shared" si="85"/>
        <v>71673.2</v>
      </c>
      <c r="DG31" s="80">
        <f t="shared" si="86"/>
        <v>549.4818936877076</v>
      </c>
      <c r="DH31" s="80">
        <f t="shared" si="87"/>
        <v>-12.107308970099668</v>
      </c>
      <c r="DI31" s="80">
        <f t="shared" si="88"/>
        <v>238.11694352159466</v>
      </c>
      <c r="DJ31" s="81">
        <f t="shared" si="89"/>
        <v>0</v>
      </c>
      <c r="DK31" s="76">
        <f t="shared" si="90"/>
        <v>-7.260132890365458</v>
      </c>
      <c r="DL31" s="145">
        <f t="shared" si="49"/>
        <v>165394.05</v>
      </c>
      <c r="DM31" s="71"/>
      <c r="DN31" s="72"/>
    </row>
    <row r="32" spans="1:118" ht="12.75" customHeight="1">
      <c r="A32" s="60" t="s">
        <v>70</v>
      </c>
      <c r="B32" s="62">
        <f aca="true" t="shared" si="97" ref="B32:BM32">SUM(B3:B31)</f>
        <v>37966</v>
      </c>
      <c r="C32" s="62">
        <f t="shared" si="97"/>
        <v>120978291</v>
      </c>
      <c r="D32" s="62">
        <f t="shared" si="97"/>
        <v>81866.11999999998</v>
      </c>
      <c r="E32" s="62">
        <f t="shared" si="97"/>
        <v>2569.17</v>
      </c>
      <c r="F32" s="62">
        <f t="shared" si="97"/>
        <v>85</v>
      </c>
      <c r="G32" s="118">
        <f t="shared" si="97"/>
        <v>1033882.6000000003</v>
      </c>
      <c r="H32" s="119">
        <f t="shared" si="97"/>
        <v>576135.7200000001</v>
      </c>
      <c r="I32" s="119">
        <f t="shared" si="97"/>
        <v>47229.9</v>
      </c>
      <c r="J32" s="119">
        <f t="shared" si="97"/>
        <v>227056.05000000002</v>
      </c>
      <c r="K32" s="119">
        <f t="shared" si="97"/>
        <v>12412.499999999998</v>
      </c>
      <c r="L32" s="119">
        <f t="shared" si="97"/>
        <v>50000</v>
      </c>
      <c r="M32" s="119">
        <f t="shared" si="97"/>
        <v>62412.5</v>
      </c>
      <c r="N32" s="119">
        <f t="shared" si="97"/>
        <v>528888.45</v>
      </c>
      <c r="O32" s="119">
        <f t="shared" si="97"/>
        <v>47453.450000000004</v>
      </c>
      <c r="P32" s="119">
        <f t="shared" si="97"/>
        <v>11866102.600000001</v>
      </c>
      <c r="Q32" s="119">
        <f t="shared" si="97"/>
        <v>0</v>
      </c>
      <c r="R32" s="119">
        <f t="shared" si="97"/>
        <v>0</v>
      </c>
      <c r="S32" s="119">
        <f t="shared" si="97"/>
        <v>0</v>
      </c>
      <c r="T32" s="119">
        <f t="shared" si="97"/>
        <v>0</v>
      </c>
      <c r="U32" s="119">
        <f t="shared" si="97"/>
        <v>0</v>
      </c>
      <c r="V32" s="119">
        <f t="shared" si="97"/>
        <v>0</v>
      </c>
      <c r="W32" s="119">
        <f t="shared" si="97"/>
        <v>0</v>
      </c>
      <c r="X32" s="119">
        <f t="shared" si="97"/>
        <v>61931.1</v>
      </c>
      <c r="Y32" s="119">
        <f t="shared" si="97"/>
        <v>14451092.370000001</v>
      </c>
      <c r="Z32" s="119">
        <f t="shared" si="97"/>
        <v>5712715.029999999</v>
      </c>
      <c r="AA32" s="119">
        <f t="shared" si="97"/>
        <v>353203.8</v>
      </c>
      <c r="AB32" s="119">
        <f t="shared" si="97"/>
        <v>0</v>
      </c>
      <c r="AC32" s="119">
        <f t="shared" si="97"/>
        <v>291956.15</v>
      </c>
      <c r="AD32" s="119">
        <f t="shared" si="97"/>
        <v>0</v>
      </c>
      <c r="AE32" s="119">
        <f t="shared" si="97"/>
        <v>6357874.9799999995</v>
      </c>
      <c r="AF32" s="119">
        <f t="shared" si="97"/>
        <v>0</v>
      </c>
      <c r="AG32" s="119">
        <f t="shared" si="97"/>
        <v>314834.62</v>
      </c>
      <c r="AH32" s="119">
        <f t="shared" si="97"/>
        <v>17390</v>
      </c>
      <c r="AI32" s="119">
        <f t="shared" si="97"/>
        <v>5183216.459999999</v>
      </c>
      <c r="AJ32" s="119">
        <f t="shared" si="97"/>
        <v>-200</v>
      </c>
      <c r="AK32" s="119">
        <f t="shared" si="97"/>
        <v>238539.6</v>
      </c>
      <c r="AL32" s="119">
        <f t="shared" si="97"/>
        <v>60738.59999999999</v>
      </c>
      <c r="AM32" s="119">
        <f t="shared" si="97"/>
        <v>0</v>
      </c>
      <c r="AN32" s="119">
        <f t="shared" si="97"/>
        <v>0</v>
      </c>
      <c r="AO32" s="119">
        <f t="shared" si="97"/>
        <v>0</v>
      </c>
      <c r="AP32" s="119">
        <f t="shared" si="97"/>
        <v>0</v>
      </c>
      <c r="AQ32" s="119">
        <f t="shared" si="97"/>
        <v>0</v>
      </c>
      <c r="AR32" s="119">
        <f t="shared" si="97"/>
        <v>0</v>
      </c>
      <c r="AS32" s="119">
        <f t="shared" si="97"/>
        <v>0</v>
      </c>
      <c r="AT32" s="119">
        <f t="shared" si="97"/>
        <v>61931.1</v>
      </c>
      <c r="AU32" s="119">
        <f t="shared" si="97"/>
        <v>12216935.36</v>
      </c>
      <c r="AV32" s="119">
        <f t="shared" si="97"/>
        <v>72701.35</v>
      </c>
      <c r="AW32" s="119">
        <f t="shared" si="97"/>
        <v>2306858.1100000003</v>
      </c>
      <c r="AX32" s="119">
        <f t="shared" si="97"/>
        <v>0.2500000011114025</v>
      </c>
      <c r="AY32" s="119">
        <f t="shared" si="97"/>
        <v>8211.4</v>
      </c>
      <c r="AZ32" s="119">
        <f t="shared" si="97"/>
        <v>0</v>
      </c>
      <c r="BA32" s="119">
        <f t="shared" si="97"/>
        <v>0</v>
      </c>
      <c r="BB32" s="119">
        <f t="shared" si="97"/>
        <v>0</v>
      </c>
      <c r="BC32" s="119">
        <f t="shared" si="97"/>
        <v>0</v>
      </c>
      <c r="BD32" s="119">
        <f t="shared" si="97"/>
        <v>0</v>
      </c>
      <c r="BE32" s="119">
        <f t="shared" si="97"/>
        <v>0</v>
      </c>
      <c r="BF32" s="119">
        <f t="shared" si="97"/>
        <v>0</v>
      </c>
      <c r="BG32" s="119">
        <f t="shared" si="97"/>
        <v>0</v>
      </c>
      <c r="BH32" s="119">
        <f t="shared" si="97"/>
        <v>0</v>
      </c>
      <c r="BI32" s="119">
        <f t="shared" si="97"/>
        <v>0</v>
      </c>
      <c r="BJ32" s="119">
        <f t="shared" si="97"/>
        <v>0</v>
      </c>
      <c r="BK32" s="119">
        <f t="shared" si="97"/>
        <v>0</v>
      </c>
      <c r="BL32" s="119">
        <f t="shared" si="97"/>
        <v>0</v>
      </c>
      <c r="BM32" s="119">
        <f t="shared" si="97"/>
        <v>0</v>
      </c>
      <c r="BN32" s="119">
        <f aca="true" t="shared" si="98" ref="BN32:DL32">SUM(BN3:BN31)</f>
        <v>0</v>
      </c>
      <c r="BO32" s="119">
        <f t="shared" si="98"/>
        <v>0</v>
      </c>
      <c r="BP32" s="119">
        <f t="shared" si="98"/>
        <v>0</v>
      </c>
      <c r="BQ32" s="119">
        <f t="shared" si="98"/>
        <v>0</v>
      </c>
      <c r="BR32" s="119">
        <f t="shared" si="98"/>
        <v>0</v>
      </c>
      <c r="BS32" s="119">
        <f t="shared" si="98"/>
        <v>0</v>
      </c>
      <c r="BT32" s="119">
        <f t="shared" si="98"/>
        <v>14924879.49</v>
      </c>
      <c r="BU32" s="119">
        <f t="shared" si="98"/>
        <v>77103.00000000001</v>
      </c>
      <c r="BV32" s="119">
        <f t="shared" si="98"/>
        <v>0</v>
      </c>
      <c r="BW32" s="119">
        <f t="shared" si="98"/>
        <v>346426.91</v>
      </c>
      <c r="BX32" s="119">
        <f t="shared" si="98"/>
        <v>15348409.400000002</v>
      </c>
      <c r="BY32" s="119">
        <f t="shared" si="98"/>
        <v>5667903.48</v>
      </c>
      <c r="BZ32" s="119">
        <f t="shared" si="98"/>
        <v>20000</v>
      </c>
      <c r="CA32" s="119">
        <f t="shared" si="98"/>
        <v>9660506.02</v>
      </c>
      <c r="CB32" s="119">
        <f t="shared" si="98"/>
        <v>15348409.5</v>
      </c>
      <c r="CC32" s="119">
        <f t="shared" si="98"/>
        <v>-0.10000000000582077</v>
      </c>
      <c r="CD32" s="119">
        <f t="shared" si="98"/>
        <v>-2171744.26</v>
      </c>
      <c r="CE32" s="119">
        <f t="shared" si="98"/>
        <v>-2171744.26</v>
      </c>
      <c r="CF32" s="119">
        <f t="shared" si="98"/>
        <v>0</v>
      </c>
      <c r="CG32" s="119">
        <f t="shared" si="98"/>
        <v>12155004.26</v>
      </c>
      <c r="CH32" s="119">
        <f t="shared" si="98"/>
        <v>-242003.31999999998</v>
      </c>
      <c r="CI32" s="119">
        <f t="shared" si="98"/>
        <v>-229590.82</v>
      </c>
      <c r="CJ32" s="120">
        <f t="shared" si="98"/>
        <v>0</v>
      </c>
      <c r="CK32" s="120">
        <f t="shared" si="98"/>
        <v>0</v>
      </c>
      <c r="CL32" s="120">
        <f t="shared" si="98"/>
        <v>-5.174641436113598</v>
      </c>
      <c r="CM32" s="120">
        <f t="shared" si="98"/>
        <v>-5.174641436113598</v>
      </c>
      <c r="CN32" s="120">
        <f t="shared" si="98"/>
        <v>-0.7227639631603571</v>
      </c>
      <c r="CO32" s="120">
        <f t="shared" si="98"/>
        <v>-0.713554971408071</v>
      </c>
      <c r="CP32" s="120">
        <f t="shared" si="98"/>
        <v>1.1545979786543232</v>
      </c>
      <c r="CQ32" s="120">
        <f t="shared" si="98"/>
        <v>0.6282821891806389</v>
      </c>
      <c r="CR32" s="119">
        <f t="shared" si="98"/>
        <v>-211.89890989390454</v>
      </c>
      <c r="CS32" s="119">
        <f t="shared" si="98"/>
        <v>9256976.010000002</v>
      </c>
      <c r="CT32" s="119">
        <f t="shared" si="98"/>
        <v>14388679.870000001</v>
      </c>
      <c r="CU32" s="119">
        <f t="shared" si="98"/>
        <v>12216935.36</v>
      </c>
      <c r="CV32" s="119">
        <f t="shared" si="98"/>
        <v>-2171744.5100000007</v>
      </c>
      <c r="CW32" s="119">
        <f t="shared" si="98"/>
        <v>0</v>
      </c>
      <c r="CX32" s="119">
        <f t="shared" si="98"/>
        <v>-2171744.5100000007</v>
      </c>
      <c r="CY32" s="119">
        <f t="shared" si="98"/>
        <v>-2234157.0100000016</v>
      </c>
      <c r="CZ32" s="119">
        <f t="shared" si="98"/>
        <v>0</v>
      </c>
      <c r="DA32" s="119">
        <f t="shared" si="98"/>
        <v>62412.5</v>
      </c>
      <c r="DB32" s="119">
        <f t="shared" si="98"/>
        <v>-2171744.5100000007</v>
      </c>
      <c r="DC32" s="119">
        <f t="shared" si="98"/>
        <v>-2171744.5100000007</v>
      </c>
      <c r="DD32" s="119">
        <f t="shared" si="98"/>
        <v>-62412.5</v>
      </c>
      <c r="DE32" s="119">
        <f t="shared" si="98"/>
        <v>-2234157.0100000016</v>
      </c>
      <c r="DF32" s="119">
        <f t="shared" si="98"/>
        <v>6065918.829999999</v>
      </c>
      <c r="DG32" s="119">
        <f t="shared" si="98"/>
        <v>9174.474937997413</v>
      </c>
      <c r="DH32" s="119">
        <f t="shared" si="98"/>
        <v>-217.19248494231604</v>
      </c>
      <c r="DI32" s="119">
        <f t="shared" si="98"/>
        <v>4260.529824813227</v>
      </c>
      <c r="DJ32" s="119">
        <f t="shared" si="98"/>
        <v>0</v>
      </c>
      <c r="DK32" s="119">
        <f t="shared" si="98"/>
        <v>-1414.223242373881</v>
      </c>
      <c r="DL32" s="119">
        <f t="shared" si="98"/>
        <v>9236976.110000001</v>
      </c>
      <c r="DM32" s="13">
        <f>SUM(DM3:DM31)</f>
        <v>0</v>
      </c>
      <c r="DN32" s="26">
        <f>SUM(DN3:DN31)</f>
        <v>0</v>
      </c>
    </row>
    <row r="33" spans="1:118" ht="12.75">
      <c r="A33" s="31" t="s">
        <v>47</v>
      </c>
      <c r="B33" s="24">
        <f aca="true" t="shared" si="99" ref="B33:BM33">MIN(B3:B31)</f>
        <v>172</v>
      </c>
      <c r="C33" s="24">
        <f t="shared" si="99"/>
        <v>391363</v>
      </c>
      <c r="D33" s="25">
        <f t="shared" si="99"/>
        <v>1913.87</v>
      </c>
      <c r="E33" s="25">
        <f t="shared" si="99"/>
        <v>60.06</v>
      </c>
      <c r="F33" s="116">
        <f t="shared" si="99"/>
        <v>0</v>
      </c>
      <c r="G33" s="123">
        <f t="shared" si="99"/>
        <v>0</v>
      </c>
      <c r="H33" s="24">
        <f t="shared" si="99"/>
        <v>0</v>
      </c>
      <c r="I33" s="24">
        <f t="shared" si="99"/>
        <v>0</v>
      </c>
      <c r="J33" s="24">
        <f t="shared" si="99"/>
        <v>0</v>
      </c>
      <c r="K33" s="24">
        <f t="shared" si="99"/>
        <v>0</v>
      </c>
      <c r="L33" s="24">
        <f t="shared" si="99"/>
        <v>0</v>
      </c>
      <c r="M33" s="24">
        <f t="shared" si="99"/>
        <v>0</v>
      </c>
      <c r="N33" s="24">
        <f t="shared" si="99"/>
        <v>0</v>
      </c>
      <c r="O33" s="24">
        <f t="shared" si="99"/>
        <v>0</v>
      </c>
      <c r="P33" s="24">
        <f t="shared" si="99"/>
        <v>0</v>
      </c>
      <c r="Q33" s="24">
        <f t="shared" si="99"/>
        <v>0</v>
      </c>
      <c r="R33" s="24">
        <f t="shared" si="99"/>
        <v>0</v>
      </c>
      <c r="S33" s="24">
        <f t="shared" si="99"/>
        <v>0</v>
      </c>
      <c r="T33" s="24">
        <f t="shared" si="99"/>
        <v>0</v>
      </c>
      <c r="U33" s="24">
        <f t="shared" si="99"/>
        <v>0</v>
      </c>
      <c r="V33" s="24">
        <f t="shared" si="99"/>
        <v>0</v>
      </c>
      <c r="W33" s="24">
        <f t="shared" si="99"/>
        <v>0</v>
      </c>
      <c r="X33" s="24">
        <f t="shared" si="99"/>
        <v>0</v>
      </c>
      <c r="Y33" s="24">
        <f t="shared" si="99"/>
        <v>0</v>
      </c>
      <c r="Z33" s="24">
        <f t="shared" si="99"/>
        <v>0</v>
      </c>
      <c r="AA33" s="24">
        <f t="shared" si="99"/>
        <v>0</v>
      </c>
      <c r="AB33" s="24">
        <f t="shared" si="99"/>
        <v>0</v>
      </c>
      <c r="AC33" s="24">
        <f>MIN(AC3:AC31)</f>
        <v>0</v>
      </c>
      <c r="AD33" s="24">
        <f t="shared" si="99"/>
        <v>0</v>
      </c>
      <c r="AE33" s="24">
        <f t="shared" si="99"/>
        <v>0</v>
      </c>
      <c r="AF33" s="24">
        <f t="shared" si="99"/>
        <v>0</v>
      </c>
      <c r="AG33" s="24">
        <f t="shared" si="99"/>
        <v>0</v>
      </c>
      <c r="AH33" s="24">
        <f t="shared" si="99"/>
        <v>0</v>
      </c>
      <c r="AI33" s="24">
        <f t="shared" si="99"/>
        <v>0</v>
      </c>
      <c r="AJ33" s="24">
        <f t="shared" si="99"/>
        <v>-200</v>
      </c>
      <c r="AK33" s="24">
        <f t="shared" si="99"/>
        <v>0</v>
      </c>
      <c r="AL33" s="24">
        <f t="shared" si="99"/>
        <v>0</v>
      </c>
      <c r="AM33" s="24">
        <f t="shared" si="99"/>
        <v>0</v>
      </c>
      <c r="AN33" s="24">
        <f t="shared" si="99"/>
        <v>0</v>
      </c>
      <c r="AO33" s="24">
        <f t="shared" si="99"/>
        <v>0</v>
      </c>
      <c r="AP33" s="24">
        <f t="shared" si="99"/>
        <v>0</v>
      </c>
      <c r="AQ33" s="24">
        <f t="shared" si="99"/>
        <v>0</v>
      </c>
      <c r="AR33" s="24">
        <f t="shared" si="99"/>
        <v>0</v>
      </c>
      <c r="AS33" s="24">
        <f t="shared" si="99"/>
        <v>0</v>
      </c>
      <c r="AT33" s="24">
        <f t="shared" si="99"/>
        <v>0</v>
      </c>
      <c r="AU33" s="24">
        <f t="shared" si="99"/>
        <v>0</v>
      </c>
      <c r="AV33" s="24">
        <f t="shared" si="99"/>
        <v>0</v>
      </c>
      <c r="AW33" s="24">
        <f t="shared" si="99"/>
        <v>0</v>
      </c>
      <c r="AX33" s="24">
        <f t="shared" si="99"/>
        <v>-6.639311322942376E-11</v>
      </c>
      <c r="AY33" s="24">
        <f t="shared" si="99"/>
        <v>0</v>
      </c>
      <c r="AZ33" s="24">
        <f t="shared" si="99"/>
        <v>0</v>
      </c>
      <c r="BA33" s="24">
        <f t="shared" si="99"/>
        <v>0</v>
      </c>
      <c r="BB33" s="24">
        <f t="shared" si="99"/>
        <v>0</v>
      </c>
      <c r="BC33" s="24">
        <f t="shared" si="99"/>
        <v>0</v>
      </c>
      <c r="BD33" s="24">
        <f t="shared" si="99"/>
        <v>0</v>
      </c>
      <c r="BE33" s="24">
        <f t="shared" si="99"/>
        <v>0</v>
      </c>
      <c r="BF33" s="24">
        <f t="shared" si="99"/>
        <v>0</v>
      </c>
      <c r="BG33" s="24">
        <f t="shared" si="99"/>
        <v>0</v>
      </c>
      <c r="BH33" s="24">
        <f t="shared" si="99"/>
        <v>0</v>
      </c>
      <c r="BI33" s="24">
        <f t="shared" si="99"/>
        <v>0</v>
      </c>
      <c r="BJ33" s="24">
        <f t="shared" si="99"/>
        <v>0</v>
      </c>
      <c r="BK33" s="24">
        <f t="shared" si="99"/>
        <v>0</v>
      </c>
      <c r="BL33" s="24">
        <f t="shared" si="99"/>
        <v>0</v>
      </c>
      <c r="BM33" s="24">
        <f t="shared" si="99"/>
        <v>0</v>
      </c>
      <c r="BN33" s="24">
        <f aca="true" t="shared" si="100" ref="BN33:DL33">MIN(BN3:BN31)</f>
        <v>0</v>
      </c>
      <c r="BO33" s="24">
        <f t="shared" si="100"/>
        <v>0</v>
      </c>
      <c r="BP33" s="24">
        <f t="shared" si="100"/>
        <v>0</v>
      </c>
      <c r="BQ33" s="24">
        <f t="shared" si="100"/>
        <v>0</v>
      </c>
      <c r="BR33" s="24">
        <f t="shared" si="100"/>
        <v>0</v>
      </c>
      <c r="BS33" s="24">
        <f t="shared" si="100"/>
        <v>0</v>
      </c>
      <c r="BT33" s="24">
        <f t="shared" si="100"/>
        <v>0</v>
      </c>
      <c r="BU33" s="24">
        <f t="shared" si="100"/>
        <v>0</v>
      </c>
      <c r="BV33" s="24">
        <f t="shared" si="100"/>
        <v>0</v>
      </c>
      <c r="BW33" s="24">
        <f t="shared" si="100"/>
        <v>0</v>
      </c>
      <c r="BX33" s="24">
        <f t="shared" si="100"/>
        <v>0</v>
      </c>
      <c r="BY33" s="24">
        <f t="shared" si="100"/>
        <v>0</v>
      </c>
      <c r="BZ33" s="24">
        <f t="shared" si="100"/>
        <v>0</v>
      </c>
      <c r="CA33" s="24">
        <f t="shared" si="100"/>
        <v>0</v>
      </c>
      <c r="CB33" s="24">
        <f t="shared" si="100"/>
        <v>0</v>
      </c>
      <c r="CC33" s="24">
        <f t="shared" si="100"/>
        <v>-0.10000000000582077</v>
      </c>
      <c r="CD33" s="24">
        <f t="shared" si="100"/>
        <v>-426886.9</v>
      </c>
      <c r="CE33" s="24">
        <f t="shared" si="100"/>
        <v>-426886.9</v>
      </c>
      <c r="CF33" s="24">
        <f t="shared" si="100"/>
        <v>0</v>
      </c>
      <c r="CG33" s="24">
        <f t="shared" si="100"/>
        <v>0</v>
      </c>
      <c r="CH33" s="24">
        <f t="shared" si="100"/>
        <v>-51301.20954574847</v>
      </c>
      <c r="CI33" s="24">
        <f t="shared" si="100"/>
        <v>-43845.3</v>
      </c>
      <c r="CJ33" s="92">
        <f t="shared" si="100"/>
        <v>0</v>
      </c>
      <c r="CK33" s="92">
        <f t="shared" si="100"/>
        <v>0</v>
      </c>
      <c r="CL33" s="92">
        <f t="shared" si="100"/>
        <v>-0.7563064185312443</v>
      </c>
      <c r="CM33" s="92">
        <f t="shared" si="100"/>
        <v>-0.7563064185312443</v>
      </c>
      <c r="CN33" s="92">
        <f t="shared" si="100"/>
        <v>-0.17628855720392866</v>
      </c>
      <c r="CO33" s="92">
        <f t="shared" si="100"/>
        <v>-0.17628855720392866</v>
      </c>
      <c r="CP33" s="92">
        <f t="shared" si="100"/>
        <v>0</v>
      </c>
      <c r="CQ33" s="92">
        <f t="shared" si="100"/>
        <v>0</v>
      </c>
      <c r="CR33" s="24">
        <f t="shared" si="100"/>
        <v>-75.68482588202991</v>
      </c>
      <c r="CS33" s="24">
        <f t="shared" si="100"/>
        <v>-137031.7</v>
      </c>
      <c r="CT33" s="24">
        <f t="shared" si="100"/>
        <v>0</v>
      </c>
      <c r="CU33" s="24">
        <f t="shared" si="100"/>
        <v>0</v>
      </c>
      <c r="CV33" s="24">
        <f t="shared" si="100"/>
        <v>-426886.90000000014</v>
      </c>
      <c r="CW33" s="24">
        <f t="shared" si="100"/>
        <v>0</v>
      </c>
      <c r="CX33" s="24">
        <f t="shared" si="100"/>
        <v>-426886.90000000014</v>
      </c>
      <c r="CY33" s="24">
        <f t="shared" si="100"/>
        <v>-426886.90000000014</v>
      </c>
      <c r="CZ33" s="24">
        <f t="shared" si="100"/>
        <v>0</v>
      </c>
      <c r="DA33" s="24">
        <f t="shared" si="100"/>
        <v>0</v>
      </c>
      <c r="DB33" s="24">
        <f t="shared" si="100"/>
        <v>-426886.90000000014</v>
      </c>
      <c r="DC33" s="24">
        <f>MIN(DC3:DC31)</f>
        <v>-426886.90000000014</v>
      </c>
      <c r="DD33" s="24">
        <f t="shared" si="100"/>
        <v>-50000</v>
      </c>
      <c r="DE33" s="24">
        <f t="shared" si="100"/>
        <v>-426886.90000000014</v>
      </c>
      <c r="DF33" s="24">
        <f t="shared" si="100"/>
        <v>0</v>
      </c>
      <c r="DG33" s="24">
        <f t="shared" si="100"/>
        <v>-360.6097368421053</v>
      </c>
      <c r="DH33" s="24">
        <f t="shared" si="100"/>
        <v>-41.91711281070746</v>
      </c>
      <c r="DI33" s="24">
        <f t="shared" si="100"/>
        <v>0</v>
      </c>
      <c r="DJ33" s="24">
        <f t="shared" si="100"/>
        <v>0</v>
      </c>
      <c r="DK33" s="24">
        <f t="shared" si="100"/>
        <v>-157.65278716216218</v>
      </c>
      <c r="DL33" s="24">
        <f t="shared" si="100"/>
        <v>-137031.7</v>
      </c>
      <c r="DM33" s="13">
        <f>MIN(DM3:DM31)</f>
        <v>0</v>
      </c>
      <c r="DN33" s="26">
        <f>MIN(DN3:DN31)</f>
        <v>0</v>
      </c>
    </row>
    <row r="34" spans="1:118" ht="12.75">
      <c r="A34" s="31" t="s">
        <v>48</v>
      </c>
      <c r="B34" s="24">
        <f aca="true" t="shared" si="101" ref="B34:BM34">MAX(B3:B31)</f>
        <v>5551</v>
      </c>
      <c r="C34" s="24">
        <f t="shared" si="101"/>
        <v>21735233</v>
      </c>
      <c r="D34" s="25">
        <f t="shared" si="101"/>
        <v>6138.44</v>
      </c>
      <c r="E34" s="25">
        <f t="shared" si="101"/>
        <v>192.64</v>
      </c>
      <c r="F34" s="116">
        <f t="shared" si="101"/>
        <v>6</v>
      </c>
      <c r="G34" s="123">
        <f t="shared" si="101"/>
        <v>272363.4133688975</v>
      </c>
      <c r="H34" s="24">
        <f t="shared" si="101"/>
        <v>305114.9</v>
      </c>
      <c r="I34" s="24">
        <f t="shared" si="101"/>
        <v>32038.55</v>
      </c>
      <c r="J34" s="24">
        <f t="shared" si="101"/>
        <v>100000</v>
      </c>
      <c r="K34" s="24">
        <f t="shared" si="101"/>
        <v>11138.342628516002</v>
      </c>
      <c r="L34" s="24">
        <f t="shared" si="101"/>
        <v>50000</v>
      </c>
      <c r="M34" s="24">
        <f t="shared" si="101"/>
        <v>50000</v>
      </c>
      <c r="N34" s="24">
        <f t="shared" si="101"/>
        <v>528888.45</v>
      </c>
      <c r="O34" s="24">
        <f t="shared" si="101"/>
        <v>21593.7</v>
      </c>
      <c r="P34" s="24">
        <f t="shared" si="101"/>
        <v>2398601.143509538</v>
      </c>
      <c r="Q34" s="24">
        <f t="shared" si="101"/>
        <v>0</v>
      </c>
      <c r="R34" s="24">
        <f t="shared" si="101"/>
        <v>0</v>
      </c>
      <c r="S34" s="24">
        <f t="shared" si="101"/>
        <v>0</v>
      </c>
      <c r="T34" s="24">
        <f t="shared" si="101"/>
        <v>0</v>
      </c>
      <c r="U34" s="24">
        <f t="shared" si="101"/>
        <v>0</v>
      </c>
      <c r="V34" s="24">
        <f t="shared" si="101"/>
        <v>0</v>
      </c>
      <c r="W34" s="24">
        <f t="shared" si="101"/>
        <v>0</v>
      </c>
      <c r="X34" s="24">
        <f t="shared" si="101"/>
        <v>52869</v>
      </c>
      <c r="Y34" s="24">
        <f t="shared" si="101"/>
        <v>2751405.1064985455</v>
      </c>
      <c r="Z34" s="24">
        <f t="shared" si="101"/>
        <v>1275573.3621968962</v>
      </c>
      <c r="AA34" s="24">
        <f t="shared" si="101"/>
        <v>164806.6</v>
      </c>
      <c r="AB34" s="24">
        <f t="shared" si="101"/>
        <v>0</v>
      </c>
      <c r="AC34" s="24">
        <f>MAX(AC3:AC31)</f>
        <v>46357.13144196573</v>
      </c>
      <c r="AD34" s="24">
        <f t="shared" si="101"/>
        <v>0</v>
      </c>
      <c r="AE34" s="24">
        <f t="shared" si="101"/>
        <v>1321930.493638862</v>
      </c>
      <c r="AF34" s="24">
        <f t="shared" si="101"/>
        <v>0</v>
      </c>
      <c r="AG34" s="24">
        <f t="shared" si="101"/>
        <v>58990.2</v>
      </c>
      <c r="AH34" s="24">
        <f t="shared" si="101"/>
        <v>17390</v>
      </c>
      <c r="AI34" s="24">
        <f t="shared" si="101"/>
        <v>957550.4612512124</v>
      </c>
      <c r="AJ34" s="24">
        <f t="shared" si="101"/>
        <v>0</v>
      </c>
      <c r="AK34" s="24">
        <f t="shared" si="101"/>
        <v>88661</v>
      </c>
      <c r="AL34" s="24">
        <f t="shared" si="101"/>
        <v>32237.25</v>
      </c>
      <c r="AM34" s="24">
        <f t="shared" si="101"/>
        <v>0</v>
      </c>
      <c r="AN34" s="24">
        <f t="shared" si="101"/>
        <v>0</v>
      </c>
      <c r="AO34" s="24">
        <f t="shared" si="101"/>
        <v>0</v>
      </c>
      <c r="AP34" s="24">
        <f t="shared" si="101"/>
        <v>0</v>
      </c>
      <c r="AQ34" s="24">
        <f t="shared" si="101"/>
        <v>0</v>
      </c>
      <c r="AR34" s="24">
        <f t="shared" si="101"/>
        <v>0</v>
      </c>
      <c r="AS34" s="24">
        <f t="shared" si="101"/>
        <v>0</v>
      </c>
      <c r="AT34" s="24">
        <f t="shared" si="101"/>
        <v>52869</v>
      </c>
      <c r="AU34" s="24">
        <f t="shared" si="101"/>
        <v>2427146.438643711</v>
      </c>
      <c r="AV34" s="24">
        <f t="shared" si="101"/>
        <v>27770.75</v>
      </c>
      <c r="AW34" s="24">
        <f t="shared" si="101"/>
        <v>426886.9</v>
      </c>
      <c r="AX34" s="24">
        <f t="shared" si="101"/>
        <v>0.24999999999272404</v>
      </c>
      <c r="AY34" s="24">
        <f t="shared" si="101"/>
        <v>8211.4</v>
      </c>
      <c r="AZ34" s="24">
        <f t="shared" si="101"/>
        <v>0</v>
      </c>
      <c r="BA34" s="24">
        <f t="shared" si="101"/>
        <v>0</v>
      </c>
      <c r="BB34" s="24">
        <f t="shared" si="101"/>
        <v>0</v>
      </c>
      <c r="BC34" s="24">
        <f t="shared" si="101"/>
        <v>0</v>
      </c>
      <c r="BD34" s="24">
        <f t="shared" si="101"/>
        <v>0</v>
      </c>
      <c r="BE34" s="24">
        <f t="shared" si="101"/>
        <v>0</v>
      </c>
      <c r="BF34" s="24">
        <f t="shared" si="101"/>
        <v>0</v>
      </c>
      <c r="BG34" s="24">
        <f t="shared" si="101"/>
        <v>0</v>
      </c>
      <c r="BH34" s="24">
        <f t="shared" si="101"/>
        <v>0</v>
      </c>
      <c r="BI34" s="24">
        <f t="shared" si="101"/>
        <v>0</v>
      </c>
      <c r="BJ34" s="24">
        <f t="shared" si="101"/>
        <v>0</v>
      </c>
      <c r="BK34" s="24">
        <f t="shared" si="101"/>
        <v>0</v>
      </c>
      <c r="BL34" s="24">
        <f t="shared" si="101"/>
        <v>0</v>
      </c>
      <c r="BM34" s="24">
        <f t="shared" si="101"/>
        <v>0</v>
      </c>
      <c r="BN34" s="24">
        <f aca="true" t="shared" si="102" ref="BN34:DL34">MAX(BN3:BN31)</f>
        <v>0</v>
      </c>
      <c r="BO34" s="24">
        <f t="shared" si="102"/>
        <v>0</v>
      </c>
      <c r="BP34" s="24">
        <f t="shared" si="102"/>
        <v>0</v>
      </c>
      <c r="BQ34" s="24">
        <f t="shared" si="102"/>
        <v>0</v>
      </c>
      <c r="BR34" s="24">
        <f t="shared" si="102"/>
        <v>0</v>
      </c>
      <c r="BS34" s="24">
        <f t="shared" si="102"/>
        <v>0</v>
      </c>
      <c r="BT34" s="24">
        <f t="shared" si="102"/>
        <v>1937474.0189201422</v>
      </c>
      <c r="BU34" s="24">
        <f t="shared" si="102"/>
        <v>45000</v>
      </c>
      <c r="BV34" s="24">
        <f t="shared" si="102"/>
        <v>0</v>
      </c>
      <c r="BW34" s="24">
        <f t="shared" si="102"/>
        <v>254395.21</v>
      </c>
      <c r="BX34" s="24">
        <f t="shared" si="102"/>
        <v>1961792.1728160363</v>
      </c>
      <c r="BY34" s="24">
        <f t="shared" si="102"/>
        <v>1017746.25</v>
      </c>
      <c r="BZ34" s="24">
        <f t="shared" si="102"/>
        <v>20000</v>
      </c>
      <c r="CA34" s="24">
        <f t="shared" si="102"/>
        <v>1365874.75</v>
      </c>
      <c r="CB34" s="24">
        <f t="shared" si="102"/>
        <v>1961792.1728160363</v>
      </c>
      <c r="CC34" s="24">
        <f t="shared" si="102"/>
        <v>0</v>
      </c>
      <c r="CD34" s="24">
        <f t="shared" si="102"/>
        <v>27770.75</v>
      </c>
      <c r="CE34" s="24">
        <f t="shared" si="102"/>
        <v>27770.75</v>
      </c>
      <c r="CF34" s="24">
        <f t="shared" si="102"/>
        <v>0</v>
      </c>
      <c r="CG34" s="24">
        <f t="shared" si="102"/>
        <v>2419014.5736097638</v>
      </c>
      <c r="CH34" s="24">
        <f t="shared" si="102"/>
        <v>4993.05</v>
      </c>
      <c r="CI34" s="24">
        <f t="shared" si="102"/>
        <v>4993.05</v>
      </c>
      <c r="CJ34" s="92">
        <f t="shared" si="102"/>
        <v>0</v>
      </c>
      <c r="CK34" s="92">
        <f t="shared" si="102"/>
        <v>0</v>
      </c>
      <c r="CL34" s="92">
        <f t="shared" si="102"/>
        <v>0.14968382963035617</v>
      </c>
      <c r="CM34" s="92">
        <f t="shared" si="102"/>
        <v>0.14968382963035617</v>
      </c>
      <c r="CN34" s="92">
        <f t="shared" si="102"/>
        <v>0.06343365354747854</v>
      </c>
      <c r="CO34" s="92">
        <f t="shared" si="102"/>
        <v>0.06343365354747854</v>
      </c>
      <c r="CP34" s="92">
        <f t="shared" si="102"/>
        <v>0.5263157894736842</v>
      </c>
      <c r="CQ34" s="92">
        <f t="shared" si="102"/>
        <v>0.31414109459031947</v>
      </c>
      <c r="CR34" s="24">
        <f t="shared" si="102"/>
        <v>32.571788662531624</v>
      </c>
      <c r="CS34" s="24">
        <f t="shared" si="102"/>
        <v>1365874.75</v>
      </c>
      <c r="CT34" s="24">
        <f t="shared" si="102"/>
        <v>2740266.7638700297</v>
      </c>
      <c r="CU34" s="24">
        <f t="shared" si="102"/>
        <v>2427146.438643711</v>
      </c>
      <c r="CV34" s="24">
        <f t="shared" si="102"/>
        <v>27770.75</v>
      </c>
      <c r="CW34" s="24">
        <f t="shared" si="102"/>
        <v>0</v>
      </c>
      <c r="CX34" s="24">
        <f t="shared" si="102"/>
        <v>27770.75</v>
      </c>
      <c r="CY34" s="24">
        <f t="shared" si="102"/>
        <v>27770.75</v>
      </c>
      <c r="CZ34" s="24">
        <f t="shared" si="102"/>
        <v>0</v>
      </c>
      <c r="DA34" s="24">
        <f t="shared" si="102"/>
        <v>50000</v>
      </c>
      <c r="DB34" s="24">
        <f t="shared" si="102"/>
        <v>27770.75</v>
      </c>
      <c r="DC34" s="24">
        <f>MAX(DC3:DC31)</f>
        <v>27770.75</v>
      </c>
      <c r="DD34" s="24">
        <f t="shared" si="102"/>
        <v>0</v>
      </c>
      <c r="DE34" s="24">
        <f t="shared" si="102"/>
        <v>27770.75</v>
      </c>
      <c r="DF34" s="24">
        <f t="shared" si="102"/>
        <v>1275573.3621968962</v>
      </c>
      <c r="DG34" s="24">
        <f t="shared" si="102"/>
        <v>1305.8076003824092</v>
      </c>
      <c r="DH34" s="24">
        <f t="shared" si="102"/>
        <v>13.139605263157895</v>
      </c>
      <c r="DI34" s="24">
        <f t="shared" si="102"/>
        <v>247.9825106382979</v>
      </c>
      <c r="DJ34" s="24">
        <f t="shared" si="102"/>
        <v>0</v>
      </c>
      <c r="DK34" s="24">
        <f t="shared" si="102"/>
        <v>54.43061926605498</v>
      </c>
      <c r="DL34" s="24">
        <f t="shared" si="102"/>
        <v>1365874.75</v>
      </c>
      <c r="DM34" s="13">
        <f>MAX(DM3:DM31)</f>
        <v>0</v>
      </c>
      <c r="DN34" s="26">
        <f>MAX(DN3:DN31)</f>
        <v>0</v>
      </c>
    </row>
    <row r="35" spans="1:118" ht="13.5" thickBot="1">
      <c r="A35" s="32" t="s">
        <v>49</v>
      </c>
      <c r="B35" s="27">
        <f>MEDIAN(B3:B31)</f>
        <v>630</v>
      </c>
      <c r="C35" s="27">
        <f>MEDIAN(C3:C31)</f>
        <v>1550894</v>
      </c>
      <c r="D35" s="28">
        <f>MEDIAN(D3:D31)</f>
        <v>2674.32</v>
      </c>
      <c r="E35" s="28">
        <f>MEDIAN(E3:E31)</f>
        <v>83.93</v>
      </c>
      <c r="F35" s="117">
        <f>MEDIAN(F3:F31)</f>
        <v>3</v>
      </c>
      <c r="G35" s="124">
        <f aca="true" t="shared" si="103" ref="G35:BR35">MEDIAN(G3:G31)</f>
        <v>16286.15</v>
      </c>
      <c r="H35" s="27">
        <f t="shared" si="103"/>
        <v>5021.847457627118</v>
      </c>
      <c r="I35" s="27">
        <f t="shared" si="103"/>
        <v>0</v>
      </c>
      <c r="J35" s="27">
        <f t="shared" si="103"/>
        <v>0</v>
      </c>
      <c r="K35" s="27">
        <f t="shared" si="103"/>
        <v>0</v>
      </c>
      <c r="L35" s="27">
        <f t="shared" si="103"/>
        <v>0</v>
      </c>
      <c r="M35" s="27">
        <f t="shared" si="103"/>
        <v>0</v>
      </c>
      <c r="N35" s="27">
        <f t="shared" si="103"/>
        <v>0</v>
      </c>
      <c r="O35" s="27">
        <f t="shared" si="103"/>
        <v>0</v>
      </c>
      <c r="P35" s="27">
        <f t="shared" si="103"/>
        <v>142309.74999999997</v>
      </c>
      <c r="Q35" s="27">
        <f t="shared" si="103"/>
        <v>0</v>
      </c>
      <c r="R35" s="27">
        <f t="shared" si="103"/>
        <v>0</v>
      </c>
      <c r="S35" s="27">
        <f t="shared" si="103"/>
        <v>0</v>
      </c>
      <c r="T35" s="27">
        <f t="shared" si="103"/>
        <v>0</v>
      </c>
      <c r="U35" s="27">
        <f t="shared" si="103"/>
        <v>0</v>
      </c>
      <c r="V35" s="27">
        <f t="shared" si="103"/>
        <v>0</v>
      </c>
      <c r="W35" s="27">
        <f t="shared" si="103"/>
        <v>0</v>
      </c>
      <c r="X35" s="27">
        <f t="shared" si="103"/>
        <v>0</v>
      </c>
      <c r="Y35" s="27">
        <f t="shared" si="103"/>
        <v>219048</v>
      </c>
      <c r="Z35" s="27">
        <f t="shared" si="103"/>
        <v>71422.9</v>
      </c>
      <c r="AA35" s="27">
        <f t="shared" si="103"/>
        <v>0</v>
      </c>
      <c r="AB35" s="27">
        <f t="shared" si="103"/>
        <v>0</v>
      </c>
      <c r="AC35" s="27">
        <f>MEDIAN(AC3:AC31)</f>
        <v>4625.3</v>
      </c>
      <c r="AD35" s="27">
        <f t="shared" si="103"/>
        <v>0</v>
      </c>
      <c r="AE35" s="27">
        <f t="shared" si="103"/>
        <v>78655.28030160227</v>
      </c>
      <c r="AF35" s="27">
        <f t="shared" si="103"/>
        <v>0</v>
      </c>
      <c r="AG35" s="27">
        <f t="shared" si="103"/>
        <v>3828.05</v>
      </c>
      <c r="AH35" s="27">
        <f t="shared" si="103"/>
        <v>0</v>
      </c>
      <c r="AI35" s="27">
        <f t="shared" si="103"/>
        <v>48317.8</v>
      </c>
      <c r="AJ35" s="27">
        <f t="shared" si="103"/>
        <v>0</v>
      </c>
      <c r="AK35" s="27">
        <f t="shared" si="103"/>
        <v>0</v>
      </c>
      <c r="AL35" s="27">
        <f t="shared" si="103"/>
        <v>0</v>
      </c>
      <c r="AM35" s="27">
        <f t="shared" si="103"/>
        <v>0</v>
      </c>
      <c r="AN35" s="27">
        <f t="shared" si="103"/>
        <v>0</v>
      </c>
      <c r="AO35" s="27">
        <f t="shared" si="103"/>
        <v>0</v>
      </c>
      <c r="AP35" s="27">
        <f t="shared" si="103"/>
        <v>0</v>
      </c>
      <c r="AQ35" s="27">
        <f t="shared" si="103"/>
        <v>0</v>
      </c>
      <c r="AR35" s="27">
        <f t="shared" si="103"/>
        <v>0</v>
      </c>
      <c r="AS35" s="27">
        <f t="shared" si="103"/>
        <v>0</v>
      </c>
      <c r="AT35" s="27">
        <f t="shared" si="103"/>
        <v>0</v>
      </c>
      <c r="AU35" s="27">
        <f t="shared" si="103"/>
        <v>175121.55000000005</v>
      </c>
      <c r="AV35" s="27">
        <f t="shared" si="103"/>
        <v>0</v>
      </c>
      <c r="AW35" s="27">
        <f t="shared" si="103"/>
        <v>37093.1821451665</v>
      </c>
      <c r="AX35" s="27">
        <f t="shared" si="103"/>
        <v>0</v>
      </c>
      <c r="AY35" s="27">
        <f t="shared" si="103"/>
        <v>0</v>
      </c>
      <c r="AZ35" s="27">
        <f t="shared" si="103"/>
        <v>0</v>
      </c>
      <c r="BA35" s="27">
        <f t="shared" si="103"/>
        <v>0</v>
      </c>
      <c r="BB35" s="27">
        <f t="shared" si="103"/>
        <v>0</v>
      </c>
      <c r="BC35" s="27">
        <f t="shared" si="103"/>
        <v>0</v>
      </c>
      <c r="BD35" s="27">
        <f t="shared" si="103"/>
        <v>0</v>
      </c>
      <c r="BE35" s="27">
        <f t="shared" si="103"/>
        <v>0</v>
      </c>
      <c r="BF35" s="27">
        <f t="shared" si="103"/>
        <v>0</v>
      </c>
      <c r="BG35" s="27">
        <f t="shared" si="103"/>
        <v>0</v>
      </c>
      <c r="BH35" s="27">
        <f t="shared" si="103"/>
        <v>0</v>
      </c>
      <c r="BI35" s="27">
        <f t="shared" si="103"/>
        <v>0</v>
      </c>
      <c r="BJ35" s="27">
        <f t="shared" si="103"/>
        <v>0</v>
      </c>
      <c r="BK35" s="27">
        <f t="shared" si="103"/>
        <v>0</v>
      </c>
      <c r="BL35" s="27">
        <f t="shared" si="103"/>
        <v>0</v>
      </c>
      <c r="BM35" s="27">
        <f t="shared" si="103"/>
        <v>0</v>
      </c>
      <c r="BN35" s="27">
        <f t="shared" si="103"/>
        <v>0</v>
      </c>
      <c r="BO35" s="27">
        <f t="shared" si="103"/>
        <v>0</v>
      </c>
      <c r="BP35" s="27">
        <f t="shared" si="103"/>
        <v>0</v>
      </c>
      <c r="BQ35" s="27">
        <f t="shared" si="103"/>
        <v>0</v>
      </c>
      <c r="BR35" s="27">
        <f t="shared" si="103"/>
        <v>0</v>
      </c>
      <c r="BS35" s="27">
        <f aca="true" t="shared" si="104" ref="BS35:DL35">MEDIAN(BS3:BS31)</f>
        <v>0</v>
      </c>
      <c r="BT35" s="27">
        <f t="shared" si="104"/>
        <v>272003.3453722903</v>
      </c>
      <c r="BU35" s="27">
        <f t="shared" si="104"/>
        <v>0</v>
      </c>
      <c r="BV35" s="27">
        <f t="shared" si="104"/>
        <v>0</v>
      </c>
      <c r="BW35" s="27">
        <f t="shared" si="104"/>
        <v>0</v>
      </c>
      <c r="BX35" s="27">
        <f t="shared" si="104"/>
        <v>272003.5772290292</v>
      </c>
      <c r="BY35" s="27">
        <f t="shared" si="104"/>
        <v>93333.52026390197</v>
      </c>
      <c r="BZ35" s="27">
        <f t="shared" si="104"/>
        <v>0</v>
      </c>
      <c r="CA35" s="27">
        <f t="shared" si="104"/>
        <v>177148.07342130068</v>
      </c>
      <c r="CB35" s="27">
        <f t="shared" si="104"/>
        <v>272003.5772290292</v>
      </c>
      <c r="CC35" s="27">
        <f t="shared" si="104"/>
        <v>0</v>
      </c>
      <c r="CD35" s="27">
        <f t="shared" si="104"/>
        <v>-17813.442978322335</v>
      </c>
      <c r="CE35" s="27">
        <f t="shared" si="104"/>
        <v>-17813.442978322335</v>
      </c>
      <c r="CF35" s="27">
        <f t="shared" si="104"/>
        <v>0</v>
      </c>
      <c r="CG35" s="27">
        <f t="shared" si="104"/>
        <v>175121.55000000005</v>
      </c>
      <c r="CH35" s="27">
        <f t="shared" si="104"/>
        <v>-1942.5000000000005</v>
      </c>
      <c r="CI35" s="27">
        <f t="shared" si="104"/>
        <v>-1942.5000000000005</v>
      </c>
      <c r="CJ35" s="93" t="e">
        <f t="shared" si="104"/>
        <v>#NUM!</v>
      </c>
      <c r="CK35" s="93" t="e">
        <f t="shared" si="104"/>
        <v>#NUM!</v>
      </c>
      <c r="CL35" s="93">
        <f t="shared" si="104"/>
        <v>-0.1294412727572224</v>
      </c>
      <c r="CM35" s="93">
        <f t="shared" si="104"/>
        <v>-0.1294412727572224</v>
      </c>
      <c r="CN35" s="93">
        <f t="shared" si="104"/>
        <v>-0.0157940217008591</v>
      </c>
      <c r="CO35" s="93">
        <f t="shared" si="104"/>
        <v>-0.0157940217008591</v>
      </c>
      <c r="CP35" s="93">
        <f t="shared" si="104"/>
        <v>0</v>
      </c>
      <c r="CQ35" s="93">
        <f t="shared" si="104"/>
        <v>0</v>
      </c>
      <c r="CR35" s="27">
        <f t="shared" si="104"/>
        <v>-2.756400083085981</v>
      </c>
      <c r="CS35" s="27">
        <f t="shared" si="104"/>
        <v>165394.05</v>
      </c>
      <c r="CT35" s="27">
        <f t="shared" si="104"/>
        <v>219048</v>
      </c>
      <c r="CU35" s="27">
        <f t="shared" si="104"/>
        <v>175121.55000000005</v>
      </c>
      <c r="CV35" s="27">
        <f t="shared" si="104"/>
        <v>-17813.442978322302</v>
      </c>
      <c r="CW35" s="27">
        <f t="shared" si="104"/>
        <v>0</v>
      </c>
      <c r="CX35" s="27">
        <f t="shared" si="104"/>
        <v>-17813.442978322302</v>
      </c>
      <c r="CY35" s="27">
        <f t="shared" si="104"/>
        <v>-37093.182145166524</v>
      </c>
      <c r="CZ35" s="27">
        <f t="shared" si="104"/>
        <v>0</v>
      </c>
      <c r="DA35" s="27">
        <f t="shared" si="104"/>
        <v>0</v>
      </c>
      <c r="DB35" s="27">
        <f t="shared" si="104"/>
        <v>-17813.442978322302</v>
      </c>
      <c r="DC35" s="27">
        <f>MEDIAN(DC3:DC31)</f>
        <v>-17813.442978322302</v>
      </c>
      <c r="DD35" s="27">
        <f t="shared" si="104"/>
        <v>0</v>
      </c>
      <c r="DE35" s="27">
        <f t="shared" si="104"/>
        <v>-37093.182145166524</v>
      </c>
      <c r="DF35" s="27">
        <f t="shared" si="104"/>
        <v>73471.9122525919</v>
      </c>
      <c r="DG35" s="27">
        <f t="shared" si="104"/>
        <v>230.70866873065015</v>
      </c>
      <c r="DH35" s="27">
        <f t="shared" si="104"/>
        <v>-4.4107246376811595</v>
      </c>
      <c r="DI35" s="27">
        <f t="shared" si="104"/>
        <v>158.56625273922572</v>
      </c>
      <c r="DJ35" s="27">
        <f t="shared" si="104"/>
        <v>0</v>
      </c>
      <c r="DK35" s="27">
        <f t="shared" si="104"/>
        <v>-33.412189484379034</v>
      </c>
      <c r="DL35" s="27">
        <f t="shared" si="104"/>
        <v>165394.05</v>
      </c>
      <c r="DM35" s="29" t="e">
        <f>MEDIAN(DM3:DM31)</f>
        <v>#NUM!</v>
      </c>
      <c r="DN35" s="30" t="e">
        <f>MEDIAN(DN3:DN31)</f>
        <v>#NUM!</v>
      </c>
    </row>
    <row r="37" spans="1:119" ht="12.75">
      <c r="A37" s="3" t="s">
        <v>235</v>
      </c>
      <c r="B37" s="17">
        <f>SUM(B3:B31)</f>
        <v>37966</v>
      </c>
      <c r="C37" s="17">
        <f>SUM(C3:C31)</f>
        <v>120978291</v>
      </c>
      <c r="D37" s="17">
        <f>D35</f>
        <v>2674.32</v>
      </c>
      <c r="E37" s="144">
        <f>E35</f>
        <v>83.93</v>
      </c>
      <c r="F37" s="17">
        <f>SUM(F3:F31)</f>
        <v>85</v>
      </c>
      <c r="G37" s="17">
        <f aca="true" t="shared" si="105" ref="G37:BN37">SUM(G3:G31)</f>
        <v>1033882.6000000003</v>
      </c>
      <c r="H37" s="17">
        <f t="shared" si="105"/>
        <v>576135.7200000001</v>
      </c>
      <c r="I37" s="17">
        <f t="shared" si="105"/>
        <v>47229.9</v>
      </c>
      <c r="J37" s="17">
        <f t="shared" si="105"/>
        <v>227056.05000000002</v>
      </c>
      <c r="K37" s="17">
        <f t="shared" si="105"/>
        <v>12412.499999999998</v>
      </c>
      <c r="L37" s="17">
        <f t="shared" si="105"/>
        <v>50000</v>
      </c>
      <c r="M37" s="17">
        <f t="shared" si="105"/>
        <v>62412.5</v>
      </c>
      <c r="N37" s="17">
        <f t="shared" si="105"/>
        <v>528888.45</v>
      </c>
      <c r="O37" s="17">
        <f t="shared" si="105"/>
        <v>47453.450000000004</v>
      </c>
      <c r="P37" s="17">
        <f t="shared" si="105"/>
        <v>11866102.600000001</v>
      </c>
      <c r="Q37" s="17">
        <f t="shared" si="105"/>
        <v>0</v>
      </c>
      <c r="R37" s="17">
        <f t="shared" si="105"/>
        <v>0</v>
      </c>
      <c r="S37" s="17">
        <f t="shared" si="105"/>
        <v>0</v>
      </c>
      <c r="T37" s="17">
        <f t="shared" si="105"/>
        <v>0</v>
      </c>
      <c r="U37" s="17">
        <f t="shared" si="105"/>
        <v>0</v>
      </c>
      <c r="V37" s="17">
        <f t="shared" si="105"/>
        <v>0</v>
      </c>
      <c r="W37" s="17">
        <f t="shared" si="105"/>
        <v>0</v>
      </c>
      <c r="X37" s="17">
        <f t="shared" si="105"/>
        <v>61931.1</v>
      </c>
      <c r="Y37" s="17">
        <f t="shared" si="105"/>
        <v>14451092.370000001</v>
      </c>
      <c r="Z37" s="17">
        <f t="shared" si="105"/>
        <v>5712715.029999999</v>
      </c>
      <c r="AA37" s="17">
        <f t="shared" si="105"/>
        <v>353203.8</v>
      </c>
      <c r="AB37" s="17">
        <f t="shared" si="105"/>
        <v>0</v>
      </c>
      <c r="AC37" s="17">
        <f t="shared" si="105"/>
        <v>291956.15</v>
      </c>
      <c r="AD37" s="17">
        <f t="shared" si="105"/>
        <v>0</v>
      </c>
      <c r="AE37" s="17">
        <f t="shared" si="105"/>
        <v>6357874.9799999995</v>
      </c>
      <c r="AF37" s="17">
        <f t="shared" si="105"/>
        <v>0</v>
      </c>
      <c r="AG37" s="17">
        <f t="shared" si="105"/>
        <v>314834.62</v>
      </c>
      <c r="AH37" s="17">
        <f t="shared" si="105"/>
        <v>17390</v>
      </c>
      <c r="AI37" s="17">
        <f t="shared" si="105"/>
        <v>5183216.459999999</v>
      </c>
      <c r="AJ37" s="17">
        <f t="shared" si="105"/>
        <v>-200</v>
      </c>
      <c r="AK37" s="17">
        <f t="shared" si="105"/>
        <v>238539.6</v>
      </c>
      <c r="AL37" s="17">
        <f t="shared" si="105"/>
        <v>60738.59999999999</v>
      </c>
      <c r="AM37" s="17">
        <f t="shared" si="105"/>
        <v>0</v>
      </c>
      <c r="AN37" s="17">
        <f t="shared" si="105"/>
        <v>0</v>
      </c>
      <c r="AO37" s="17">
        <f t="shared" si="105"/>
        <v>0</v>
      </c>
      <c r="AP37" s="17">
        <f t="shared" si="105"/>
        <v>0</v>
      </c>
      <c r="AQ37" s="17">
        <f t="shared" si="105"/>
        <v>0</v>
      </c>
      <c r="AR37" s="17">
        <f t="shared" si="105"/>
        <v>0</v>
      </c>
      <c r="AS37" s="17">
        <f t="shared" si="105"/>
        <v>0</v>
      </c>
      <c r="AT37" s="17">
        <f t="shared" si="105"/>
        <v>61931.1</v>
      </c>
      <c r="AU37" s="17">
        <f t="shared" si="105"/>
        <v>12216935.36</v>
      </c>
      <c r="AV37" s="17">
        <f t="shared" si="105"/>
        <v>72701.35</v>
      </c>
      <c r="AW37" s="17">
        <f t="shared" si="105"/>
        <v>2306858.1100000003</v>
      </c>
      <c r="AX37" s="4">
        <f>Y37-AU37+AV37-AW37</f>
        <v>0.25000000139698386</v>
      </c>
      <c r="AY37" s="17">
        <f t="shared" si="105"/>
        <v>8211.4</v>
      </c>
      <c r="AZ37" s="17">
        <f t="shared" si="105"/>
        <v>0</v>
      </c>
      <c r="BA37" s="17">
        <f t="shared" si="105"/>
        <v>0</v>
      </c>
      <c r="BB37" s="17">
        <f t="shared" si="105"/>
        <v>0</v>
      </c>
      <c r="BC37" s="17">
        <f t="shared" si="105"/>
        <v>0</v>
      </c>
      <c r="BD37" s="17">
        <f t="shared" si="105"/>
        <v>0</v>
      </c>
      <c r="BE37" s="17">
        <f t="shared" si="105"/>
        <v>0</v>
      </c>
      <c r="BF37" s="17">
        <f t="shared" si="105"/>
        <v>0</v>
      </c>
      <c r="BG37" s="17">
        <f t="shared" si="105"/>
        <v>0</v>
      </c>
      <c r="BH37" s="17">
        <f t="shared" si="105"/>
        <v>0</v>
      </c>
      <c r="BI37" s="17">
        <f t="shared" si="105"/>
        <v>0</v>
      </c>
      <c r="BJ37" s="17">
        <f t="shared" si="105"/>
        <v>0</v>
      </c>
      <c r="BK37" s="17">
        <f t="shared" si="105"/>
        <v>0</v>
      </c>
      <c r="BL37" s="17">
        <f t="shared" si="105"/>
        <v>0</v>
      </c>
      <c r="BM37" s="17">
        <f t="shared" si="105"/>
        <v>0</v>
      </c>
      <c r="BN37" s="17">
        <f t="shared" si="105"/>
        <v>0</v>
      </c>
      <c r="BO37" s="17">
        <f>SUM(BO3:BO31)</f>
        <v>0</v>
      </c>
      <c r="BP37" s="17">
        <f>SUM(BP3:BP31)</f>
        <v>0</v>
      </c>
      <c r="BQ37" s="17">
        <f>SUM(BQ3:BQ31)</f>
        <v>0</v>
      </c>
      <c r="BR37" s="17">
        <f>SUM(BR3:BR31)</f>
        <v>0</v>
      </c>
      <c r="BS37" s="43">
        <f>+BF37-BO37+BP37+BQ37-BR37</f>
        <v>0</v>
      </c>
      <c r="BT37" s="17">
        <f aca="true" t="shared" si="106" ref="BT37:CB37">SUM(BT3:BT31)</f>
        <v>14924879.49</v>
      </c>
      <c r="BU37" s="17">
        <f t="shared" si="106"/>
        <v>77103.00000000001</v>
      </c>
      <c r="BV37" s="17">
        <f t="shared" si="106"/>
        <v>0</v>
      </c>
      <c r="BW37" s="17">
        <f t="shared" si="106"/>
        <v>346426.91</v>
      </c>
      <c r="BX37" s="17">
        <f t="shared" si="106"/>
        <v>15348409.400000002</v>
      </c>
      <c r="BY37" s="17">
        <f t="shared" si="106"/>
        <v>5667903.48</v>
      </c>
      <c r="BZ37" s="17">
        <f t="shared" si="106"/>
        <v>20000</v>
      </c>
      <c r="CA37" s="17">
        <f t="shared" si="106"/>
        <v>9660506.02</v>
      </c>
      <c r="CB37" s="17">
        <f t="shared" si="106"/>
        <v>15348409.5</v>
      </c>
      <c r="CC37" s="4">
        <f>BX37-CB37</f>
        <v>-0.09999999776482582</v>
      </c>
      <c r="CD37" s="74">
        <f>K37+L37+AV37-AW37</f>
        <v>-2171744.2600000002</v>
      </c>
      <c r="CE37" s="76">
        <f>CD37+W37-AS37</f>
        <v>-2171744.2600000002</v>
      </c>
      <c r="CF37" s="76">
        <f>BR37-BP37</f>
        <v>0</v>
      </c>
      <c r="CG37" s="76">
        <f>AU37-AM37-AT37-AS37</f>
        <v>12155004.26</v>
      </c>
      <c r="CH37" s="76">
        <f>I37-AG37+AY37+AH37+BQ37</f>
        <v>-242003.31999999998</v>
      </c>
      <c r="CI37" s="37">
        <f>CH37+K37</f>
        <v>-229590.81999999998</v>
      </c>
      <c r="CJ37" s="59" t="e">
        <f>CD37/CF37</f>
        <v>#DIV/0!</v>
      </c>
      <c r="CK37" s="140" t="e">
        <f>CE37/CF37</f>
        <v>#DIV/0!</v>
      </c>
      <c r="CL37" s="64">
        <f>CD37/CG37*1</f>
        <v>-0.1786707938183808</v>
      </c>
      <c r="CM37" s="64">
        <f>CE37/CG37</f>
        <v>-0.1786707938183808</v>
      </c>
      <c r="CN37" s="64">
        <f>CH37/CG37</f>
        <v>-0.019909768423232128</v>
      </c>
      <c r="CO37" s="64">
        <f>CI37/CG37</f>
        <v>-0.01888858408347444</v>
      </c>
      <c r="CP37" s="64">
        <f>(K37+L37)/(BU37+K37+L37)</f>
        <v>0.4473517279442069</v>
      </c>
      <c r="CQ37" s="64">
        <f>(K37)/(BU37+K37+L37)</f>
        <v>0.08896860922263117</v>
      </c>
      <c r="CR37" s="75">
        <f>CS37/CE37</f>
        <v>-4.262461368264419</v>
      </c>
      <c r="CS37" s="76">
        <f>BT37-BY37</f>
        <v>9256976.01</v>
      </c>
      <c r="CT37" s="80">
        <f>Y37-K37-L37-V37</f>
        <v>14388679.870000001</v>
      </c>
      <c r="CU37" s="80">
        <f>AU37-AR37</f>
        <v>12216935.36</v>
      </c>
      <c r="CV37" s="80">
        <f>CU37-CT37</f>
        <v>-2171744.5100000016</v>
      </c>
      <c r="CW37" s="80">
        <f>-V37+AR37</f>
        <v>0</v>
      </c>
      <c r="CX37" s="80">
        <f>CV37+CW37</f>
        <v>-2171744.5100000016</v>
      </c>
      <c r="CY37" s="80">
        <f>CX37-K37-L37</f>
        <v>-2234157.0100000016</v>
      </c>
      <c r="CZ37" s="80">
        <f>BR37-BP37</f>
        <v>0</v>
      </c>
      <c r="DA37" s="80">
        <f>K37+L37</f>
        <v>62412.5</v>
      </c>
      <c r="DB37" s="80">
        <f>-CZ37+DA37+CY37</f>
        <v>-2171744.5100000016</v>
      </c>
      <c r="DC37" s="80">
        <f aca="true" t="shared" si="107" ref="DC37:DC42">-CZ37+DA37+CY37+W37-AS37</f>
        <v>-2171744.5100000016</v>
      </c>
      <c r="DD37" s="80">
        <f>-BP37-DA37</f>
        <v>-62412.5</v>
      </c>
      <c r="DE37" s="80">
        <f>DB37+DD37+BR37</f>
        <v>-2234157.0100000016</v>
      </c>
      <c r="DF37" s="80">
        <f>Z37+AA37+AB37</f>
        <v>6065918.829999999</v>
      </c>
      <c r="DG37" s="80">
        <f>CS37/B37</f>
        <v>243.822789074435</v>
      </c>
      <c r="DH37" s="80">
        <f>CH37/B37</f>
        <v>-6.374211663066954</v>
      </c>
      <c r="DI37" s="80">
        <f>DF37/B37</f>
        <v>159.77239714481377</v>
      </c>
      <c r="DJ37" s="81">
        <f>CZ37/B37</f>
        <v>0</v>
      </c>
      <c r="DK37" s="76">
        <f>DB37/B37</f>
        <v>-57.20235236790817</v>
      </c>
      <c r="DL37" s="145">
        <f>CA37-BW37-BU37</f>
        <v>9236976.11</v>
      </c>
      <c r="DM37" s="67"/>
      <c r="DN37" s="67"/>
      <c r="DO37" s="68"/>
    </row>
    <row r="38" spans="2:107" ht="12.75">
      <c r="B38" s="8"/>
      <c r="C38" s="8"/>
      <c r="D38" s="8"/>
      <c r="E38" s="8"/>
      <c r="F38" s="115"/>
      <c r="DC38" s="80">
        <f t="shared" si="107"/>
        <v>0</v>
      </c>
    </row>
    <row r="39" ht="12.75">
      <c r="DC39" s="80">
        <f t="shared" si="107"/>
        <v>0</v>
      </c>
    </row>
    <row r="40" spans="1:118" ht="12.75">
      <c r="A40" s="3" t="s">
        <v>215</v>
      </c>
      <c r="B40" s="136">
        <f>B11+B27</f>
        <v>6186</v>
      </c>
      <c r="G40" s="131">
        <v>303520.1</v>
      </c>
      <c r="H40" s="43">
        <v>59330.05</v>
      </c>
      <c r="I40" s="43">
        <v>38.5</v>
      </c>
      <c r="J40" s="43">
        <v>8551.25</v>
      </c>
      <c r="K40" s="43">
        <v>12412.5</v>
      </c>
      <c r="L40" s="43">
        <v>0</v>
      </c>
      <c r="M40" s="43">
        <f>SUM(K40:L40)</f>
        <v>12412.5</v>
      </c>
      <c r="N40" s="43">
        <v>0</v>
      </c>
      <c r="O40" s="43">
        <v>248.05</v>
      </c>
      <c r="P40" s="43">
        <f>2422986.25+250000</f>
        <v>2672986.25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f>SUM(R40:V40)</f>
        <v>0</v>
      </c>
      <c r="X40" s="43">
        <f>9062.1</f>
        <v>9062.1</v>
      </c>
      <c r="Y40" s="43">
        <f>SUM(G40:X40)-M40-W40</f>
        <v>3066148.8000000003</v>
      </c>
      <c r="Z40" s="43">
        <v>1421491.05</v>
      </c>
      <c r="AA40" s="43">
        <v>0</v>
      </c>
      <c r="AB40" s="43">
        <v>0</v>
      </c>
      <c r="AC40" s="43">
        <v>51660.1</v>
      </c>
      <c r="AD40" s="43">
        <v>0</v>
      </c>
      <c r="AE40" s="43">
        <f>SUM(Z40:AD40)</f>
        <v>1473151.1500000001</v>
      </c>
      <c r="AF40" s="43">
        <v>0</v>
      </c>
      <c r="AG40" s="43">
        <v>57208.25</v>
      </c>
      <c r="AH40" s="43">
        <v>0</v>
      </c>
      <c r="AI40" s="43">
        <v>1067088.3</v>
      </c>
      <c r="AJ40" s="43">
        <v>0</v>
      </c>
      <c r="AK40" s="43">
        <v>98287.15</v>
      </c>
      <c r="AL40" s="43">
        <v>0</v>
      </c>
      <c r="AM40" s="43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9062.1</v>
      </c>
      <c r="AU40" s="4">
        <f>SUM(Z40:AT40)-AE40-AH40-AS40</f>
        <v>2704796.95</v>
      </c>
      <c r="AV40" s="4">
        <v>0</v>
      </c>
      <c r="AW40" s="4">
        <v>361351.85</v>
      </c>
      <c r="AX40" s="4">
        <f>Y40-AU40+AV40-AW40</f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f>SUM(AZ40:BE40)</f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f>SUM(BG40:BN40)</f>
        <v>0</v>
      </c>
      <c r="BP40" s="43">
        <v>0</v>
      </c>
      <c r="BQ40" s="43">
        <v>0</v>
      </c>
      <c r="BR40" s="43">
        <v>0</v>
      </c>
      <c r="BS40" s="43">
        <f>+BF40-BO40+BP40+BQ40-BR40</f>
        <v>0</v>
      </c>
      <c r="BT40" s="4">
        <v>2159109.04</v>
      </c>
      <c r="BU40" s="4">
        <v>27100</v>
      </c>
      <c r="BV40" s="4">
        <v>0</v>
      </c>
      <c r="BW40" s="4">
        <v>0</v>
      </c>
      <c r="BX40" s="4">
        <f>SUM(BT40:BW40)</f>
        <v>2186209.04</v>
      </c>
      <c r="BY40" s="4">
        <v>803111.05</v>
      </c>
      <c r="BZ40" s="4">
        <v>0</v>
      </c>
      <c r="CA40" s="4">
        <v>1383097.99</v>
      </c>
      <c r="CB40" s="4">
        <f>SUM(BY40:CA40)</f>
        <v>2186209.04</v>
      </c>
      <c r="CC40" s="4">
        <f>BX40-CB40</f>
        <v>0</v>
      </c>
      <c r="CD40" s="74">
        <f>K40+L40+AV40-AW40</f>
        <v>-348939.35</v>
      </c>
      <c r="CE40" s="76">
        <f>CD40+W40-AS40</f>
        <v>-348939.35</v>
      </c>
      <c r="CF40" s="76">
        <f>BR40-BP40</f>
        <v>0</v>
      </c>
      <c r="CG40" s="76">
        <f>AU40-AM40-AT40-AS40</f>
        <v>2695734.85</v>
      </c>
      <c r="CH40" s="76">
        <f>I40-AG40+AY40+AH40+BQ40</f>
        <v>-57169.75</v>
      </c>
      <c r="CI40" s="37">
        <f>CH40+K40</f>
        <v>-44757.25</v>
      </c>
      <c r="CJ40" s="59" t="str">
        <f>IF(CF40=0,"-",(CD40/CF40))</f>
        <v>-</v>
      </c>
      <c r="CK40" s="59" t="str">
        <f>IF(CF40=0,"-",(CE40/CF40))</f>
        <v>-</v>
      </c>
      <c r="CL40" s="141">
        <f>IF(CG40=0,"-",(CD40/CG40*1))</f>
        <v>-0.1294412727572224</v>
      </c>
      <c r="CM40" s="141">
        <f>IF(CE40=0,"-",(CE40/CG40))</f>
        <v>-0.1294412727572224</v>
      </c>
      <c r="CN40" s="141">
        <f>IF(CG40=0,"-",(CH40/CG40))</f>
        <v>-0.02120748262760338</v>
      </c>
      <c r="CO40" s="141">
        <f>IF(CG40=0,"-",(CI40/CG40))</f>
        <v>-0.016602986751460366</v>
      </c>
      <c r="CP40" s="141">
        <f>IF(BU40+K40+L40=0,"-",((K40+L40)/(BU40+K40+L40)))</f>
        <v>0.3141410945903195</v>
      </c>
      <c r="CQ40" s="141">
        <f>IF(BU40+K40+L40=0,"-",((K40)/(BU40+K40+L40)))</f>
        <v>0.3141410945903195</v>
      </c>
      <c r="CR40" s="142">
        <f>IF(CE40=0,"-",(CS40/CE40))</f>
        <v>-3.88605638773615</v>
      </c>
      <c r="CS40" s="76">
        <f>BT40-BY40</f>
        <v>1355997.99</v>
      </c>
      <c r="CT40" s="80">
        <f>Y40-K40-L40-V40</f>
        <v>3053736.3000000003</v>
      </c>
      <c r="CU40" s="80">
        <f>AU40-AR40</f>
        <v>2704796.95</v>
      </c>
      <c r="CV40" s="80">
        <f>CU40-CT40</f>
        <v>-348939.3500000001</v>
      </c>
      <c r="CW40" s="80">
        <f>-V40+AR40</f>
        <v>0</v>
      </c>
      <c r="CX40" s="80">
        <f>CV40+CW40</f>
        <v>-348939.3500000001</v>
      </c>
      <c r="CY40" s="80">
        <f>CX40-K40-L40</f>
        <v>-361351.8500000001</v>
      </c>
      <c r="CZ40" s="80">
        <f>BR40-BP40</f>
        <v>0</v>
      </c>
      <c r="DA40" s="80">
        <f>K40+L40</f>
        <v>12412.5</v>
      </c>
      <c r="DB40" s="80">
        <f>-CZ40+DA40+CY40</f>
        <v>-348939.3500000001</v>
      </c>
      <c r="DC40" s="80">
        <f t="shared" si="107"/>
        <v>-348939.3500000001</v>
      </c>
      <c r="DD40" s="80">
        <f>-BP40-DA40</f>
        <v>-12412.5</v>
      </c>
      <c r="DE40" s="80">
        <f>DB40+DD40+BR40</f>
        <v>-361351.8500000001</v>
      </c>
      <c r="DF40" s="80">
        <f>Z40+AA40+AB40</f>
        <v>1421491.05</v>
      </c>
      <c r="DG40" s="80">
        <f>CS40/B40</f>
        <v>219.20433074684772</v>
      </c>
      <c r="DH40" s="80">
        <f>CH40/B40</f>
        <v>-9.2417959909473</v>
      </c>
      <c r="DI40" s="80">
        <f>DF40/B40</f>
        <v>229.7916343355965</v>
      </c>
      <c r="DJ40" s="81">
        <f>CZ40/B40</f>
        <v>0</v>
      </c>
      <c r="DK40" s="76">
        <f>DB40/B40</f>
        <v>-56.40791302942129</v>
      </c>
      <c r="DL40" s="145">
        <f>CA40-BW40-BU40</f>
        <v>1355997.99</v>
      </c>
      <c r="DM40" s="64"/>
      <c r="DN40" s="65"/>
    </row>
    <row r="41" spans="1:118" ht="12.75">
      <c r="A41" s="3" t="s">
        <v>216</v>
      </c>
      <c r="B41" s="136">
        <f>B12+B14+B23</f>
        <v>1061</v>
      </c>
      <c r="G41" s="131">
        <f>550+10531.8+6538+1074.7+1800+7939+1305</f>
        <v>29738.5</v>
      </c>
      <c r="H41" s="43">
        <f>1749.65+1908.7+1227.2+1007.6+2599+133.15+50+1456.65+193+220</f>
        <v>10544.95</v>
      </c>
      <c r="I41" s="43">
        <v>0</v>
      </c>
      <c r="J41" s="43">
        <v>0</v>
      </c>
      <c r="K41" s="43">
        <v>0</v>
      </c>
      <c r="L41" s="43">
        <v>0</v>
      </c>
      <c r="M41" s="43">
        <f>SUM(K41:L41)</f>
        <v>0</v>
      </c>
      <c r="N41" s="43">
        <v>0</v>
      </c>
      <c r="O41" s="43">
        <v>0</v>
      </c>
      <c r="P41" s="43">
        <f>8489.45+2774.65+1106+84717.75+1309.2+200+100+1929.6+37596.05+60001.9+32207.05+78689.15</f>
        <v>309120.8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f>SUM(R41:V41)</f>
        <v>0</v>
      </c>
      <c r="X41" s="43">
        <v>0</v>
      </c>
      <c r="Y41" s="43">
        <f>SUM(G41:X41)-M41-W41</f>
        <v>349404.25</v>
      </c>
      <c r="Z41" s="43">
        <f>68144.88+55004.4+586.75</f>
        <v>123736.03</v>
      </c>
      <c r="AA41" s="43">
        <v>0</v>
      </c>
      <c r="AB41" s="43">
        <v>0</v>
      </c>
      <c r="AC41" s="43">
        <v>8729.45</v>
      </c>
      <c r="AD41" s="43">
        <v>0</v>
      </c>
      <c r="AE41" s="43">
        <f>SUM(Z41:AD41)</f>
        <v>132465.48</v>
      </c>
      <c r="AF41" s="43">
        <v>0</v>
      </c>
      <c r="AG41" s="43">
        <f>34348.47</f>
        <v>34348.47</v>
      </c>
      <c r="AH41" s="43">
        <v>0</v>
      </c>
      <c r="AI41" s="43">
        <f>12711+300+8076+56924+72606.4</f>
        <v>150617.4</v>
      </c>
      <c r="AJ41" s="43">
        <v>0</v>
      </c>
      <c r="AK41" s="43">
        <v>0</v>
      </c>
      <c r="AL41" s="43">
        <f>1972.8</f>
        <v>1972.8</v>
      </c>
      <c r="AM41" s="43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319404.15</v>
      </c>
      <c r="AV41" s="4">
        <v>0</v>
      </c>
      <c r="AW41" s="4">
        <v>30000.1</v>
      </c>
      <c r="AX41" s="143">
        <f>Y41-AU41+AV41-AW41</f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f>SUM(AZ41:BE41)</f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f>SUM(BG41:BN41)</f>
        <v>0</v>
      </c>
      <c r="BP41" s="43">
        <v>0</v>
      </c>
      <c r="BQ41" s="43">
        <v>0</v>
      </c>
      <c r="BR41" s="43">
        <v>0</v>
      </c>
      <c r="BS41" s="43">
        <f>+BF41-BO41+BP41+BQ41-BR41</f>
        <v>0</v>
      </c>
      <c r="BT41" s="4">
        <v>1173152.64</v>
      </c>
      <c r="BU41" s="4">
        <v>1</v>
      </c>
      <c r="BV41" s="4">
        <v>0</v>
      </c>
      <c r="BW41" s="4">
        <v>0</v>
      </c>
      <c r="BX41" s="4">
        <f>SUM(BT41:BW41)</f>
        <v>1173153.64</v>
      </c>
      <c r="BY41" s="4">
        <v>157185.5</v>
      </c>
      <c r="BZ41" s="4">
        <v>0</v>
      </c>
      <c r="CA41" s="4">
        <v>1015968.14</v>
      </c>
      <c r="CB41" s="4">
        <f>SUM(BY41:CA41)</f>
        <v>1173153.6400000001</v>
      </c>
      <c r="CC41" s="4">
        <f>BX41-CB41</f>
        <v>0</v>
      </c>
      <c r="CD41" s="74">
        <f>K41+L41+AV41-AW41</f>
        <v>-30000.1</v>
      </c>
      <c r="CE41" s="76">
        <f>CD41+W41-AS41</f>
        <v>-30000.1</v>
      </c>
      <c r="CF41" s="76">
        <f>BR41-BP41</f>
        <v>0</v>
      </c>
      <c r="CG41" s="76">
        <f>AU41-AM41-AT41-AS41</f>
        <v>319404.15</v>
      </c>
      <c r="CH41" s="76">
        <f>I41-AG41+AY41+AH41+BQ41</f>
        <v>-34348.47</v>
      </c>
      <c r="CI41" s="37">
        <f>CH41+K41</f>
        <v>-34348.47</v>
      </c>
      <c r="CJ41" s="59" t="str">
        <f>IF(CF41=0,"-",(CD41/CF41))</f>
        <v>-</v>
      </c>
      <c r="CK41" s="59" t="str">
        <f>IF(CF41=0,"-",(CE41/CF41))</f>
        <v>-</v>
      </c>
      <c r="CL41" s="141">
        <f>IF(CG41=0,"-",(CD41/CG41*1))</f>
        <v>-0.09392520416531844</v>
      </c>
      <c r="CM41" s="141">
        <f>IF(CE41=0,"-",(CE41/CG41))</f>
        <v>-0.09392520416531844</v>
      </c>
      <c r="CN41" s="141">
        <f>IF(CG41=0,"-",(CH41/CG41))</f>
        <v>-0.10753921011984346</v>
      </c>
      <c r="CO41" s="141">
        <f>IF(CG41=0,"-",(CI41/CG41))</f>
        <v>-0.10753921011984346</v>
      </c>
      <c r="CP41" s="141">
        <f>IF(BU41+K41+L41=0,"-",((K41+L41)/(BU41+K41+L41)))</f>
        <v>0</v>
      </c>
      <c r="CQ41" s="141">
        <f>IF(BU41+K41+L41=0,"-",((K41)/(BU41+K41+L41)))</f>
        <v>0</v>
      </c>
      <c r="CR41" s="142">
        <f>IF(CE41=0,"-",(CS41/CE41))</f>
        <v>-33.865458448471834</v>
      </c>
      <c r="CS41" s="76">
        <f>BT41-BY41</f>
        <v>1015967.1399999999</v>
      </c>
      <c r="CT41" s="80">
        <f>Y41-K41-L41-V41</f>
        <v>349404.25</v>
      </c>
      <c r="CU41" s="80">
        <f>AU41-AR41</f>
        <v>319404.15</v>
      </c>
      <c r="CV41" s="80">
        <f>CU41-CT41</f>
        <v>-30000.099999999977</v>
      </c>
      <c r="CW41" s="80">
        <f>-V41+AR41</f>
        <v>0</v>
      </c>
      <c r="CX41" s="80">
        <f>CV41+CW41</f>
        <v>-30000.099999999977</v>
      </c>
      <c r="CY41" s="80">
        <f>CX41-K41-L41</f>
        <v>-30000.099999999977</v>
      </c>
      <c r="CZ41" s="80">
        <f>BR41-BP41</f>
        <v>0</v>
      </c>
      <c r="DA41" s="80">
        <f>K41+L41</f>
        <v>0</v>
      </c>
      <c r="DB41" s="80">
        <f>-CZ41+DA41+CY41</f>
        <v>-30000.099999999977</v>
      </c>
      <c r="DC41" s="80">
        <f t="shared" si="107"/>
        <v>-30000.099999999977</v>
      </c>
      <c r="DD41" s="80">
        <f>-BP41-DA41</f>
        <v>0</v>
      </c>
      <c r="DE41" s="80">
        <f>DB41+DD41+BR41</f>
        <v>-30000.099999999977</v>
      </c>
      <c r="DF41" s="80">
        <f>Z41+AA41+AB41</f>
        <v>123736.03</v>
      </c>
      <c r="DG41" s="80">
        <f>CS41/B41</f>
        <v>957.5562111215833</v>
      </c>
      <c r="DH41" s="80">
        <f>CH41/B41</f>
        <v>-32.37367577756833</v>
      </c>
      <c r="DI41" s="80">
        <f>DF41/B41</f>
        <v>116.62208294062205</v>
      </c>
      <c r="DJ41" s="81">
        <f>CZ41/B41</f>
        <v>0</v>
      </c>
      <c r="DK41" s="76">
        <f>DB41/B41</f>
        <v>-28.27530631479734</v>
      </c>
      <c r="DL41" s="145">
        <f>CA41-BW41-BU41</f>
        <v>1015967.14</v>
      </c>
      <c r="DM41" s="64"/>
      <c r="DN41" s="65"/>
    </row>
    <row r="42" spans="1:118" ht="12.75">
      <c r="A42" s="3" t="s">
        <v>217</v>
      </c>
      <c r="B42" s="136">
        <f>B5+B28</f>
        <v>826</v>
      </c>
      <c r="G42" s="131">
        <v>19303.75</v>
      </c>
      <c r="H42" s="43">
        <v>9876.3</v>
      </c>
      <c r="I42" s="43">
        <v>286.1</v>
      </c>
      <c r="J42" s="43">
        <v>4999</v>
      </c>
      <c r="K42" s="43">
        <v>0</v>
      </c>
      <c r="L42" s="43">
        <v>0</v>
      </c>
      <c r="M42" s="43">
        <f>SUM(K42:L42)</f>
        <v>0</v>
      </c>
      <c r="N42" s="43">
        <v>0</v>
      </c>
      <c r="O42" s="43">
        <v>0</v>
      </c>
      <c r="P42" s="43">
        <v>361349.7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f>SUM(R42:V42)</f>
        <v>0</v>
      </c>
      <c r="X42" s="43">
        <v>0</v>
      </c>
      <c r="Y42" s="43">
        <f>SUM(G42:X42)-M42-W42</f>
        <v>395814.85</v>
      </c>
      <c r="Z42" s="43">
        <v>140455.8</v>
      </c>
      <c r="AA42" s="43">
        <v>0</v>
      </c>
      <c r="AB42" s="43">
        <v>0</v>
      </c>
      <c r="AC42" s="43">
        <v>7304.45</v>
      </c>
      <c r="AD42" s="43">
        <v>0</v>
      </c>
      <c r="AE42" s="43">
        <f>SUM(Z42:AD42)</f>
        <v>147760.25</v>
      </c>
      <c r="AF42" s="43">
        <v>0</v>
      </c>
      <c r="AG42" s="43">
        <v>4106.35</v>
      </c>
      <c r="AH42" s="43">
        <v>0</v>
      </c>
      <c r="AI42" s="43">
        <v>227389.85</v>
      </c>
      <c r="AJ42" s="43">
        <v>0</v>
      </c>
      <c r="AK42" s="43">
        <v>4836</v>
      </c>
      <c r="AL42" s="43">
        <v>0</v>
      </c>
      <c r="AM42" s="43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0</v>
      </c>
      <c r="AU42" s="4">
        <f>SUM(Z42:AT42)-AE42-AH42-AS42</f>
        <v>384092.44999999995</v>
      </c>
      <c r="AV42" s="4">
        <v>0</v>
      </c>
      <c r="AW42" s="4">
        <v>11722.4</v>
      </c>
      <c r="AX42" s="4">
        <f>Y42-AU42+AV42-AW42</f>
        <v>2.3646862246096134E-11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f>SUM(AZ42:BE42)</f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f>SUM(BG42:BN42)</f>
        <v>0</v>
      </c>
      <c r="BP42" s="43">
        <v>0</v>
      </c>
      <c r="BQ42" s="43">
        <v>0</v>
      </c>
      <c r="BR42" s="43">
        <v>0</v>
      </c>
      <c r="BS42" s="43">
        <f>+BF42-BO42+BP42+BQ42-BR42</f>
        <v>0</v>
      </c>
      <c r="BT42" s="4">
        <v>468468.6</v>
      </c>
      <c r="BU42" s="4">
        <v>0</v>
      </c>
      <c r="BV42" s="4">
        <v>0</v>
      </c>
      <c r="BW42" s="4">
        <v>0</v>
      </c>
      <c r="BX42" s="4">
        <f>SUM(BT42:BW42)</f>
        <v>468468.6</v>
      </c>
      <c r="BY42" s="4">
        <v>169222.45</v>
      </c>
      <c r="BZ42" s="4">
        <v>0</v>
      </c>
      <c r="CA42" s="4">
        <v>299246.15</v>
      </c>
      <c r="CB42" s="4">
        <f>SUM(BY42:CA42)</f>
        <v>468468.60000000003</v>
      </c>
      <c r="CC42" s="4">
        <f>BX42-CB42</f>
        <v>0</v>
      </c>
      <c r="CD42" s="74">
        <f>K42+L42+AV42-AW42</f>
        <v>-11722.4</v>
      </c>
      <c r="CE42" s="76">
        <f>CD42+W42-AS42</f>
        <v>-11722.4</v>
      </c>
      <c r="CF42" s="76">
        <f>BR42-BP42</f>
        <v>0</v>
      </c>
      <c r="CG42" s="76">
        <f>AU42-AM42-AT42-AS42</f>
        <v>384092.44999999995</v>
      </c>
      <c r="CH42" s="76">
        <f>I42-AG42+AY42+AH42+BQ42</f>
        <v>-3820.2500000000005</v>
      </c>
      <c r="CI42" s="37">
        <f>CH42+K42</f>
        <v>-3820.2500000000005</v>
      </c>
      <c r="CJ42" s="59" t="str">
        <f>IF(CF42=0,"-",(CD42/CF42))</f>
        <v>-</v>
      </c>
      <c r="CK42" s="59" t="str">
        <f>IF(CF42=0,"-",(CE42/CF42))</f>
        <v>-</v>
      </c>
      <c r="CL42" s="141">
        <f>IF(CG42=0,"-",(CD42/CG42*1))</f>
        <v>-0.03051973554804319</v>
      </c>
      <c r="CM42" s="141">
        <f>IF(CE42=0,"-",(CE42/CG42))</f>
        <v>-0.03051973554804319</v>
      </c>
      <c r="CN42" s="141">
        <f>IF(CG42=0,"-",(CH42/CG42))</f>
        <v>-0.009946173115352829</v>
      </c>
      <c r="CO42" s="141">
        <f>IF(CG42=0,"-",(CI42/CG42))</f>
        <v>-0.009946173115352829</v>
      </c>
      <c r="CP42" s="141" t="str">
        <f>IF(BU42+K42+L42=0,"-",((K42+L42)/(BU42+K42+L42)))</f>
        <v>-</v>
      </c>
      <c r="CQ42" s="141" t="str">
        <f>IF(BU42+K42+L42=0,"-",((K42)/(BU42+K42+L42)))</f>
        <v>-</v>
      </c>
      <c r="CR42" s="142">
        <f>IF(CE42=0,"-",(CS42/CE42))</f>
        <v>-25.5277204326759</v>
      </c>
      <c r="CS42" s="76">
        <f>BT42-BY42</f>
        <v>299246.14999999997</v>
      </c>
      <c r="CT42" s="80">
        <f>Y42-K42-L42-V42</f>
        <v>395814.85</v>
      </c>
      <c r="CU42" s="80">
        <f>AU42-AR42</f>
        <v>384092.44999999995</v>
      </c>
      <c r="CV42" s="80">
        <f>CU42-CT42</f>
        <v>-11722.400000000023</v>
      </c>
      <c r="CW42" s="80">
        <f>-V42+AR42</f>
        <v>0</v>
      </c>
      <c r="CX42" s="80">
        <f>CV42+CW42</f>
        <v>-11722.400000000023</v>
      </c>
      <c r="CY42" s="80">
        <f>CX42-K42-L42</f>
        <v>-11722.400000000023</v>
      </c>
      <c r="CZ42" s="80">
        <f>BR42-BP42</f>
        <v>0</v>
      </c>
      <c r="DA42" s="80">
        <f>K42+L42</f>
        <v>0</v>
      </c>
      <c r="DB42" s="80">
        <f>-CZ42+DA42+CY42</f>
        <v>-11722.400000000023</v>
      </c>
      <c r="DC42" s="80">
        <f t="shared" si="107"/>
        <v>-11722.400000000023</v>
      </c>
      <c r="DD42" s="80">
        <f>-BP42-DA42</f>
        <v>0</v>
      </c>
      <c r="DE42" s="80">
        <f>DB42+DD42+BR42</f>
        <v>-11722.400000000023</v>
      </c>
      <c r="DF42" s="80">
        <f>Z42+AA42+AB42</f>
        <v>140455.8</v>
      </c>
      <c r="DG42" s="80">
        <f>CS42/B42</f>
        <v>362.28347457627115</v>
      </c>
      <c r="DH42" s="80">
        <f>CH42/B42</f>
        <v>-4.625000000000001</v>
      </c>
      <c r="DI42" s="80">
        <f>DF42/B42</f>
        <v>170.04334140435833</v>
      </c>
      <c r="DJ42" s="81">
        <f>CZ42/B42</f>
        <v>0</v>
      </c>
      <c r="DK42" s="76">
        <f>DB42/B42</f>
        <v>-14.191767554479448</v>
      </c>
      <c r="DL42" s="145">
        <f>CA42-BW42-BU42</f>
        <v>299246.15</v>
      </c>
      <c r="DM42" s="64"/>
      <c r="DN42" s="65"/>
    </row>
    <row r="60" spans="1:116" ht="12.75">
      <c r="A60" s="3" t="s">
        <v>242</v>
      </c>
      <c r="B60" s="62">
        <f>B10+B20+B26</f>
        <v>1410</v>
      </c>
      <c r="C60" s="62">
        <f aca="true" t="shared" si="108" ref="C60:BN60">C10+C20+C26</f>
        <v>3489180</v>
      </c>
      <c r="D60" s="62">
        <f>(D10+D20+D26)/3</f>
        <v>2495.48</v>
      </c>
      <c r="E60" s="62">
        <f>(E10+E20+E26)/3</f>
        <v>78.31333333333333</v>
      </c>
      <c r="F60" s="62">
        <f>(F10+F20+F26)/3</f>
        <v>4</v>
      </c>
      <c r="G60" s="62">
        <f t="shared" si="108"/>
        <v>15345.5</v>
      </c>
      <c r="H60" s="62">
        <f t="shared" si="108"/>
        <v>21254.9</v>
      </c>
      <c r="I60" s="62">
        <f t="shared" si="108"/>
        <v>295.15</v>
      </c>
      <c r="J60" s="62">
        <f t="shared" si="108"/>
        <v>0</v>
      </c>
      <c r="K60" s="62">
        <f t="shared" si="108"/>
        <v>0</v>
      </c>
      <c r="L60" s="62">
        <f t="shared" si="108"/>
        <v>0</v>
      </c>
      <c r="M60" s="62">
        <f t="shared" si="108"/>
        <v>0</v>
      </c>
      <c r="N60" s="62">
        <f t="shared" si="108"/>
        <v>0</v>
      </c>
      <c r="O60" s="62">
        <f t="shared" si="108"/>
        <v>2023.7</v>
      </c>
      <c r="P60" s="62">
        <f t="shared" si="108"/>
        <v>431793.19999999995</v>
      </c>
      <c r="Q60" s="62">
        <f t="shared" si="108"/>
        <v>0</v>
      </c>
      <c r="R60" s="62">
        <f t="shared" si="108"/>
        <v>0</v>
      </c>
      <c r="S60" s="62">
        <f t="shared" si="108"/>
        <v>0</v>
      </c>
      <c r="T60" s="62">
        <f t="shared" si="108"/>
        <v>0</v>
      </c>
      <c r="U60" s="62">
        <f t="shared" si="108"/>
        <v>0</v>
      </c>
      <c r="V60" s="62">
        <f t="shared" si="108"/>
        <v>0</v>
      </c>
      <c r="W60" s="62">
        <f t="shared" si="108"/>
        <v>0</v>
      </c>
      <c r="X60" s="62">
        <f t="shared" si="108"/>
        <v>0</v>
      </c>
      <c r="Y60" s="62">
        <f t="shared" si="108"/>
        <v>470712.45</v>
      </c>
      <c r="Z60" s="62">
        <f t="shared" si="108"/>
        <v>192400.45</v>
      </c>
      <c r="AA60" s="62">
        <f t="shared" si="108"/>
        <v>31521.9</v>
      </c>
      <c r="AB60" s="62">
        <f t="shared" si="108"/>
        <v>0</v>
      </c>
      <c r="AC60" s="62">
        <f t="shared" si="108"/>
        <v>11310.85</v>
      </c>
      <c r="AD60" s="62">
        <f t="shared" si="108"/>
        <v>0</v>
      </c>
      <c r="AE60" s="62">
        <f t="shared" si="108"/>
        <v>235233.2</v>
      </c>
      <c r="AF60" s="62">
        <f t="shared" si="108"/>
        <v>0</v>
      </c>
      <c r="AG60" s="62">
        <f t="shared" si="108"/>
        <v>8787.6</v>
      </c>
      <c r="AH60" s="62">
        <f t="shared" si="108"/>
        <v>0</v>
      </c>
      <c r="AI60" s="62">
        <f t="shared" si="108"/>
        <v>165161.3</v>
      </c>
      <c r="AJ60" s="62">
        <f t="shared" si="108"/>
        <v>0</v>
      </c>
      <c r="AK60" s="62">
        <f t="shared" si="108"/>
        <v>1612</v>
      </c>
      <c r="AL60" s="62">
        <f t="shared" si="108"/>
        <v>26528.55</v>
      </c>
      <c r="AM60" s="62">
        <f t="shared" si="108"/>
        <v>0</v>
      </c>
      <c r="AN60" s="62">
        <f t="shared" si="108"/>
        <v>0</v>
      </c>
      <c r="AO60" s="62">
        <f t="shared" si="108"/>
        <v>0</v>
      </c>
      <c r="AP60" s="62">
        <f t="shared" si="108"/>
        <v>0</v>
      </c>
      <c r="AQ60" s="62">
        <f t="shared" si="108"/>
        <v>0</v>
      </c>
      <c r="AR60" s="62">
        <f t="shared" si="108"/>
        <v>0</v>
      </c>
      <c r="AS60" s="62">
        <f t="shared" si="108"/>
        <v>0</v>
      </c>
      <c r="AT60" s="62">
        <f t="shared" si="108"/>
        <v>0</v>
      </c>
      <c r="AU60" s="62">
        <f t="shared" si="108"/>
        <v>437322.65</v>
      </c>
      <c r="AV60" s="62">
        <f t="shared" si="108"/>
        <v>23731.75</v>
      </c>
      <c r="AW60" s="62">
        <f t="shared" si="108"/>
        <v>57121.3</v>
      </c>
      <c r="AX60" s="62">
        <f t="shared" si="108"/>
        <v>0.2500000000309228</v>
      </c>
      <c r="AY60" s="62">
        <f t="shared" si="108"/>
        <v>8211.4</v>
      </c>
      <c r="AZ60" s="62">
        <f t="shared" si="108"/>
        <v>0</v>
      </c>
      <c r="BA60" s="62">
        <f t="shared" si="108"/>
        <v>0</v>
      </c>
      <c r="BB60" s="62">
        <f t="shared" si="108"/>
        <v>0</v>
      </c>
      <c r="BC60" s="62">
        <f t="shared" si="108"/>
        <v>0</v>
      </c>
      <c r="BD60" s="62">
        <f t="shared" si="108"/>
        <v>0</v>
      </c>
      <c r="BE60" s="62">
        <f t="shared" si="108"/>
        <v>0</v>
      </c>
      <c r="BF60" s="62">
        <f t="shared" si="108"/>
        <v>0</v>
      </c>
      <c r="BG60" s="62">
        <f t="shared" si="108"/>
        <v>0</v>
      </c>
      <c r="BH60" s="62">
        <f t="shared" si="108"/>
        <v>0</v>
      </c>
      <c r="BI60" s="62">
        <f t="shared" si="108"/>
        <v>0</v>
      </c>
      <c r="BJ60" s="62">
        <f t="shared" si="108"/>
        <v>0</v>
      </c>
      <c r="BK60" s="62">
        <f t="shared" si="108"/>
        <v>0</v>
      </c>
      <c r="BL60" s="62">
        <f t="shared" si="108"/>
        <v>0</v>
      </c>
      <c r="BM60" s="62">
        <f t="shared" si="108"/>
        <v>0</v>
      </c>
      <c r="BN60" s="62">
        <f t="shared" si="108"/>
        <v>0</v>
      </c>
      <c r="BO60" s="62">
        <f aca="true" t="shared" si="109" ref="BO60:CI60">BO10+BO20+BO26</f>
        <v>0</v>
      </c>
      <c r="BP60" s="62">
        <f t="shared" si="109"/>
        <v>0</v>
      </c>
      <c r="BQ60" s="62">
        <f t="shared" si="109"/>
        <v>0</v>
      </c>
      <c r="BR60" s="62">
        <f t="shared" si="109"/>
        <v>0</v>
      </c>
      <c r="BS60" s="62">
        <f t="shared" si="109"/>
        <v>0</v>
      </c>
      <c r="BT60" s="62">
        <f t="shared" si="109"/>
        <v>766102.5599999999</v>
      </c>
      <c r="BU60" s="62">
        <f t="shared" si="109"/>
        <v>0</v>
      </c>
      <c r="BV60" s="62">
        <f t="shared" si="109"/>
        <v>0</v>
      </c>
      <c r="BW60" s="62">
        <f t="shared" si="109"/>
        <v>0</v>
      </c>
      <c r="BX60" s="62">
        <f t="shared" si="109"/>
        <v>766102.5599999999</v>
      </c>
      <c r="BY60" s="62">
        <f t="shared" si="109"/>
        <v>312370.9</v>
      </c>
      <c r="BZ60" s="62">
        <f t="shared" si="109"/>
        <v>0</v>
      </c>
      <c r="CA60" s="62">
        <f t="shared" si="109"/>
        <v>453731.66000000003</v>
      </c>
      <c r="CB60" s="62">
        <f t="shared" si="109"/>
        <v>766102.5599999999</v>
      </c>
      <c r="CC60" s="62">
        <f t="shared" si="109"/>
        <v>0</v>
      </c>
      <c r="CD60" s="62">
        <f t="shared" si="109"/>
        <v>-33389.55</v>
      </c>
      <c r="CE60" s="62">
        <f t="shared" si="109"/>
        <v>-33389.55</v>
      </c>
      <c r="CF60" s="62">
        <f t="shared" si="109"/>
        <v>0</v>
      </c>
      <c r="CG60" s="62">
        <f t="shared" si="109"/>
        <v>437322.65</v>
      </c>
      <c r="CH60" s="62">
        <f t="shared" si="109"/>
        <v>-281.0500000000005</v>
      </c>
      <c r="CI60" s="62">
        <f t="shared" si="109"/>
        <v>-281.0500000000005</v>
      </c>
      <c r="CJ60" s="153" t="e">
        <f aca="true" t="shared" si="110" ref="CJ60:CJ65">CD60/CF60</f>
        <v>#DIV/0!</v>
      </c>
      <c r="CK60" s="153" t="e">
        <f aca="true" t="shared" si="111" ref="CK60:CK65">CE60/CF60</f>
        <v>#DIV/0!</v>
      </c>
      <c r="CL60" s="154">
        <f aca="true" t="shared" si="112" ref="CL60:CL65">CD60/CG60*1</f>
        <v>-0.07634992150532335</v>
      </c>
      <c r="CM60" s="154">
        <f aca="true" t="shared" si="113" ref="CM60:CM65">CE60/CG60</f>
        <v>-0.07634992150532335</v>
      </c>
      <c r="CN60" s="154">
        <f aca="true" t="shared" si="114" ref="CN60:CN65">CH60/CG60</f>
        <v>-0.0006426605162115443</v>
      </c>
      <c r="CO60" s="154">
        <f aca="true" t="shared" si="115" ref="CO60:CO65">CI60/CG60</f>
        <v>-0.0006426605162115443</v>
      </c>
      <c r="CP60" s="154" t="e">
        <f aca="true" t="shared" si="116" ref="CP60:CP65">(K60+L60)/(BU60+K60+L60)</f>
        <v>#DIV/0!</v>
      </c>
      <c r="CQ60" s="154" t="e">
        <f aca="true" t="shared" si="117" ref="CQ60:CQ65">(K60)/(BU60+K60+L60)</f>
        <v>#DIV/0!</v>
      </c>
      <c r="CR60" s="155">
        <f aca="true" t="shared" si="118" ref="CR60:CR65">CS60/CE60</f>
        <v>-13.589031897704517</v>
      </c>
      <c r="CS60" s="156">
        <f aca="true" t="shared" si="119" ref="CS60:CS65">BT60-BY60</f>
        <v>453731.6599999999</v>
      </c>
      <c r="CT60" s="156">
        <f aca="true" t="shared" si="120" ref="CT60:CT65">Y60-K60-L60-V60</f>
        <v>470712.45</v>
      </c>
      <c r="CU60" s="156">
        <f aca="true" t="shared" si="121" ref="CU60:CU65">AU60-AR60</f>
        <v>437322.65</v>
      </c>
      <c r="CV60" s="156">
        <f aca="true" t="shared" si="122" ref="CV60:CV65">CU60-CT60</f>
        <v>-33389.79999999999</v>
      </c>
      <c r="CW60" s="156">
        <f aca="true" t="shared" si="123" ref="CW60:CW65">-V60+AR60</f>
        <v>0</v>
      </c>
      <c r="CX60" s="156">
        <f aca="true" t="shared" si="124" ref="CX60:CX65">CV60+CW60</f>
        <v>-33389.79999999999</v>
      </c>
      <c r="CY60" s="156">
        <f aca="true" t="shared" si="125" ref="CY60:CY65">CX60-K60-L60</f>
        <v>-33389.79999999999</v>
      </c>
      <c r="CZ60" s="156">
        <f aca="true" t="shared" si="126" ref="CZ60:CZ65">BR60-BP60</f>
        <v>0</v>
      </c>
      <c r="DA60" s="156">
        <f aca="true" t="shared" si="127" ref="DA60:DA65">K60+L60</f>
        <v>0</v>
      </c>
      <c r="DB60" s="156">
        <f aca="true" t="shared" si="128" ref="DB60:DB65">-CZ60+DA60+CY60</f>
        <v>-33389.79999999999</v>
      </c>
      <c r="DC60" s="156">
        <f aca="true" t="shared" si="129" ref="DC60:DC65">-CZ60+DA60+CY60+W60-AS60</f>
        <v>-33389.79999999999</v>
      </c>
      <c r="DD60" s="156">
        <f aca="true" t="shared" si="130" ref="DD60:DD65">-BP60-DA60</f>
        <v>0</v>
      </c>
      <c r="DE60" s="156">
        <f aca="true" t="shared" si="131" ref="DE60:DE65">DB60+DD60+BR60</f>
        <v>-33389.79999999999</v>
      </c>
      <c r="DF60" s="156">
        <f aca="true" t="shared" si="132" ref="DF60:DF65">Z60+AA60+AB60</f>
        <v>223922.35</v>
      </c>
      <c r="DG60" s="156">
        <f aca="true" t="shared" si="133" ref="DG60:DG65">CS60/B60</f>
        <v>321.7955035460992</v>
      </c>
      <c r="DH60" s="156">
        <f aca="true" t="shared" si="134" ref="DH60:DH65">CH60/B60</f>
        <v>-0.19932624113475214</v>
      </c>
      <c r="DI60" s="156">
        <f aca="true" t="shared" si="135" ref="DI60:DI65">DF60/B60</f>
        <v>158.81017730496455</v>
      </c>
      <c r="DJ60" s="157">
        <f aca="true" t="shared" si="136" ref="DJ60:DJ65">CZ60/B60</f>
        <v>0</v>
      </c>
      <c r="DK60" s="156">
        <f aca="true" t="shared" si="137" ref="DK60:DK65">DB60/B60</f>
        <v>-23.680709219858148</v>
      </c>
      <c r="DL60" s="158">
        <f aca="true" t="shared" si="138" ref="DL60:DL65">CA60-BW60-BU60</f>
        <v>453731.66000000003</v>
      </c>
    </row>
    <row r="61" spans="1:116" ht="12.75">
      <c r="A61" s="3" t="s">
        <v>243</v>
      </c>
      <c r="B61" s="62">
        <f>B4+B19+B21+B24+B25</f>
        <v>14343</v>
      </c>
      <c r="C61" s="62">
        <f aca="true" t="shared" si="139" ref="C61:BN61">C4+C19+C21+C24+C25</f>
        <v>44090617</v>
      </c>
      <c r="D61" s="62">
        <f>(D4+D19+D21+D24+D25)/5</f>
        <v>2973.72</v>
      </c>
      <c r="E61" s="62">
        <f>(E4+E19+E21+E24+E25)/5</f>
        <v>93.322</v>
      </c>
      <c r="F61" s="62">
        <f>(F4+F19+F21+F24+F25)/5</f>
        <v>2</v>
      </c>
      <c r="G61" s="62">
        <f t="shared" si="139"/>
        <v>338559.95</v>
      </c>
      <c r="H61" s="62">
        <f t="shared" si="139"/>
        <v>94089.84999999999</v>
      </c>
      <c r="I61" s="62">
        <f t="shared" si="139"/>
        <v>34542.7</v>
      </c>
      <c r="J61" s="62">
        <f t="shared" si="139"/>
        <v>6517.8</v>
      </c>
      <c r="K61" s="62">
        <f t="shared" si="139"/>
        <v>0</v>
      </c>
      <c r="L61" s="62">
        <f t="shared" si="139"/>
        <v>0</v>
      </c>
      <c r="M61" s="62">
        <f t="shared" si="139"/>
        <v>0</v>
      </c>
      <c r="N61" s="62">
        <f t="shared" si="139"/>
        <v>0</v>
      </c>
      <c r="O61" s="62">
        <f t="shared" si="139"/>
        <v>0</v>
      </c>
      <c r="P61" s="62">
        <f t="shared" si="139"/>
        <v>4497633.05</v>
      </c>
      <c r="Q61" s="62">
        <f t="shared" si="139"/>
        <v>0</v>
      </c>
      <c r="R61" s="62">
        <f t="shared" si="139"/>
        <v>0</v>
      </c>
      <c r="S61" s="62">
        <f t="shared" si="139"/>
        <v>0</v>
      </c>
      <c r="T61" s="62">
        <f t="shared" si="139"/>
        <v>0</v>
      </c>
      <c r="U61" s="62">
        <f t="shared" si="139"/>
        <v>0</v>
      </c>
      <c r="V61" s="62">
        <f t="shared" si="139"/>
        <v>0</v>
      </c>
      <c r="W61" s="62">
        <f t="shared" si="139"/>
        <v>0</v>
      </c>
      <c r="X61" s="62">
        <f t="shared" si="139"/>
        <v>52869</v>
      </c>
      <c r="Y61" s="62">
        <f t="shared" si="139"/>
        <v>5024212.35</v>
      </c>
      <c r="Z61" s="62">
        <f t="shared" si="139"/>
        <v>1570406.5999999999</v>
      </c>
      <c r="AA61" s="62">
        <f t="shared" si="139"/>
        <v>248252.75</v>
      </c>
      <c r="AB61" s="62">
        <f t="shared" si="139"/>
        <v>0</v>
      </c>
      <c r="AC61" s="62">
        <f t="shared" si="139"/>
        <v>100665.5</v>
      </c>
      <c r="AD61" s="62">
        <f t="shared" si="139"/>
        <v>0</v>
      </c>
      <c r="AE61" s="62">
        <f t="shared" si="139"/>
        <v>1919324.85</v>
      </c>
      <c r="AF61" s="62">
        <f t="shared" si="139"/>
        <v>0</v>
      </c>
      <c r="AG61" s="62">
        <f t="shared" si="139"/>
        <v>101212.29999999999</v>
      </c>
      <c r="AH61" s="62">
        <f t="shared" si="139"/>
        <v>0</v>
      </c>
      <c r="AI61" s="62">
        <f t="shared" si="139"/>
        <v>2335271.41</v>
      </c>
      <c r="AJ61" s="62">
        <f t="shared" si="139"/>
        <v>-200</v>
      </c>
      <c r="AK61" s="62">
        <f t="shared" si="139"/>
        <v>108652.45</v>
      </c>
      <c r="AL61" s="62">
        <f t="shared" si="139"/>
        <v>0</v>
      </c>
      <c r="AM61" s="62">
        <f t="shared" si="139"/>
        <v>0</v>
      </c>
      <c r="AN61" s="62">
        <f t="shared" si="139"/>
        <v>0</v>
      </c>
      <c r="AO61" s="62">
        <f t="shared" si="139"/>
        <v>0</v>
      </c>
      <c r="AP61" s="62">
        <f t="shared" si="139"/>
        <v>0</v>
      </c>
      <c r="AQ61" s="62">
        <f t="shared" si="139"/>
        <v>0</v>
      </c>
      <c r="AR61" s="62">
        <f t="shared" si="139"/>
        <v>0</v>
      </c>
      <c r="AS61" s="62">
        <f t="shared" si="139"/>
        <v>0</v>
      </c>
      <c r="AT61" s="62">
        <f t="shared" si="139"/>
        <v>52869</v>
      </c>
      <c r="AU61" s="62">
        <f t="shared" si="139"/>
        <v>4517130.01</v>
      </c>
      <c r="AV61" s="62">
        <f t="shared" si="139"/>
        <v>27770.75</v>
      </c>
      <c r="AW61" s="62">
        <f t="shared" si="139"/>
        <v>534853.09</v>
      </c>
      <c r="AX61" s="62">
        <f t="shared" si="139"/>
        <v>2.6193447411060333E-10</v>
      </c>
      <c r="AY61" s="62">
        <f t="shared" si="139"/>
        <v>0</v>
      </c>
      <c r="AZ61" s="62">
        <f t="shared" si="139"/>
        <v>0</v>
      </c>
      <c r="BA61" s="62">
        <f t="shared" si="139"/>
        <v>0</v>
      </c>
      <c r="BB61" s="62">
        <f t="shared" si="139"/>
        <v>0</v>
      </c>
      <c r="BC61" s="62">
        <f t="shared" si="139"/>
        <v>0</v>
      </c>
      <c r="BD61" s="62">
        <f t="shared" si="139"/>
        <v>0</v>
      </c>
      <c r="BE61" s="62">
        <f t="shared" si="139"/>
        <v>0</v>
      </c>
      <c r="BF61" s="62">
        <f t="shared" si="139"/>
        <v>0</v>
      </c>
      <c r="BG61" s="62">
        <f t="shared" si="139"/>
        <v>0</v>
      </c>
      <c r="BH61" s="62">
        <f t="shared" si="139"/>
        <v>0</v>
      </c>
      <c r="BI61" s="62">
        <f t="shared" si="139"/>
        <v>0</v>
      </c>
      <c r="BJ61" s="62">
        <f t="shared" si="139"/>
        <v>0</v>
      </c>
      <c r="BK61" s="62">
        <f t="shared" si="139"/>
        <v>0</v>
      </c>
      <c r="BL61" s="62">
        <f t="shared" si="139"/>
        <v>0</v>
      </c>
      <c r="BM61" s="62">
        <f t="shared" si="139"/>
        <v>0</v>
      </c>
      <c r="BN61" s="62">
        <f t="shared" si="139"/>
        <v>0</v>
      </c>
      <c r="BO61" s="62">
        <f aca="true" t="shared" si="140" ref="BO61:CI61">BO4+BO19+BO21+BO24+BO25</f>
        <v>0</v>
      </c>
      <c r="BP61" s="62">
        <f t="shared" si="140"/>
        <v>0</v>
      </c>
      <c r="BQ61" s="62">
        <f t="shared" si="140"/>
        <v>0</v>
      </c>
      <c r="BR61" s="62">
        <f t="shared" si="140"/>
        <v>0</v>
      </c>
      <c r="BS61" s="62">
        <f t="shared" si="140"/>
        <v>0</v>
      </c>
      <c r="BT61" s="62">
        <f t="shared" si="140"/>
        <v>4776834.19</v>
      </c>
      <c r="BU61" s="62">
        <f t="shared" si="140"/>
        <v>0</v>
      </c>
      <c r="BV61" s="62">
        <f t="shared" si="140"/>
        <v>0</v>
      </c>
      <c r="BW61" s="62">
        <f t="shared" si="140"/>
        <v>254395.21</v>
      </c>
      <c r="BX61" s="62">
        <f t="shared" si="140"/>
        <v>5031229.4</v>
      </c>
      <c r="BY61" s="62">
        <f t="shared" si="140"/>
        <v>2136125.43</v>
      </c>
      <c r="BZ61" s="62">
        <f t="shared" si="140"/>
        <v>20000</v>
      </c>
      <c r="CA61" s="62">
        <f t="shared" si="140"/>
        <v>2875103.9699999997</v>
      </c>
      <c r="CB61" s="62">
        <f t="shared" si="140"/>
        <v>5031229.4</v>
      </c>
      <c r="CC61" s="62">
        <f t="shared" si="140"/>
        <v>0</v>
      </c>
      <c r="CD61" s="62">
        <f t="shared" si="140"/>
        <v>-507082.34</v>
      </c>
      <c r="CE61" s="62">
        <f t="shared" si="140"/>
        <v>-507082.34</v>
      </c>
      <c r="CF61" s="62">
        <f t="shared" si="140"/>
        <v>0</v>
      </c>
      <c r="CG61" s="62">
        <f t="shared" si="140"/>
        <v>4464261.01</v>
      </c>
      <c r="CH61" s="62">
        <f t="shared" si="140"/>
        <v>-66669.6</v>
      </c>
      <c r="CI61" s="62">
        <f t="shared" si="140"/>
        <v>-66669.6</v>
      </c>
      <c r="CJ61" s="153" t="e">
        <f t="shared" si="110"/>
        <v>#DIV/0!</v>
      </c>
      <c r="CK61" s="153" t="e">
        <f t="shared" si="111"/>
        <v>#DIV/0!</v>
      </c>
      <c r="CL61" s="154">
        <f t="shared" si="112"/>
        <v>-0.11358707272359957</v>
      </c>
      <c r="CM61" s="154">
        <f t="shared" si="113"/>
        <v>-0.11358707272359957</v>
      </c>
      <c r="CN61" s="154">
        <f t="shared" si="114"/>
        <v>-0.014934073041576037</v>
      </c>
      <c r="CO61" s="154">
        <f t="shared" si="115"/>
        <v>-0.014934073041576037</v>
      </c>
      <c r="CP61" s="154" t="e">
        <f t="shared" si="116"/>
        <v>#DIV/0!</v>
      </c>
      <c r="CQ61" s="154" t="e">
        <f t="shared" si="117"/>
        <v>#DIV/0!</v>
      </c>
      <c r="CR61" s="155">
        <f t="shared" si="118"/>
        <v>-5.207652784752867</v>
      </c>
      <c r="CS61" s="156">
        <f t="shared" si="119"/>
        <v>2640708.7600000002</v>
      </c>
      <c r="CT61" s="156">
        <f t="shared" si="120"/>
        <v>5024212.35</v>
      </c>
      <c r="CU61" s="156">
        <f t="shared" si="121"/>
        <v>4517130.01</v>
      </c>
      <c r="CV61" s="156">
        <f t="shared" si="122"/>
        <v>-507082.33999999985</v>
      </c>
      <c r="CW61" s="156">
        <f t="shared" si="123"/>
        <v>0</v>
      </c>
      <c r="CX61" s="156">
        <f t="shared" si="124"/>
        <v>-507082.33999999985</v>
      </c>
      <c r="CY61" s="156">
        <f t="shared" si="125"/>
        <v>-507082.33999999985</v>
      </c>
      <c r="CZ61" s="156">
        <f t="shared" si="126"/>
        <v>0</v>
      </c>
      <c r="DA61" s="156">
        <f t="shared" si="127"/>
        <v>0</v>
      </c>
      <c r="DB61" s="156">
        <f t="shared" si="128"/>
        <v>-507082.33999999985</v>
      </c>
      <c r="DC61" s="156">
        <f t="shared" si="129"/>
        <v>-507082.33999999985</v>
      </c>
      <c r="DD61" s="156">
        <f t="shared" si="130"/>
        <v>0</v>
      </c>
      <c r="DE61" s="156">
        <f t="shared" si="131"/>
        <v>-507082.33999999985</v>
      </c>
      <c r="DF61" s="156">
        <f t="shared" si="132"/>
        <v>1818659.3499999999</v>
      </c>
      <c r="DG61" s="156">
        <f t="shared" si="133"/>
        <v>184.11132677961376</v>
      </c>
      <c r="DH61" s="156">
        <f t="shared" si="134"/>
        <v>-4.648232587324828</v>
      </c>
      <c r="DI61" s="156">
        <f t="shared" si="135"/>
        <v>126.79769574008226</v>
      </c>
      <c r="DJ61" s="157">
        <f t="shared" si="136"/>
        <v>0</v>
      </c>
      <c r="DK61" s="156">
        <f t="shared" si="137"/>
        <v>-35.353994282925456</v>
      </c>
      <c r="DL61" s="158">
        <f t="shared" si="138"/>
        <v>2620708.76</v>
      </c>
    </row>
    <row r="62" spans="1:116" ht="12.75">
      <c r="A62" s="3" t="s">
        <v>244</v>
      </c>
      <c r="B62" s="62">
        <f>B9+B11+B22+B27</f>
        <v>11714</v>
      </c>
      <c r="C62" s="62">
        <f aca="true" t="shared" si="141" ref="C62:BN62">C9+C11+C22+C27</f>
        <v>41580022</v>
      </c>
      <c r="D62" s="62">
        <f>(D9+D11+D22+D27)/4</f>
        <v>3302.475</v>
      </c>
      <c r="E62" s="62">
        <f>(E9+E11+E22+E27)/4</f>
        <v>103.64</v>
      </c>
      <c r="F62" s="62">
        <f>(F9+F11+F22+F27)/4</f>
        <v>2.25</v>
      </c>
      <c r="G62" s="62">
        <f t="shared" si="141"/>
        <v>396009.44999999995</v>
      </c>
      <c r="H62" s="62">
        <f t="shared" si="141"/>
        <v>90685.45</v>
      </c>
      <c r="I62" s="62">
        <f t="shared" si="141"/>
        <v>772.4</v>
      </c>
      <c r="J62" s="62">
        <f t="shared" si="141"/>
        <v>15539.25</v>
      </c>
      <c r="K62" s="62">
        <f t="shared" si="141"/>
        <v>12412.499999999998</v>
      </c>
      <c r="L62" s="62">
        <f t="shared" si="141"/>
        <v>0</v>
      </c>
      <c r="M62" s="62">
        <f t="shared" si="141"/>
        <v>12412.499999999998</v>
      </c>
      <c r="N62" s="62">
        <f t="shared" si="141"/>
        <v>0</v>
      </c>
      <c r="O62" s="62">
        <f t="shared" si="141"/>
        <v>12795.650000000001</v>
      </c>
      <c r="P62" s="62">
        <f t="shared" si="141"/>
        <v>5167514.399999999</v>
      </c>
      <c r="Q62" s="62">
        <f t="shared" si="141"/>
        <v>0</v>
      </c>
      <c r="R62" s="62">
        <f t="shared" si="141"/>
        <v>0</v>
      </c>
      <c r="S62" s="62">
        <f t="shared" si="141"/>
        <v>0</v>
      </c>
      <c r="T62" s="62">
        <f t="shared" si="141"/>
        <v>0</v>
      </c>
      <c r="U62" s="62">
        <f t="shared" si="141"/>
        <v>0</v>
      </c>
      <c r="V62" s="62">
        <f t="shared" si="141"/>
        <v>0</v>
      </c>
      <c r="W62" s="62">
        <f t="shared" si="141"/>
        <v>0</v>
      </c>
      <c r="X62" s="62">
        <f t="shared" si="141"/>
        <v>9062.1</v>
      </c>
      <c r="Y62" s="62">
        <f t="shared" si="141"/>
        <v>5704791.2</v>
      </c>
      <c r="Z62" s="62">
        <f t="shared" si="141"/>
        <v>2265692.4499999997</v>
      </c>
      <c r="AA62" s="62">
        <f t="shared" si="141"/>
        <v>0</v>
      </c>
      <c r="AB62" s="62">
        <f t="shared" si="141"/>
        <v>0</v>
      </c>
      <c r="AC62" s="62">
        <f t="shared" si="141"/>
        <v>96683.54999999999</v>
      </c>
      <c r="AD62" s="62">
        <f t="shared" si="141"/>
        <v>0</v>
      </c>
      <c r="AE62" s="62">
        <f t="shared" si="141"/>
        <v>2362376</v>
      </c>
      <c r="AF62" s="62">
        <f t="shared" si="141"/>
        <v>0</v>
      </c>
      <c r="AG62" s="62">
        <f t="shared" si="141"/>
        <v>90103.00000000001</v>
      </c>
      <c r="AH62" s="62">
        <f t="shared" si="141"/>
        <v>17390</v>
      </c>
      <c r="AI62" s="62">
        <f t="shared" si="141"/>
        <v>2056767.2499999998</v>
      </c>
      <c r="AJ62" s="62">
        <f t="shared" si="141"/>
        <v>0</v>
      </c>
      <c r="AK62" s="62">
        <f t="shared" si="141"/>
        <v>118603.15</v>
      </c>
      <c r="AL62" s="62">
        <f t="shared" si="141"/>
        <v>0</v>
      </c>
      <c r="AM62" s="62">
        <f t="shared" si="141"/>
        <v>0</v>
      </c>
      <c r="AN62" s="62">
        <f t="shared" si="141"/>
        <v>0</v>
      </c>
      <c r="AO62" s="62">
        <f t="shared" si="141"/>
        <v>0</v>
      </c>
      <c r="AP62" s="62">
        <f t="shared" si="141"/>
        <v>0</v>
      </c>
      <c r="AQ62" s="62">
        <f t="shared" si="141"/>
        <v>0</v>
      </c>
      <c r="AR62" s="62">
        <f t="shared" si="141"/>
        <v>0</v>
      </c>
      <c r="AS62" s="62">
        <f t="shared" si="141"/>
        <v>0</v>
      </c>
      <c r="AT62" s="62">
        <f t="shared" si="141"/>
        <v>9062.1</v>
      </c>
      <c r="AU62" s="62">
        <f t="shared" si="141"/>
        <v>4636911.5</v>
      </c>
      <c r="AV62" s="62">
        <f t="shared" si="141"/>
        <v>0</v>
      </c>
      <c r="AW62" s="62">
        <f t="shared" si="141"/>
        <v>1067879.7</v>
      </c>
      <c r="AX62" s="62">
        <f t="shared" si="141"/>
        <v>8.731149137020111E-10</v>
      </c>
      <c r="AY62" s="62">
        <f t="shared" si="141"/>
        <v>0</v>
      </c>
      <c r="AZ62" s="62">
        <f t="shared" si="141"/>
        <v>0</v>
      </c>
      <c r="BA62" s="62">
        <f t="shared" si="141"/>
        <v>0</v>
      </c>
      <c r="BB62" s="62">
        <f t="shared" si="141"/>
        <v>0</v>
      </c>
      <c r="BC62" s="62">
        <f t="shared" si="141"/>
        <v>0</v>
      </c>
      <c r="BD62" s="62">
        <f t="shared" si="141"/>
        <v>0</v>
      </c>
      <c r="BE62" s="62">
        <f t="shared" si="141"/>
        <v>0</v>
      </c>
      <c r="BF62" s="62">
        <f t="shared" si="141"/>
        <v>0</v>
      </c>
      <c r="BG62" s="62">
        <f t="shared" si="141"/>
        <v>0</v>
      </c>
      <c r="BH62" s="62">
        <f t="shared" si="141"/>
        <v>0</v>
      </c>
      <c r="BI62" s="62">
        <f t="shared" si="141"/>
        <v>0</v>
      </c>
      <c r="BJ62" s="62">
        <f t="shared" si="141"/>
        <v>0</v>
      </c>
      <c r="BK62" s="62">
        <f t="shared" si="141"/>
        <v>0</v>
      </c>
      <c r="BL62" s="62">
        <f t="shared" si="141"/>
        <v>0</v>
      </c>
      <c r="BM62" s="62">
        <f t="shared" si="141"/>
        <v>0</v>
      </c>
      <c r="BN62" s="62">
        <f t="shared" si="141"/>
        <v>0</v>
      </c>
      <c r="BO62" s="62">
        <f aca="true" t="shared" si="142" ref="BO62:CI62">BO9+BO11+BO22+BO27</f>
        <v>0</v>
      </c>
      <c r="BP62" s="62">
        <f t="shared" si="142"/>
        <v>0</v>
      </c>
      <c r="BQ62" s="62">
        <f t="shared" si="142"/>
        <v>0</v>
      </c>
      <c r="BR62" s="62">
        <f t="shared" si="142"/>
        <v>0</v>
      </c>
      <c r="BS62" s="62">
        <f t="shared" si="142"/>
        <v>0</v>
      </c>
      <c r="BT62" s="62">
        <f t="shared" si="142"/>
        <v>3326778.84</v>
      </c>
      <c r="BU62" s="62">
        <f t="shared" si="142"/>
        <v>27102.000000000004</v>
      </c>
      <c r="BV62" s="62">
        <f t="shared" si="142"/>
        <v>0</v>
      </c>
      <c r="BW62" s="62">
        <f t="shared" si="142"/>
        <v>0</v>
      </c>
      <c r="BX62" s="62">
        <f t="shared" si="142"/>
        <v>3353880.84</v>
      </c>
      <c r="BY62" s="62">
        <f t="shared" si="142"/>
        <v>1502245.0500000003</v>
      </c>
      <c r="BZ62" s="62">
        <f t="shared" si="142"/>
        <v>0</v>
      </c>
      <c r="CA62" s="62">
        <f t="shared" si="142"/>
        <v>1851635.79</v>
      </c>
      <c r="CB62" s="62">
        <f t="shared" si="142"/>
        <v>3353880.84</v>
      </c>
      <c r="CC62" s="62">
        <f t="shared" si="142"/>
        <v>0</v>
      </c>
      <c r="CD62" s="62">
        <f t="shared" si="142"/>
        <v>-1055467.2</v>
      </c>
      <c r="CE62" s="62">
        <f t="shared" si="142"/>
        <v>-1055467.2</v>
      </c>
      <c r="CF62" s="62">
        <f t="shared" si="142"/>
        <v>0</v>
      </c>
      <c r="CG62" s="62">
        <f t="shared" si="142"/>
        <v>4627849.4</v>
      </c>
      <c r="CH62" s="62">
        <f t="shared" si="142"/>
        <v>-71940.59999999999</v>
      </c>
      <c r="CI62" s="62">
        <f t="shared" si="142"/>
        <v>-59528.10000000001</v>
      </c>
      <c r="CJ62" s="153" t="e">
        <f t="shared" si="110"/>
        <v>#DIV/0!</v>
      </c>
      <c r="CK62" s="153" t="e">
        <f t="shared" si="111"/>
        <v>#DIV/0!</v>
      </c>
      <c r="CL62" s="154">
        <f t="shared" si="112"/>
        <v>-0.228068614333042</v>
      </c>
      <c r="CM62" s="154">
        <f t="shared" si="113"/>
        <v>-0.228068614333042</v>
      </c>
      <c r="CN62" s="154">
        <f t="shared" si="114"/>
        <v>-0.01554514716922292</v>
      </c>
      <c r="CO62" s="154">
        <f t="shared" si="115"/>
        <v>-0.012863015810324339</v>
      </c>
      <c r="CP62" s="154">
        <f t="shared" si="116"/>
        <v>0.3141251945488365</v>
      </c>
      <c r="CQ62" s="154">
        <f t="shared" si="117"/>
        <v>0.3141251945488365</v>
      </c>
      <c r="CR62" s="155">
        <f t="shared" si="118"/>
        <v>-1.7286503929255213</v>
      </c>
      <c r="CS62" s="156">
        <f t="shared" si="119"/>
        <v>1824533.7899999996</v>
      </c>
      <c r="CT62" s="156">
        <f t="shared" si="120"/>
        <v>5692378.7</v>
      </c>
      <c r="CU62" s="156">
        <f t="shared" si="121"/>
        <v>4636911.5</v>
      </c>
      <c r="CV62" s="156">
        <f t="shared" si="122"/>
        <v>-1055467.2000000002</v>
      </c>
      <c r="CW62" s="156">
        <f t="shared" si="123"/>
        <v>0</v>
      </c>
      <c r="CX62" s="156">
        <f t="shared" si="124"/>
        <v>-1055467.2000000002</v>
      </c>
      <c r="CY62" s="156">
        <f t="shared" si="125"/>
        <v>-1067879.7000000002</v>
      </c>
      <c r="CZ62" s="156">
        <f t="shared" si="126"/>
        <v>0</v>
      </c>
      <c r="DA62" s="156">
        <f t="shared" si="127"/>
        <v>12412.499999999998</v>
      </c>
      <c r="DB62" s="156">
        <f t="shared" si="128"/>
        <v>-1055467.2000000002</v>
      </c>
      <c r="DC62" s="156">
        <f t="shared" si="129"/>
        <v>-1055467.2000000002</v>
      </c>
      <c r="DD62" s="156">
        <f t="shared" si="130"/>
        <v>-12412.499999999998</v>
      </c>
      <c r="DE62" s="156">
        <f t="shared" si="131"/>
        <v>-1067879.7000000002</v>
      </c>
      <c r="DF62" s="156">
        <f t="shared" si="132"/>
        <v>2265692.4499999997</v>
      </c>
      <c r="DG62" s="156">
        <f t="shared" si="133"/>
        <v>155.756683455694</v>
      </c>
      <c r="DH62" s="156">
        <f t="shared" si="134"/>
        <v>-6.141420522451766</v>
      </c>
      <c r="DI62" s="156">
        <f t="shared" si="135"/>
        <v>193.4174876216493</v>
      </c>
      <c r="DJ62" s="157">
        <f t="shared" si="136"/>
        <v>0</v>
      </c>
      <c r="DK62" s="156">
        <f t="shared" si="137"/>
        <v>-90.10305617210177</v>
      </c>
      <c r="DL62" s="158">
        <f t="shared" si="138"/>
        <v>1824533.79</v>
      </c>
    </row>
    <row r="63" spans="1:116" ht="12.75">
      <c r="A63" s="3" t="s">
        <v>245</v>
      </c>
      <c r="B63" s="62">
        <f>B7+B8+B17</f>
        <v>1774</v>
      </c>
      <c r="C63" s="62">
        <f aca="true" t="shared" si="143" ref="C63:BN63">C7+C8+C17</f>
        <v>4251707</v>
      </c>
      <c r="D63" s="62">
        <f>(D7+D8+D17)/3</f>
        <v>2410.3866666666668</v>
      </c>
      <c r="E63" s="62">
        <f>(E7+E8+E17)/3</f>
        <v>75.64333333333333</v>
      </c>
      <c r="F63" s="62">
        <f>(F7+F8+F17)/3</f>
        <v>4</v>
      </c>
      <c r="G63" s="62">
        <f t="shared" si="143"/>
        <v>49965.25000000001</v>
      </c>
      <c r="H63" s="62">
        <f t="shared" si="143"/>
        <v>8801.57</v>
      </c>
      <c r="I63" s="62">
        <f t="shared" si="143"/>
        <v>6865.8</v>
      </c>
      <c r="J63" s="62">
        <f t="shared" si="143"/>
        <v>200000</v>
      </c>
      <c r="K63" s="62">
        <f t="shared" si="143"/>
        <v>0</v>
      </c>
      <c r="L63" s="62">
        <f t="shared" si="143"/>
        <v>50000</v>
      </c>
      <c r="M63" s="62">
        <f t="shared" si="143"/>
        <v>50000</v>
      </c>
      <c r="N63" s="62">
        <f t="shared" si="143"/>
        <v>0</v>
      </c>
      <c r="O63" s="62">
        <f t="shared" si="143"/>
        <v>71.85</v>
      </c>
      <c r="P63" s="62">
        <f t="shared" si="143"/>
        <v>333719.8</v>
      </c>
      <c r="Q63" s="62">
        <f t="shared" si="143"/>
        <v>0</v>
      </c>
      <c r="R63" s="62">
        <f t="shared" si="143"/>
        <v>0</v>
      </c>
      <c r="S63" s="62">
        <f t="shared" si="143"/>
        <v>0</v>
      </c>
      <c r="T63" s="62">
        <f t="shared" si="143"/>
        <v>0</v>
      </c>
      <c r="U63" s="62">
        <f t="shared" si="143"/>
        <v>0</v>
      </c>
      <c r="V63" s="62">
        <f t="shared" si="143"/>
        <v>0</v>
      </c>
      <c r="W63" s="62">
        <f t="shared" si="143"/>
        <v>0</v>
      </c>
      <c r="X63" s="62">
        <f t="shared" si="143"/>
        <v>0</v>
      </c>
      <c r="Y63" s="62">
        <f t="shared" si="143"/>
        <v>649424.27</v>
      </c>
      <c r="Z63" s="62">
        <f t="shared" si="143"/>
        <v>299972.19999999995</v>
      </c>
      <c r="AA63" s="62">
        <f t="shared" si="143"/>
        <v>10344.9</v>
      </c>
      <c r="AB63" s="62">
        <f t="shared" si="143"/>
        <v>0</v>
      </c>
      <c r="AC63" s="62">
        <f t="shared" si="143"/>
        <v>14592.550000000001</v>
      </c>
      <c r="AD63" s="62">
        <f t="shared" si="143"/>
        <v>0</v>
      </c>
      <c r="AE63" s="62">
        <f t="shared" si="143"/>
        <v>324909.65</v>
      </c>
      <c r="AF63" s="62">
        <f t="shared" si="143"/>
        <v>0</v>
      </c>
      <c r="AG63" s="62">
        <f t="shared" si="143"/>
        <v>6605.7</v>
      </c>
      <c r="AH63" s="62">
        <f t="shared" si="143"/>
        <v>0</v>
      </c>
      <c r="AI63" s="62">
        <f t="shared" si="143"/>
        <v>56173.5</v>
      </c>
      <c r="AJ63" s="62">
        <f t="shared" si="143"/>
        <v>0</v>
      </c>
      <c r="AK63" s="62">
        <f t="shared" si="143"/>
        <v>1612</v>
      </c>
      <c r="AL63" s="62">
        <f t="shared" si="143"/>
        <v>0</v>
      </c>
      <c r="AM63" s="62">
        <f t="shared" si="143"/>
        <v>0</v>
      </c>
      <c r="AN63" s="62">
        <f t="shared" si="143"/>
        <v>0</v>
      </c>
      <c r="AO63" s="62">
        <f t="shared" si="143"/>
        <v>0</v>
      </c>
      <c r="AP63" s="62">
        <f t="shared" si="143"/>
        <v>0</v>
      </c>
      <c r="AQ63" s="62">
        <f t="shared" si="143"/>
        <v>0</v>
      </c>
      <c r="AR63" s="62">
        <f t="shared" si="143"/>
        <v>0</v>
      </c>
      <c r="AS63" s="62">
        <f t="shared" si="143"/>
        <v>0</v>
      </c>
      <c r="AT63" s="62">
        <f t="shared" si="143"/>
        <v>0</v>
      </c>
      <c r="AU63" s="62">
        <f t="shared" si="143"/>
        <v>389300.85</v>
      </c>
      <c r="AV63" s="62">
        <f t="shared" si="143"/>
        <v>0</v>
      </c>
      <c r="AW63" s="62">
        <f t="shared" si="143"/>
        <v>260123.42</v>
      </c>
      <c r="AX63" s="62">
        <f t="shared" si="143"/>
        <v>0</v>
      </c>
      <c r="AY63" s="62">
        <f t="shared" si="143"/>
        <v>0</v>
      </c>
      <c r="AZ63" s="62">
        <f t="shared" si="143"/>
        <v>0</v>
      </c>
      <c r="BA63" s="62">
        <f t="shared" si="143"/>
        <v>0</v>
      </c>
      <c r="BB63" s="62">
        <f t="shared" si="143"/>
        <v>0</v>
      </c>
      <c r="BC63" s="62">
        <f t="shared" si="143"/>
        <v>0</v>
      </c>
      <c r="BD63" s="62">
        <f t="shared" si="143"/>
        <v>0</v>
      </c>
      <c r="BE63" s="62">
        <f t="shared" si="143"/>
        <v>0</v>
      </c>
      <c r="BF63" s="62">
        <f t="shared" si="143"/>
        <v>0</v>
      </c>
      <c r="BG63" s="62">
        <f t="shared" si="143"/>
        <v>0</v>
      </c>
      <c r="BH63" s="62">
        <f t="shared" si="143"/>
        <v>0</v>
      </c>
      <c r="BI63" s="62">
        <f t="shared" si="143"/>
        <v>0</v>
      </c>
      <c r="BJ63" s="62">
        <f t="shared" si="143"/>
        <v>0</v>
      </c>
      <c r="BK63" s="62">
        <f t="shared" si="143"/>
        <v>0</v>
      </c>
      <c r="BL63" s="62">
        <f t="shared" si="143"/>
        <v>0</v>
      </c>
      <c r="BM63" s="62">
        <f t="shared" si="143"/>
        <v>0</v>
      </c>
      <c r="BN63" s="62">
        <f t="shared" si="143"/>
        <v>0</v>
      </c>
      <c r="BO63" s="62">
        <f aca="true" t="shared" si="144" ref="BO63:CI63">BO7+BO8+BO17</f>
        <v>0</v>
      </c>
      <c r="BP63" s="62">
        <f t="shared" si="144"/>
        <v>0</v>
      </c>
      <c r="BQ63" s="62">
        <f t="shared" si="144"/>
        <v>0</v>
      </c>
      <c r="BR63" s="62">
        <f t="shared" si="144"/>
        <v>0</v>
      </c>
      <c r="BS63" s="62">
        <f t="shared" si="144"/>
        <v>0</v>
      </c>
      <c r="BT63" s="62">
        <f t="shared" si="144"/>
        <v>502074.15</v>
      </c>
      <c r="BU63" s="62">
        <f t="shared" si="144"/>
        <v>45000</v>
      </c>
      <c r="BV63" s="62">
        <f t="shared" si="144"/>
        <v>0</v>
      </c>
      <c r="BW63" s="62">
        <f t="shared" si="144"/>
        <v>92031.7</v>
      </c>
      <c r="BX63" s="62">
        <f t="shared" si="144"/>
        <v>639105.85</v>
      </c>
      <c r="BY63" s="62">
        <f t="shared" si="144"/>
        <v>312283.69999999995</v>
      </c>
      <c r="BZ63" s="62">
        <f t="shared" si="144"/>
        <v>0</v>
      </c>
      <c r="CA63" s="62">
        <f t="shared" si="144"/>
        <v>326822.25</v>
      </c>
      <c r="CB63" s="62">
        <f t="shared" si="144"/>
        <v>639105.9500000001</v>
      </c>
      <c r="CC63" s="62">
        <f t="shared" si="144"/>
        <v>-0.10000000000582077</v>
      </c>
      <c r="CD63" s="62">
        <f t="shared" si="144"/>
        <v>-210123.42</v>
      </c>
      <c r="CE63" s="62">
        <f t="shared" si="144"/>
        <v>-210123.42</v>
      </c>
      <c r="CF63" s="62">
        <f t="shared" si="144"/>
        <v>0</v>
      </c>
      <c r="CG63" s="62">
        <f t="shared" si="144"/>
        <v>389300.85</v>
      </c>
      <c r="CH63" s="62">
        <f t="shared" si="144"/>
        <v>260.10000000000036</v>
      </c>
      <c r="CI63" s="62">
        <f t="shared" si="144"/>
        <v>260.10000000000036</v>
      </c>
      <c r="CJ63" s="153" t="e">
        <f t="shared" si="110"/>
        <v>#DIV/0!</v>
      </c>
      <c r="CK63" s="153" t="e">
        <f t="shared" si="111"/>
        <v>#DIV/0!</v>
      </c>
      <c r="CL63" s="154">
        <f t="shared" si="112"/>
        <v>-0.5397455977812533</v>
      </c>
      <c r="CM63" s="154">
        <f t="shared" si="113"/>
        <v>-0.5397455977812533</v>
      </c>
      <c r="CN63" s="154">
        <f t="shared" si="114"/>
        <v>0.0006681208119632936</v>
      </c>
      <c r="CO63" s="154">
        <f t="shared" si="115"/>
        <v>0.0006681208119632936</v>
      </c>
      <c r="CP63" s="154">
        <f t="shared" si="116"/>
        <v>0.5263157894736842</v>
      </c>
      <c r="CQ63" s="154">
        <f t="shared" si="117"/>
        <v>0</v>
      </c>
      <c r="CR63" s="155">
        <f t="shared" si="118"/>
        <v>-0.9032332045613957</v>
      </c>
      <c r="CS63" s="156">
        <f t="shared" si="119"/>
        <v>189790.45000000007</v>
      </c>
      <c r="CT63" s="156">
        <f t="shared" si="120"/>
        <v>599424.27</v>
      </c>
      <c r="CU63" s="156">
        <f t="shared" si="121"/>
        <v>389300.85</v>
      </c>
      <c r="CV63" s="156">
        <f t="shared" si="122"/>
        <v>-210123.42000000004</v>
      </c>
      <c r="CW63" s="156">
        <f t="shared" si="123"/>
        <v>0</v>
      </c>
      <c r="CX63" s="156">
        <f t="shared" si="124"/>
        <v>-210123.42000000004</v>
      </c>
      <c r="CY63" s="156">
        <f t="shared" si="125"/>
        <v>-260123.42000000004</v>
      </c>
      <c r="CZ63" s="156">
        <f t="shared" si="126"/>
        <v>0</v>
      </c>
      <c r="DA63" s="156">
        <f t="shared" si="127"/>
        <v>50000</v>
      </c>
      <c r="DB63" s="156">
        <f t="shared" si="128"/>
        <v>-210123.42000000004</v>
      </c>
      <c r="DC63" s="156">
        <f t="shared" si="129"/>
        <v>-210123.42000000004</v>
      </c>
      <c r="DD63" s="156">
        <f t="shared" si="130"/>
        <v>-50000</v>
      </c>
      <c r="DE63" s="156">
        <f t="shared" si="131"/>
        <v>-260123.42000000004</v>
      </c>
      <c r="DF63" s="156">
        <f t="shared" si="132"/>
        <v>310317.1</v>
      </c>
      <c r="DG63" s="156">
        <f t="shared" si="133"/>
        <v>106.98447012401357</v>
      </c>
      <c r="DH63" s="156">
        <f t="shared" si="134"/>
        <v>0.14661781285231137</v>
      </c>
      <c r="DI63" s="156">
        <f t="shared" si="135"/>
        <v>174.92508455467868</v>
      </c>
      <c r="DJ63" s="157">
        <f t="shared" si="136"/>
        <v>0</v>
      </c>
      <c r="DK63" s="156">
        <f t="shared" si="137"/>
        <v>-118.44612175873733</v>
      </c>
      <c r="DL63" s="158">
        <f t="shared" si="138"/>
        <v>189790.55</v>
      </c>
    </row>
    <row r="64" spans="1:116" ht="12.75">
      <c r="A64" s="3" t="s">
        <v>246</v>
      </c>
      <c r="B64" s="62">
        <f>B3+B5+B6+B12+B13+B14+B15+B16+B18+B23+B28++B29+B30+B31</f>
        <v>8725</v>
      </c>
      <c r="C64" s="62">
        <f>C3+C5+C6+C12+C13+C14+C15+C16+C18+C23+C28++C29+C30+C31</f>
        <v>27566765</v>
      </c>
      <c r="D64" s="62">
        <f>(D3+D5+D6+D12+D13+D14+D15+D16+D18+D23+D28+D29+D30+D31)/14</f>
        <v>2790.715714285714</v>
      </c>
      <c r="E64" s="62">
        <f>(E3+E5+E6+E12+E13+E14+E15+E16+E18+E23+E28+E29+E30+E31)/14</f>
        <v>87.58071428571428</v>
      </c>
      <c r="F64" s="62">
        <f>(F3+F5+F6+F12+F13+F14+F15+F16+F18+F23+F28+F29+F30+F31)/14</f>
        <v>3</v>
      </c>
      <c r="G64" s="62">
        <f>G3+G5+G6+G12+G13+G14+G15+G16+G18+G23+G28+G29+G30+G31</f>
        <v>234002.45</v>
      </c>
      <c r="H64" s="62">
        <f aca="true" t="shared" si="145" ref="H64:BS64">H3+H5+H6+H12+H13+H14+H15+H16+H18+H23+H28+H29+H30+H31</f>
        <v>361303.95000000007</v>
      </c>
      <c r="I64" s="62">
        <f t="shared" si="145"/>
        <v>4753.85</v>
      </c>
      <c r="J64" s="62">
        <f t="shared" si="145"/>
        <v>4999</v>
      </c>
      <c r="K64" s="62">
        <f t="shared" si="145"/>
        <v>0</v>
      </c>
      <c r="L64" s="62">
        <f t="shared" si="145"/>
        <v>0</v>
      </c>
      <c r="M64" s="62">
        <f t="shared" si="145"/>
        <v>0</v>
      </c>
      <c r="N64" s="62">
        <f t="shared" si="145"/>
        <v>528888.45</v>
      </c>
      <c r="O64" s="62">
        <f t="shared" si="145"/>
        <v>32562.25</v>
      </c>
      <c r="P64" s="62">
        <f t="shared" si="145"/>
        <v>1435442.15</v>
      </c>
      <c r="Q64" s="62">
        <f t="shared" si="145"/>
        <v>0</v>
      </c>
      <c r="R64" s="62">
        <f t="shared" si="145"/>
        <v>0</v>
      </c>
      <c r="S64" s="62">
        <f t="shared" si="145"/>
        <v>0</v>
      </c>
      <c r="T64" s="62">
        <f t="shared" si="145"/>
        <v>0</v>
      </c>
      <c r="U64" s="62">
        <f t="shared" si="145"/>
        <v>0</v>
      </c>
      <c r="V64" s="62">
        <f t="shared" si="145"/>
        <v>0</v>
      </c>
      <c r="W64" s="62">
        <f t="shared" si="145"/>
        <v>0</v>
      </c>
      <c r="X64" s="62">
        <f t="shared" si="145"/>
        <v>0</v>
      </c>
      <c r="Y64" s="62">
        <f t="shared" si="145"/>
        <v>2601952.1</v>
      </c>
      <c r="Z64" s="62">
        <f t="shared" si="145"/>
        <v>1384243.3299999998</v>
      </c>
      <c r="AA64" s="62">
        <f t="shared" si="145"/>
        <v>63084.25</v>
      </c>
      <c r="AB64" s="62">
        <f t="shared" si="145"/>
        <v>0</v>
      </c>
      <c r="AC64" s="62">
        <f t="shared" si="145"/>
        <v>68703.7</v>
      </c>
      <c r="AD64" s="62">
        <f t="shared" si="145"/>
        <v>0</v>
      </c>
      <c r="AE64" s="62">
        <f t="shared" si="145"/>
        <v>1516031.2799999998</v>
      </c>
      <c r="AF64" s="62">
        <f t="shared" si="145"/>
        <v>0</v>
      </c>
      <c r="AG64" s="62">
        <f t="shared" si="145"/>
        <v>108126.02</v>
      </c>
      <c r="AH64" s="62">
        <f t="shared" si="145"/>
        <v>0</v>
      </c>
      <c r="AI64" s="62">
        <f t="shared" si="145"/>
        <v>569843</v>
      </c>
      <c r="AJ64" s="62">
        <f t="shared" si="145"/>
        <v>0</v>
      </c>
      <c r="AK64" s="62">
        <f t="shared" si="145"/>
        <v>8060.000000000001</v>
      </c>
      <c r="AL64" s="62">
        <f t="shared" si="145"/>
        <v>34210.049999999996</v>
      </c>
      <c r="AM64" s="62">
        <f t="shared" si="145"/>
        <v>0</v>
      </c>
      <c r="AN64" s="62">
        <f t="shared" si="145"/>
        <v>0</v>
      </c>
      <c r="AO64" s="62">
        <f t="shared" si="145"/>
        <v>0</v>
      </c>
      <c r="AP64" s="62">
        <f t="shared" si="145"/>
        <v>0</v>
      </c>
      <c r="AQ64" s="62">
        <f t="shared" si="145"/>
        <v>0</v>
      </c>
      <c r="AR64" s="62">
        <f t="shared" si="145"/>
        <v>0</v>
      </c>
      <c r="AS64" s="62">
        <f t="shared" si="145"/>
        <v>0</v>
      </c>
      <c r="AT64" s="62">
        <f t="shared" si="145"/>
        <v>0</v>
      </c>
      <c r="AU64" s="62">
        <f t="shared" si="145"/>
        <v>2236270.3499999996</v>
      </c>
      <c r="AV64" s="62">
        <f t="shared" si="145"/>
        <v>21198.85</v>
      </c>
      <c r="AW64" s="62">
        <f t="shared" si="145"/>
        <v>386880.60000000003</v>
      </c>
      <c r="AX64" s="62">
        <f t="shared" si="145"/>
        <v>-5.4569682106375694E-11</v>
      </c>
      <c r="AY64" s="62">
        <f t="shared" si="145"/>
        <v>0</v>
      </c>
      <c r="AZ64" s="62">
        <f t="shared" si="145"/>
        <v>0</v>
      </c>
      <c r="BA64" s="62">
        <f t="shared" si="145"/>
        <v>0</v>
      </c>
      <c r="BB64" s="62">
        <f t="shared" si="145"/>
        <v>0</v>
      </c>
      <c r="BC64" s="62">
        <f t="shared" si="145"/>
        <v>0</v>
      </c>
      <c r="BD64" s="62">
        <f t="shared" si="145"/>
        <v>0</v>
      </c>
      <c r="BE64" s="62">
        <f t="shared" si="145"/>
        <v>0</v>
      </c>
      <c r="BF64" s="62">
        <f t="shared" si="145"/>
        <v>0</v>
      </c>
      <c r="BG64" s="62">
        <f t="shared" si="145"/>
        <v>0</v>
      </c>
      <c r="BH64" s="62">
        <f t="shared" si="145"/>
        <v>0</v>
      </c>
      <c r="BI64" s="62">
        <f t="shared" si="145"/>
        <v>0</v>
      </c>
      <c r="BJ64" s="62">
        <f t="shared" si="145"/>
        <v>0</v>
      </c>
      <c r="BK64" s="62">
        <f t="shared" si="145"/>
        <v>0</v>
      </c>
      <c r="BL64" s="62">
        <f t="shared" si="145"/>
        <v>0</v>
      </c>
      <c r="BM64" s="62">
        <f t="shared" si="145"/>
        <v>0</v>
      </c>
      <c r="BN64" s="62">
        <f t="shared" si="145"/>
        <v>0</v>
      </c>
      <c r="BO64" s="62">
        <f t="shared" si="145"/>
        <v>0</v>
      </c>
      <c r="BP64" s="62">
        <f t="shared" si="145"/>
        <v>0</v>
      </c>
      <c r="BQ64" s="62">
        <f t="shared" si="145"/>
        <v>0</v>
      </c>
      <c r="BR64" s="62">
        <f t="shared" si="145"/>
        <v>0</v>
      </c>
      <c r="BS64" s="62">
        <f t="shared" si="145"/>
        <v>0</v>
      </c>
      <c r="BT64" s="62">
        <f aca="true" t="shared" si="146" ref="BT64:CI64">BT3+BT5+BT6+BT12+BT13+BT14+BT15+BT16+BT18+BT23+BT28+BT29+BT30+BT31</f>
        <v>5553089.75</v>
      </c>
      <c r="BU64" s="62">
        <f t="shared" si="146"/>
        <v>5001</v>
      </c>
      <c r="BV64" s="62">
        <f t="shared" si="146"/>
        <v>0</v>
      </c>
      <c r="BW64" s="62">
        <f t="shared" si="146"/>
        <v>0</v>
      </c>
      <c r="BX64" s="62">
        <f t="shared" si="146"/>
        <v>5558090.749999999</v>
      </c>
      <c r="BY64" s="62">
        <f t="shared" si="146"/>
        <v>1404878.4</v>
      </c>
      <c r="BZ64" s="62">
        <f t="shared" si="146"/>
        <v>0</v>
      </c>
      <c r="CA64" s="62">
        <f t="shared" si="146"/>
        <v>4153212.35</v>
      </c>
      <c r="CB64" s="62">
        <f t="shared" si="146"/>
        <v>5558090.75</v>
      </c>
      <c r="CC64" s="62">
        <f t="shared" si="146"/>
        <v>0</v>
      </c>
      <c r="CD64" s="62">
        <f t="shared" si="146"/>
        <v>-365681.74999999994</v>
      </c>
      <c r="CE64" s="62">
        <f t="shared" si="146"/>
        <v>-365681.74999999994</v>
      </c>
      <c r="CF64" s="62">
        <f t="shared" si="146"/>
        <v>0</v>
      </c>
      <c r="CG64" s="62">
        <f t="shared" si="146"/>
        <v>2236270.3499999996</v>
      </c>
      <c r="CH64" s="62">
        <f t="shared" si="146"/>
        <v>-103372.17</v>
      </c>
      <c r="CI64" s="62">
        <f t="shared" si="146"/>
        <v>-103372.17</v>
      </c>
      <c r="CJ64" s="153" t="e">
        <f t="shared" si="110"/>
        <v>#DIV/0!</v>
      </c>
      <c r="CK64" s="153" t="e">
        <f t="shared" si="111"/>
        <v>#DIV/0!</v>
      </c>
      <c r="CL64" s="154">
        <f t="shared" si="112"/>
        <v>-0.16352305077961615</v>
      </c>
      <c r="CM64" s="154">
        <f t="shared" si="113"/>
        <v>-0.16352305077961615</v>
      </c>
      <c r="CN64" s="154">
        <f t="shared" si="114"/>
        <v>-0.046225256262061525</v>
      </c>
      <c r="CO64" s="154">
        <f t="shared" si="115"/>
        <v>-0.046225256262061525</v>
      </c>
      <c r="CP64" s="154">
        <f t="shared" si="116"/>
        <v>0</v>
      </c>
      <c r="CQ64" s="154">
        <f t="shared" si="117"/>
        <v>0</v>
      </c>
      <c r="CR64" s="155">
        <f t="shared" si="118"/>
        <v>-11.343774607291724</v>
      </c>
      <c r="CS64" s="156">
        <f t="shared" si="119"/>
        <v>4148211.35</v>
      </c>
      <c r="CT64" s="156">
        <f t="shared" si="120"/>
        <v>2601952.1</v>
      </c>
      <c r="CU64" s="156">
        <f t="shared" si="121"/>
        <v>2236270.3499999996</v>
      </c>
      <c r="CV64" s="156">
        <f t="shared" si="122"/>
        <v>-365681.75000000047</v>
      </c>
      <c r="CW64" s="156">
        <f t="shared" si="123"/>
        <v>0</v>
      </c>
      <c r="CX64" s="156">
        <f t="shared" si="124"/>
        <v>-365681.75000000047</v>
      </c>
      <c r="CY64" s="156">
        <f t="shared" si="125"/>
        <v>-365681.75000000047</v>
      </c>
      <c r="CZ64" s="156">
        <f t="shared" si="126"/>
        <v>0</v>
      </c>
      <c r="DA64" s="156">
        <f t="shared" si="127"/>
        <v>0</v>
      </c>
      <c r="DB64" s="156">
        <f t="shared" si="128"/>
        <v>-365681.75000000047</v>
      </c>
      <c r="DC64" s="156">
        <f t="shared" si="129"/>
        <v>-365681.75000000047</v>
      </c>
      <c r="DD64" s="156">
        <f t="shared" si="130"/>
        <v>0</v>
      </c>
      <c r="DE64" s="156">
        <f t="shared" si="131"/>
        <v>-365681.75000000047</v>
      </c>
      <c r="DF64" s="156">
        <f t="shared" si="132"/>
        <v>1447327.5799999998</v>
      </c>
      <c r="DG64" s="156">
        <f t="shared" si="133"/>
        <v>475.43969627507164</v>
      </c>
      <c r="DH64" s="156">
        <f t="shared" si="134"/>
        <v>-11.84781318051576</v>
      </c>
      <c r="DI64" s="156">
        <f t="shared" si="135"/>
        <v>165.88281719197707</v>
      </c>
      <c r="DJ64" s="157">
        <f t="shared" si="136"/>
        <v>0</v>
      </c>
      <c r="DK64" s="156">
        <f t="shared" si="137"/>
        <v>-41.91194842406882</v>
      </c>
      <c r="DL64" s="158">
        <f t="shared" si="138"/>
        <v>4148211.35</v>
      </c>
    </row>
    <row r="65" spans="1:116" ht="12.75">
      <c r="A65" s="3" t="s">
        <v>236</v>
      </c>
      <c r="B65" s="62">
        <f>SUM(B60:B64)</f>
        <v>37966</v>
      </c>
      <c r="C65" s="62">
        <f aca="true" t="shared" si="147" ref="C65:BN65">SUM(C60:C64)</f>
        <v>120978291</v>
      </c>
      <c r="D65" s="62">
        <f>MEDIAN(D60:D64)</f>
        <v>2790.715714285714</v>
      </c>
      <c r="E65" s="62">
        <f>MEDIAN(E60:E64)</f>
        <v>87.58071428571428</v>
      </c>
      <c r="F65" s="62">
        <f>MEDIAN(F60:F64)</f>
        <v>3</v>
      </c>
      <c r="G65" s="62">
        <f t="shared" si="147"/>
        <v>1033882.5999999999</v>
      </c>
      <c r="H65" s="62">
        <f t="shared" si="147"/>
        <v>576135.7200000001</v>
      </c>
      <c r="I65" s="62">
        <f t="shared" si="147"/>
        <v>47229.9</v>
      </c>
      <c r="J65" s="62">
        <f t="shared" si="147"/>
        <v>227056.05</v>
      </c>
      <c r="K65" s="62">
        <f t="shared" si="147"/>
        <v>12412.499999999998</v>
      </c>
      <c r="L65" s="62">
        <f t="shared" si="147"/>
        <v>50000</v>
      </c>
      <c r="M65" s="62">
        <f t="shared" si="147"/>
        <v>62412.5</v>
      </c>
      <c r="N65" s="62">
        <f t="shared" si="147"/>
        <v>528888.45</v>
      </c>
      <c r="O65" s="62">
        <f t="shared" si="147"/>
        <v>47453.450000000004</v>
      </c>
      <c r="P65" s="62">
        <f t="shared" si="147"/>
        <v>11866102.6</v>
      </c>
      <c r="Q65" s="62">
        <f t="shared" si="147"/>
        <v>0</v>
      </c>
      <c r="R65" s="62">
        <f t="shared" si="147"/>
        <v>0</v>
      </c>
      <c r="S65" s="62">
        <f t="shared" si="147"/>
        <v>0</v>
      </c>
      <c r="T65" s="62">
        <f t="shared" si="147"/>
        <v>0</v>
      </c>
      <c r="U65" s="62">
        <f t="shared" si="147"/>
        <v>0</v>
      </c>
      <c r="V65" s="62">
        <f t="shared" si="147"/>
        <v>0</v>
      </c>
      <c r="W65" s="62">
        <f t="shared" si="147"/>
        <v>0</v>
      </c>
      <c r="X65" s="62">
        <f t="shared" si="147"/>
        <v>61931.1</v>
      </c>
      <c r="Y65" s="62">
        <f t="shared" si="147"/>
        <v>14451092.37</v>
      </c>
      <c r="Z65" s="62">
        <f t="shared" si="147"/>
        <v>5712715.029999999</v>
      </c>
      <c r="AA65" s="62">
        <f t="shared" si="147"/>
        <v>353203.80000000005</v>
      </c>
      <c r="AB65" s="62">
        <f t="shared" si="147"/>
        <v>0</v>
      </c>
      <c r="AC65" s="62">
        <f t="shared" si="147"/>
        <v>291956.14999999997</v>
      </c>
      <c r="AD65" s="62">
        <f t="shared" si="147"/>
        <v>0</v>
      </c>
      <c r="AE65" s="62">
        <f t="shared" si="147"/>
        <v>6357874.98</v>
      </c>
      <c r="AF65" s="62">
        <f t="shared" si="147"/>
        <v>0</v>
      </c>
      <c r="AG65" s="62">
        <f t="shared" si="147"/>
        <v>314834.62000000005</v>
      </c>
      <c r="AH65" s="62">
        <f t="shared" si="147"/>
        <v>17390</v>
      </c>
      <c r="AI65" s="62">
        <f t="shared" si="147"/>
        <v>5183216.46</v>
      </c>
      <c r="AJ65" s="62">
        <f t="shared" si="147"/>
        <v>-200</v>
      </c>
      <c r="AK65" s="62">
        <f t="shared" si="147"/>
        <v>238539.59999999998</v>
      </c>
      <c r="AL65" s="62">
        <f t="shared" si="147"/>
        <v>60738.59999999999</v>
      </c>
      <c r="AM65" s="62">
        <f t="shared" si="147"/>
        <v>0</v>
      </c>
      <c r="AN65" s="62">
        <f t="shared" si="147"/>
        <v>0</v>
      </c>
      <c r="AO65" s="62">
        <f t="shared" si="147"/>
        <v>0</v>
      </c>
      <c r="AP65" s="62">
        <f t="shared" si="147"/>
        <v>0</v>
      </c>
      <c r="AQ65" s="62">
        <f t="shared" si="147"/>
        <v>0</v>
      </c>
      <c r="AR65" s="62">
        <f t="shared" si="147"/>
        <v>0</v>
      </c>
      <c r="AS65" s="62">
        <f t="shared" si="147"/>
        <v>0</v>
      </c>
      <c r="AT65" s="62">
        <f t="shared" si="147"/>
        <v>61931.1</v>
      </c>
      <c r="AU65" s="62">
        <f t="shared" si="147"/>
        <v>12216935.36</v>
      </c>
      <c r="AV65" s="62">
        <f t="shared" si="147"/>
        <v>72701.35</v>
      </c>
      <c r="AW65" s="62">
        <f t="shared" si="147"/>
        <v>2306858.11</v>
      </c>
      <c r="AX65" s="62">
        <f t="shared" si="147"/>
        <v>0.2500000011114025</v>
      </c>
      <c r="AY65" s="62">
        <f t="shared" si="147"/>
        <v>8211.4</v>
      </c>
      <c r="AZ65" s="62">
        <f t="shared" si="147"/>
        <v>0</v>
      </c>
      <c r="BA65" s="62">
        <f t="shared" si="147"/>
        <v>0</v>
      </c>
      <c r="BB65" s="62">
        <f t="shared" si="147"/>
        <v>0</v>
      </c>
      <c r="BC65" s="62">
        <f t="shared" si="147"/>
        <v>0</v>
      </c>
      <c r="BD65" s="62">
        <f t="shared" si="147"/>
        <v>0</v>
      </c>
      <c r="BE65" s="62">
        <f t="shared" si="147"/>
        <v>0</v>
      </c>
      <c r="BF65" s="62">
        <f t="shared" si="147"/>
        <v>0</v>
      </c>
      <c r="BG65" s="62">
        <f t="shared" si="147"/>
        <v>0</v>
      </c>
      <c r="BH65" s="62">
        <f t="shared" si="147"/>
        <v>0</v>
      </c>
      <c r="BI65" s="62">
        <f t="shared" si="147"/>
        <v>0</v>
      </c>
      <c r="BJ65" s="62">
        <f t="shared" si="147"/>
        <v>0</v>
      </c>
      <c r="BK65" s="62">
        <f t="shared" si="147"/>
        <v>0</v>
      </c>
      <c r="BL65" s="62">
        <f t="shared" si="147"/>
        <v>0</v>
      </c>
      <c r="BM65" s="62">
        <f t="shared" si="147"/>
        <v>0</v>
      </c>
      <c r="BN65" s="62">
        <f t="shared" si="147"/>
        <v>0</v>
      </c>
      <c r="BO65" s="62">
        <f aca="true" t="shared" si="148" ref="BO65:CI65">SUM(BO60:BO64)</f>
        <v>0</v>
      </c>
      <c r="BP65" s="62">
        <f t="shared" si="148"/>
        <v>0</v>
      </c>
      <c r="BQ65" s="62">
        <f t="shared" si="148"/>
        <v>0</v>
      </c>
      <c r="BR65" s="62">
        <f t="shared" si="148"/>
        <v>0</v>
      </c>
      <c r="BS65" s="62">
        <f t="shared" si="148"/>
        <v>0</v>
      </c>
      <c r="BT65" s="62">
        <f t="shared" si="148"/>
        <v>14924879.49</v>
      </c>
      <c r="BU65" s="62">
        <f t="shared" si="148"/>
        <v>77103</v>
      </c>
      <c r="BV65" s="62">
        <f t="shared" si="148"/>
        <v>0</v>
      </c>
      <c r="BW65" s="62">
        <f t="shared" si="148"/>
        <v>346426.91</v>
      </c>
      <c r="BX65" s="62">
        <f t="shared" si="148"/>
        <v>15348409.399999999</v>
      </c>
      <c r="BY65" s="62">
        <f t="shared" si="148"/>
        <v>5667903.48</v>
      </c>
      <c r="BZ65" s="62">
        <f t="shared" si="148"/>
        <v>20000</v>
      </c>
      <c r="CA65" s="62">
        <f t="shared" si="148"/>
        <v>9660506.02</v>
      </c>
      <c r="CB65" s="62">
        <f t="shared" si="148"/>
        <v>15348409.5</v>
      </c>
      <c r="CC65" s="62">
        <f t="shared" si="148"/>
        <v>-0.10000000000582077</v>
      </c>
      <c r="CD65" s="62">
        <f t="shared" si="148"/>
        <v>-2171744.26</v>
      </c>
      <c r="CE65" s="62">
        <f t="shared" si="148"/>
        <v>-2171744.26</v>
      </c>
      <c r="CF65" s="62">
        <f t="shared" si="148"/>
        <v>0</v>
      </c>
      <c r="CG65" s="62">
        <f t="shared" si="148"/>
        <v>12155004.26</v>
      </c>
      <c r="CH65" s="62">
        <f t="shared" si="148"/>
        <v>-242003.32</v>
      </c>
      <c r="CI65" s="62">
        <f t="shared" si="148"/>
        <v>-229590.82</v>
      </c>
      <c r="CJ65" s="153" t="e">
        <f t="shared" si="110"/>
        <v>#DIV/0!</v>
      </c>
      <c r="CK65" s="153" t="e">
        <f t="shared" si="111"/>
        <v>#DIV/0!</v>
      </c>
      <c r="CL65" s="154">
        <f t="shared" si="112"/>
        <v>-0.17867079381838077</v>
      </c>
      <c r="CM65" s="154">
        <f t="shared" si="113"/>
        <v>-0.17867079381838077</v>
      </c>
      <c r="CN65" s="154">
        <f t="shared" si="114"/>
        <v>-0.019909768423232128</v>
      </c>
      <c r="CO65" s="154">
        <f t="shared" si="115"/>
        <v>-0.01888858408347444</v>
      </c>
      <c r="CP65" s="154">
        <f t="shared" si="116"/>
        <v>0.4473517279442069</v>
      </c>
      <c r="CQ65" s="154">
        <f t="shared" si="117"/>
        <v>0.08896860922263117</v>
      </c>
      <c r="CR65" s="155">
        <f t="shared" si="118"/>
        <v>-4.26246136826442</v>
      </c>
      <c r="CS65" s="156">
        <f t="shared" si="119"/>
        <v>9256976.01</v>
      </c>
      <c r="CT65" s="156">
        <f t="shared" si="120"/>
        <v>14388679.87</v>
      </c>
      <c r="CU65" s="156">
        <f t="shared" si="121"/>
        <v>12216935.36</v>
      </c>
      <c r="CV65" s="156">
        <f t="shared" si="122"/>
        <v>-2171744.51</v>
      </c>
      <c r="CW65" s="156">
        <f t="shared" si="123"/>
        <v>0</v>
      </c>
      <c r="CX65" s="156">
        <f t="shared" si="124"/>
        <v>-2171744.51</v>
      </c>
      <c r="CY65" s="156">
        <f t="shared" si="125"/>
        <v>-2234157.01</v>
      </c>
      <c r="CZ65" s="156">
        <f t="shared" si="126"/>
        <v>0</v>
      </c>
      <c r="DA65" s="156">
        <f t="shared" si="127"/>
        <v>62412.5</v>
      </c>
      <c r="DB65" s="156">
        <f t="shared" si="128"/>
        <v>-2171744.51</v>
      </c>
      <c r="DC65" s="156">
        <f t="shared" si="129"/>
        <v>-2171744.51</v>
      </c>
      <c r="DD65" s="156">
        <f t="shared" si="130"/>
        <v>-62412.5</v>
      </c>
      <c r="DE65" s="156">
        <f t="shared" si="131"/>
        <v>-2234157.01</v>
      </c>
      <c r="DF65" s="156">
        <f t="shared" si="132"/>
        <v>6065918.829999999</v>
      </c>
      <c r="DG65" s="156">
        <f t="shared" si="133"/>
        <v>243.822789074435</v>
      </c>
      <c r="DH65" s="156">
        <f t="shared" si="134"/>
        <v>-6.374211663066955</v>
      </c>
      <c r="DI65" s="156">
        <f t="shared" si="135"/>
        <v>159.77239714481377</v>
      </c>
      <c r="DJ65" s="157">
        <f t="shared" si="136"/>
        <v>0</v>
      </c>
      <c r="DK65" s="156">
        <f t="shared" si="137"/>
        <v>-57.20235236790812</v>
      </c>
      <c r="DL65" s="158">
        <f t="shared" si="138"/>
        <v>9236976.11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Dezember 2001&amp;RKennzahlen Jahr 1997</oddHeader>
    <oddFooter>&amp;L&amp;8BHP Bern&amp;R&amp;8&amp;F/&amp;A/&amp;Pvon &amp;N</oddFooter>
  </headerFooter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DO65"/>
  <sheetViews>
    <sheetView workbookViewId="0" topLeftCell="A1">
      <pane xSplit="6" ySplit="2" topLeftCell="CZ3" activePane="bottomRight" state="frozen"/>
      <selection pane="topLeft" activeCell="N5" sqref="N5"/>
      <selection pane="topRight" activeCell="N5" sqref="N5"/>
      <selection pane="bottomLeft" activeCell="N5" sqref="N5"/>
      <selection pane="bottomRight" activeCell="DC2" sqref="DC2:DC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48"/>
      <c r="B1" s="23" t="s">
        <v>200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137</v>
      </c>
      <c r="BG1" s="21"/>
      <c r="BH1" s="21"/>
      <c r="BI1" s="21"/>
      <c r="BJ1" s="21"/>
      <c r="BK1" s="21"/>
      <c r="BL1" s="21" t="s">
        <v>137</v>
      </c>
      <c r="BM1" s="21"/>
      <c r="BN1" s="21"/>
      <c r="BO1" s="21"/>
      <c r="BP1" s="21"/>
      <c r="BQ1" s="21" t="s">
        <v>137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</row>
    <row r="2" spans="1:118" s="1" customFormat="1" ht="89.25" customHeight="1">
      <c r="A2" s="49"/>
      <c r="B2" s="45" t="s">
        <v>66</v>
      </c>
      <c r="C2" s="20" t="s">
        <v>37</v>
      </c>
      <c r="D2" s="56" t="s">
        <v>68</v>
      </c>
      <c r="E2" s="20" t="s">
        <v>52</v>
      </c>
      <c r="F2" s="133" t="s">
        <v>248</v>
      </c>
      <c r="G2" s="128" t="s">
        <v>75</v>
      </c>
      <c r="H2" s="54" t="s">
        <v>76</v>
      </c>
      <c r="I2" s="54" t="s">
        <v>77</v>
      </c>
      <c r="J2" s="54" t="s">
        <v>78</v>
      </c>
      <c r="K2" s="54" t="s">
        <v>79</v>
      </c>
      <c r="L2" s="54" t="s">
        <v>80</v>
      </c>
      <c r="M2" s="54" t="s">
        <v>81</v>
      </c>
      <c r="N2" s="54" t="s">
        <v>82</v>
      </c>
      <c r="O2" s="54" t="s">
        <v>83</v>
      </c>
      <c r="P2" s="54" t="s">
        <v>84</v>
      </c>
      <c r="Q2" s="54" t="s">
        <v>85</v>
      </c>
      <c r="R2" s="54" t="s">
        <v>86</v>
      </c>
      <c r="S2" s="54" t="s">
        <v>87</v>
      </c>
      <c r="T2" s="54" t="s">
        <v>88</v>
      </c>
      <c r="U2" s="54" t="s">
        <v>89</v>
      </c>
      <c r="V2" s="54" t="s">
        <v>90</v>
      </c>
      <c r="W2" s="54" t="s">
        <v>91</v>
      </c>
      <c r="X2" s="54" t="s">
        <v>92</v>
      </c>
      <c r="Y2" s="54" t="s">
        <v>93</v>
      </c>
      <c r="Z2" s="54" t="s">
        <v>94</v>
      </c>
      <c r="AA2" s="54" t="s">
        <v>95</v>
      </c>
      <c r="AB2" s="54" t="s">
        <v>96</v>
      </c>
      <c r="AC2" s="54" t="s">
        <v>213</v>
      </c>
      <c r="AD2" s="54" t="s">
        <v>97</v>
      </c>
      <c r="AE2" s="54" t="s">
        <v>98</v>
      </c>
      <c r="AF2" s="54" t="s">
        <v>99</v>
      </c>
      <c r="AG2" s="54" t="s">
        <v>100</v>
      </c>
      <c r="AH2" s="54" t="s">
        <v>101</v>
      </c>
      <c r="AI2" s="54" t="s">
        <v>102</v>
      </c>
      <c r="AJ2" s="54" t="s">
        <v>103</v>
      </c>
      <c r="AK2" s="54" t="s">
        <v>104</v>
      </c>
      <c r="AL2" s="54" t="s">
        <v>105</v>
      </c>
      <c r="AM2" s="54" t="s">
        <v>106</v>
      </c>
      <c r="AN2" s="36" t="s">
        <v>107</v>
      </c>
      <c r="AO2" s="36" t="s">
        <v>108</v>
      </c>
      <c r="AP2" s="36" t="s">
        <v>109</v>
      </c>
      <c r="AQ2" s="36" t="s">
        <v>110</v>
      </c>
      <c r="AR2" s="36" t="s">
        <v>111</v>
      </c>
      <c r="AS2" s="36" t="s">
        <v>112</v>
      </c>
      <c r="AT2" s="36" t="s">
        <v>113</v>
      </c>
      <c r="AU2" s="36" t="s">
        <v>114</v>
      </c>
      <c r="AV2" s="36" t="s">
        <v>115</v>
      </c>
      <c r="AW2" s="36" t="s">
        <v>116</v>
      </c>
      <c r="AX2" s="36" t="s">
        <v>117</v>
      </c>
      <c r="AY2" s="54" t="s">
        <v>138</v>
      </c>
      <c r="AZ2" s="54" t="s">
        <v>118</v>
      </c>
      <c r="BA2" s="54" t="s">
        <v>119</v>
      </c>
      <c r="BB2" s="54" t="s">
        <v>120</v>
      </c>
      <c r="BC2" s="54" t="s">
        <v>121</v>
      </c>
      <c r="BD2" s="54" t="s">
        <v>122</v>
      </c>
      <c r="BE2" s="54" t="s">
        <v>123</v>
      </c>
      <c r="BF2" s="54" t="s">
        <v>124</v>
      </c>
      <c r="BG2" s="54" t="s">
        <v>125</v>
      </c>
      <c r="BH2" s="54" t="s">
        <v>126</v>
      </c>
      <c r="BI2" s="54" t="s">
        <v>127</v>
      </c>
      <c r="BJ2" s="54" t="s">
        <v>128</v>
      </c>
      <c r="BK2" s="54" t="s">
        <v>129</v>
      </c>
      <c r="BL2" s="54" t="s">
        <v>131</v>
      </c>
      <c r="BM2" s="54" t="s">
        <v>130</v>
      </c>
      <c r="BN2" s="54" t="s">
        <v>132</v>
      </c>
      <c r="BO2" s="54" t="s">
        <v>133</v>
      </c>
      <c r="BP2" s="54" t="s">
        <v>134</v>
      </c>
      <c r="BQ2" s="54" t="s">
        <v>135</v>
      </c>
      <c r="BR2" s="54" t="s">
        <v>136</v>
      </c>
      <c r="BS2" s="54" t="s">
        <v>117</v>
      </c>
      <c r="BT2" s="36" t="s">
        <v>139</v>
      </c>
      <c r="BU2" s="36" t="s">
        <v>140</v>
      </c>
      <c r="BV2" s="36" t="s">
        <v>145</v>
      </c>
      <c r="BW2" s="36" t="s">
        <v>141</v>
      </c>
      <c r="BX2" s="36" t="s">
        <v>142</v>
      </c>
      <c r="BY2" s="36" t="s">
        <v>143</v>
      </c>
      <c r="BZ2" s="36" t="s">
        <v>144</v>
      </c>
      <c r="CA2" s="36" t="s">
        <v>146</v>
      </c>
      <c r="CB2" s="36" t="s">
        <v>147</v>
      </c>
      <c r="CC2" s="36" t="s">
        <v>117</v>
      </c>
      <c r="CD2" s="129" t="s">
        <v>148</v>
      </c>
      <c r="CE2" s="129" t="s">
        <v>149</v>
      </c>
      <c r="CF2" s="129" t="s">
        <v>60</v>
      </c>
      <c r="CG2" s="129" t="s">
        <v>150</v>
      </c>
      <c r="CH2" s="129" t="s">
        <v>151</v>
      </c>
      <c r="CI2" s="129" t="s">
        <v>152</v>
      </c>
      <c r="CJ2" s="129" t="s">
        <v>46</v>
      </c>
      <c r="CK2" s="129" t="s">
        <v>237</v>
      </c>
      <c r="CL2" s="129" t="s">
        <v>45</v>
      </c>
      <c r="CM2" s="129" t="s">
        <v>69</v>
      </c>
      <c r="CN2" s="129" t="s">
        <v>43</v>
      </c>
      <c r="CO2" s="129" t="s">
        <v>44</v>
      </c>
      <c r="CP2" s="129" t="s">
        <v>153</v>
      </c>
      <c r="CQ2" s="129" t="s">
        <v>155</v>
      </c>
      <c r="CR2" s="129" t="s">
        <v>154</v>
      </c>
      <c r="CS2" s="129" t="s">
        <v>160</v>
      </c>
      <c r="CT2" s="129" t="s">
        <v>163</v>
      </c>
      <c r="CU2" s="129" t="s">
        <v>164</v>
      </c>
      <c r="CV2" s="129" t="s">
        <v>162</v>
      </c>
      <c r="CW2" s="129" t="s">
        <v>166</v>
      </c>
      <c r="CX2" s="129" t="s">
        <v>148</v>
      </c>
      <c r="CY2" s="129" t="s">
        <v>167</v>
      </c>
      <c r="CZ2" s="129" t="s">
        <v>172</v>
      </c>
      <c r="DA2" s="129" t="s">
        <v>177</v>
      </c>
      <c r="DB2" s="129" t="s">
        <v>178</v>
      </c>
      <c r="DC2" s="129" t="s">
        <v>251</v>
      </c>
      <c r="DD2" s="129" t="s">
        <v>180</v>
      </c>
      <c r="DE2" s="129" t="s">
        <v>183</v>
      </c>
      <c r="DF2" s="129" t="s">
        <v>189</v>
      </c>
      <c r="DG2" s="129" t="s">
        <v>197</v>
      </c>
      <c r="DH2" s="129" t="s">
        <v>193</v>
      </c>
      <c r="DI2" s="129" t="s">
        <v>194</v>
      </c>
      <c r="DJ2" s="129" t="s">
        <v>195</v>
      </c>
      <c r="DK2" s="129" t="s">
        <v>198</v>
      </c>
      <c r="DL2" s="129" t="s">
        <v>239</v>
      </c>
      <c r="DM2" s="129"/>
      <c r="DN2" s="130"/>
    </row>
    <row r="3" spans="1:118" s="5" customFormat="1" ht="12.75" customHeight="1">
      <c r="A3" s="50" t="s">
        <v>38</v>
      </c>
      <c r="B3" s="41">
        <v>176</v>
      </c>
      <c r="C3" s="6">
        <v>360586</v>
      </c>
      <c r="D3" s="33">
        <v>2048.79</v>
      </c>
      <c r="E3" s="33">
        <v>57.32</v>
      </c>
      <c r="F3" s="125">
        <v>2</v>
      </c>
      <c r="G3" s="131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f aca="true" t="shared" si="0" ref="M3:M31">SUM(K3:L3)</f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0</v>
      </c>
      <c r="X3" s="43">
        <v>0</v>
      </c>
      <c r="Y3" s="43">
        <f aca="true" t="shared" si="2" ref="Y3:Y14">SUM(G3:X3)-M3-W3</f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f aca="true" t="shared" si="3" ref="AE3:AE14">SUM(Z3:AD3)</f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3">
        <v>0</v>
      </c>
      <c r="AZ3" s="43">
        <v>0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0</v>
      </c>
      <c r="BG3" s="43">
        <v>0</v>
      </c>
      <c r="BH3" s="43">
        <v>0</v>
      </c>
      <c r="BI3" s="43">
        <v>0</v>
      </c>
      <c r="BJ3" s="43">
        <v>0</v>
      </c>
      <c r="BK3" s="43">
        <v>0</v>
      </c>
      <c r="BL3" s="43">
        <v>0</v>
      </c>
      <c r="BM3" s="43">
        <v>0</v>
      </c>
      <c r="BN3" s="43">
        <v>0</v>
      </c>
      <c r="BO3" s="43">
        <f aca="true" t="shared" si="8" ref="BO3:BO14">SUM(BG3:BN3)</f>
        <v>0</v>
      </c>
      <c r="BP3" s="43">
        <v>0</v>
      </c>
      <c r="BQ3" s="43">
        <v>0</v>
      </c>
      <c r="BR3" s="43">
        <v>0</v>
      </c>
      <c r="BS3" s="43">
        <f aca="true" t="shared" si="9" ref="BS3:BS14">+BF3-BO3+BP3+BQ3-BR3</f>
        <v>0</v>
      </c>
      <c r="BT3" s="4"/>
      <c r="BU3" s="4"/>
      <c r="BV3" s="4"/>
      <c r="BW3" s="4"/>
      <c r="BX3" s="4">
        <f aca="true" t="shared" si="10" ref="BX3:BX14">SUM(BT3:BW3)</f>
        <v>0</v>
      </c>
      <c r="BY3" s="4"/>
      <c r="BZ3" s="4"/>
      <c r="CA3" s="4"/>
      <c r="CB3" s="4">
        <f aca="true" t="shared" si="11" ref="CB3:CB14">SUM(BY3:CA3)</f>
        <v>0</v>
      </c>
      <c r="CC3" s="4">
        <f aca="true" t="shared" si="12" ref="CC3:CC14">BX3-CB3</f>
        <v>0</v>
      </c>
      <c r="CD3" s="74">
        <f aca="true" t="shared" si="13" ref="CD3:CD14">K3+L3+AV3-AW3</f>
        <v>0</v>
      </c>
      <c r="CE3" s="76">
        <f aca="true" t="shared" si="14" ref="CE3:CE14">CD3+W3-AS3</f>
        <v>0</v>
      </c>
      <c r="CF3" s="76">
        <f aca="true" t="shared" si="15" ref="CF3:CF14">BR3-BP3</f>
        <v>0</v>
      </c>
      <c r="CG3" s="76">
        <f aca="true" t="shared" si="16" ref="CG3:CG10">AU3-AM3-AT3-AS3</f>
        <v>0</v>
      </c>
      <c r="CH3" s="76">
        <f aca="true" t="shared" si="17" ref="CH3:CH14">I3-AG3+AY3+AH3+BQ3</f>
        <v>0</v>
      </c>
      <c r="CI3" s="37">
        <f aca="true" t="shared" si="18" ref="CI3:CI14">CH3+K3</f>
        <v>0</v>
      </c>
      <c r="CJ3" s="59" t="str">
        <f>IF(CF3=0,"-",(CD3/CF3))</f>
        <v>-</v>
      </c>
      <c r="CK3" s="59" t="str">
        <f>IF(CF3=0,"-",(CE3/CF3))</f>
        <v>-</v>
      </c>
      <c r="CL3" s="141" t="str">
        <f>IF(CG3=0,"-",(CD3/CG3*1))</f>
        <v>-</v>
      </c>
      <c r="CM3" s="141" t="str">
        <f>IF(CE3=0,"-",(CE3/CG3))</f>
        <v>-</v>
      </c>
      <c r="CN3" s="141" t="str">
        <f>IF(CG3=0,"-",(CH3/CG3))</f>
        <v>-</v>
      </c>
      <c r="CO3" s="141" t="str">
        <f>IF(CG3=0,"-",(CI3/CG3))</f>
        <v>-</v>
      </c>
      <c r="CP3" s="141" t="str">
        <f>IF(BU3+K3+L3=0,"-",((K3+L3)/(BU3+K3+L3)))</f>
        <v>-</v>
      </c>
      <c r="CQ3" s="141" t="str">
        <f>IF(BU3+K3+L3=0,"-",((K3)/(BU3+K3+L3)))</f>
        <v>-</v>
      </c>
      <c r="CR3" s="142" t="str">
        <f>IF(CE3=0,"-",(CS3/CE3))</f>
        <v>-</v>
      </c>
      <c r="CS3" s="76">
        <f>BT3-BY3</f>
        <v>0</v>
      </c>
      <c r="CT3" s="80">
        <f aca="true" t="shared" si="19" ref="CT3:CT14">Y3-K3-L3-V3</f>
        <v>0</v>
      </c>
      <c r="CU3" s="80">
        <f aca="true" t="shared" si="20" ref="CU3:CU14">AU3-AR3</f>
        <v>0</v>
      </c>
      <c r="CV3" s="80">
        <f aca="true" t="shared" si="21" ref="CV3:CV14">CU3-CT3</f>
        <v>0</v>
      </c>
      <c r="CW3" s="80">
        <f aca="true" t="shared" si="22" ref="CW3:CW14">-V3+AR3</f>
        <v>0</v>
      </c>
      <c r="CX3" s="80">
        <f aca="true" t="shared" si="23" ref="CX3:CX14">CV3+CW3</f>
        <v>0</v>
      </c>
      <c r="CY3" s="80">
        <f aca="true" t="shared" si="24" ref="CY3:CY14">CX3-K3-L3</f>
        <v>0</v>
      </c>
      <c r="CZ3" s="80">
        <f aca="true" t="shared" si="25" ref="CZ3:CZ14">BR3-BP3</f>
        <v>0</v>
      </c>
      <c r="DA3" s="80">
        <f aca="true" t="shared" si="26" ref="DA3:DA14">K3+L3</f>
        <v>0</v>
      </c>
      <c r="DB3" s="80">
        <f aca="true" t="shared" si="27" ref="DB3:DB14">-CZ3+DA3+CY3</f>
        <v>0</v>
      </c>
      <c r="DC3" s="80">
        <f>-CZ3+DA3+CY3+W3-AS3</f>
        <v>0</v>
      </c>
      <c r="DD3" s="80">
        <f aca="true" t="shared" si="28" ref="DD3:DD14">-BP3-DA3</f>
        <v>0</v>
      </c>
      <c r="DE3" s="80">
        <f aca="true" t="shared" si="29" ref="DE3:DE14">DB3+DD3+BR3</f>
        <v>0</v>
      </c>
      <c r="DF3" s="80">
        <f aca="true" t="shared" si="30" ref="DF3:DF14">Z3+AA3+AB3</f>
        <v>0</v>
      </c>
      <c r="DG3" s="80">
        <f aca="true" t="shared" si="31" ref="DG3:DG14">CS3/B3</f>
        <v>0</v>
      </c>
      <c r="DH3" s="80">
        <f aca="true" t="shared" si="32" ref="DH3:DH14">CH3/B3</f>
        <v>0</v>
      </c>
      <c r="DI3" s="80">
        <f aca="true" t="shared" si="33" ref="DI3:DI14">DF3/B3</f>
        <v>0</v>
      </c>
      <c r="DJ3" s="81">
        <f aca="true" t="shared" si="34" ref="DJ3:DJ14">CZ3/B3</f>
        <v>0</v>
      </c>
      <c r="DK3" s="76">
        <f aca="true" t="shared" si="35" ref="DK3:DK14">DB3/B3</f>
        <v>0</v>
      </c>
      <c r="DL3" s="145">
        <f>CA3-BW3-BU3</f>
        <v>0</v>
      </c>
      <c r="DM3" s="64"/>
      <c r="DN3" s="65"/>
    </row>
    <row r="4" spans="1:118" ht="12.75">
      <c r="A4" s="51" t="s">
        <v>0</v>
      </c>
      <c r="B4" s="46">
        <v>1971</v>
      </c>
      <c r="C4" s="38">
        <v>6295352</v>
      </c>
      <c r="D4" s="39">
        <v>3193.99</v>
      </c>
      <c r="E4" s="39">
        <v>89.37</v>
      </c>
      <c r="F4" s="126">
        <v>0</v>
      </c>
      <c r="G4" s="13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3">
        <f t="shared" si="0"/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0</v>
      </c>
      <c r="X4" s="42">
        <v>0</v>
      </c>
      <c r="Y4" s="43">
        <f t="shared" si="2"/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3">
        <f t="shared" si="3"/>
        <v>0</v>
      </c>
      <c r="AF4" s="42">
        <v>0</v>
      </c>
      <c r="AG4" s="42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0</v>
      </c>
      <c r="AT4" s="38">
        <v>0</v>
      </c>
      <c r="AU4" s="4">
        <f t="shared" si="5"/>
        <v>0</v>
      </c>
      <c r="AV4" s="38">
        <v>0</v>
      </c>
      <c r="AW4" s="38">
        <v>0</v>
      </c>
      <c r="AX4" s="4">
        <f t="shared" si="6"/>
        <v>0</v>
      </c>
      <c r="AY4" s="42">
        <v>0</v>
      </c>
      <c r="AZ4" s="42">
        <v>0</v>
      </c>
      <c r="BA4" s="42">
        <v>0</v>
      </c>
      <c r="BB4" s="42">
        <v>0</v>
      </c>
      <c r="BC4" s="42">
        <v>0</v>
      </c>
      <c r="BD4" s="42">
        <v>0</v>
      </c>
      <c r="BE4" s="42">
        <v>0</v>
      </c>
      <c r="BF4" s="43">
        <f t="shared" si="7"/>
        <v>0</v>
      </c>
      <c r="BG4" s="42">
        <v>0</v>
      </c>
      <c r="BH4" s="42">
        <v>0</v>
      </c>
      <c r="BI4" s="42">
        <v>0</v>
      </c>
      <c r="BJ4" s="42">
        <v>0</v>
      </c>
      <c r="BK4" s="42">
        <v>0</v>
      </c>
      <c r="BL4" s="42">
        <v>0</v>
      </c>
      <c r="BM4" s="42">
        <v>0</v>
      </c>
      <c r="BN4" s="42">
        <v>0</v>
      </c>
      <c r="BO4" s="43">
        <f t="shared" si="8"/>
        <v>0</v>
      </c>
      <c r="BP4" s="42">
        <v>0</v>
      </c>
      <c r="BQ4" s="42">
        <v>0</v>
      </c>
      <c r="BR4" s="42">
        <v>0</v>
      </c>
      <c r="BS4" s="43">
        <f t="shared" si="9"/>
        <v>0</v>
      </c>
      <c r="BT4" s="38"/>
      <c r="BU4" s="38"/>
      <c r="BV4" s="38"/>
      <c r="BW4" s="38"/>
      <c r="BX4" s="4">
        <f t="shared" si="10"/>
        <v>0</v>
      </c>
      <c r="BY4" s="38"/>
      <c r="BZ4" s="38"/>
      <c r="CA4" s="38"/>
      <c r="CB4" s="4">
        <f t="shared" si="11"/>
        <v>0</v>
      </c>
      <c r="CC4" s="4">
        <f t="shared" si="12"/>
        <v>0</v>
      </c>
      <c r="CD4" s="74">
        <f t="shared" si="13"/>
        <v>0</v>
      </c>
      <c r="CE4" s="76">
        <f t="shared" si="14"/>
        <v>0</v>
      </c>
      <c r="CF4" s="76">
        <f t="shared" si="15"/>
        <v>0</v>
      </c>
      <c r="CG4" s="76">
        <f t="shared" si="16"/>
        <v>0</v>
      </c>
      <c r="CH4" s="76">
        <f t="shared" si="17"/>
        <v>0</v>
      </c>
      <c r="CI4" s="37">
        <f t="shared" si="18"/>
        <v>0</v>
      </c>
      <c r="CJ4" s="59" t="str">
        <f aca="true" t="shared" si="36" ref="CJ4:CJ31">IF(CF4=0,"-",(CD4/CF4))</f>
        <v>-</v>
      </c>
      <c r="CK4" s="59" t="str">
        <f aca="true" t="shared" si="37" ref="CK4:CK31">IF(CF4=0,"-",(CE4/CF4))</f>
        <v>-</v>
      </c>
      <c r="CL4" s="141" t="str">
        <f aca="true" t="shared" si="38" ref="CL4:CL31">IF(CG4=0,"-",(CD4/CG4*1))</f>
        <v>-</v>
      </c>
      <c r="CM4" s="141" t="str">
        <f aca="true" t="shared" si="39" ref="CM4:CM31">IF(CE4=0,"-",(CE4/CG4))</f>
        <v>-</v>
      </c>
      <c r="CN4" s="141" t="str">
        <f aca="true" t="shared" si="40" ref="CN4:CN31">IF(CG4=0,"-",(CH4/CG4))</f>
        <v>-</v>
      </c>
      <c r="CO4" s="141" t="str">
        <f aca="true" t="shared" si="41" ref="CO4:CO31">IF(CG4=0,"-",(CI4/CG4))</f>
        <v>-</v>
      </c>
      <c r="CP4" s="141" t="str">
        <f aca="true" t="shared" si="42" ref="CP4:CP31">IF(BU4+K4+L4=0,"-",((K4+L4)/(BU4+K4+L4)))</f>
        <v>-</v>
      </c>
      <c r="CQ4" s="141" t="str">
        <f aca="true" t="shared" si="43" ref="CQ4:CQ31">IF(BU4+K4+L4=0,"-",((K4)/(BU4+K4+L4)))</f>
        <v>-</v>
      </c>
      <c r="CR4" s="142" t="str">
        <f aca="true" t="shared" si="44" ref="CR4:CR31">IF(CE4=0,"-",(CS4/CE4))</f>
        <v>-</v>
      </c>
      <c r="CS4" s="76">
        <f aca="true" t="shared" si="45" ref="CS4:CS31">BT4-BY4</f>
        <v>0</v>
      </c>
      <c r="CT4" s="80">
        <f t="shared" si="19"/>
        <v>0</v>
      </c>
      <c r="CU4" s="80">
        <f t="shared" si="20"/>
        <v>0</v>
      </c>
      <c r="CV4" s="80">
        <f t="shared" si="21"/>
        <v>0</v>
      </c>
      <c r="CW4" s="80">
        <f t="shared" si="22"/>
        <v>0</v>
      </c>
      <c r="CX4" s="80">
        <f t="shared" si="23"/>
        <v>0</v>
      </c>
      <c r="CY4" s="80">
        <f t="shared" si="24"/>
        <v>0</v>
      </c>
      <c r="CZ4" s="80">
        <f t="shared" si="25"/>
        <v>0</v>
      </c>
      <c r="DA4" s="80">
        <f t="shared" si="26"/>
        <v>0</v>
      </c>
      <c r="DB4" s="80">
        <f t="shared" si="27"/>
        <v>0</v>
      </c>
      <c r="DC4" s="80">
        <f aca="true" t="shared" si="46" ref="DC4:DC31">-CZ4+DA4+CY4+W4-AS4</f>
        <v>0</v>
      </c>
      <c r="DD4" s="80">
        <f t="shared" si="28"/>
        <v>0</v>
      </c>
      <c r="DE4" s="80">
        <f t="shared" si="29"/>
        <v>0</v>
      </c>
      <c r="DF4" s="80">
        <f t="shared" si="30"/>
        <v>0</v>
      </c>
      <c r="DG4" s="80">
        <f t="shared" si="31"/>
        <v>0</v>
      </c>
      <c r="DH4" s="80">
        <f t="shared" si="32"/>
        <v>0</v>
      </c>
      <c r="DI4" s="80">
        <f t="shared" si="33"/>
        <v>0</v>
      </c>
      <c r="DJ4" s="81">
        <f t="shared" si="34"/>
        <v>0</v>
      </c>
      <c r="DK4" s="76">
        <f t="shared" si="35"/>
        <v>0</v>
      </c>
      <c r="DL4" s="145">
        <f>CA4-BW4-BU4</f>
        <v>0</v>
      </c>
      <c r="DM4" s="67"/>
      <c r="DN4" s="68"/>
    </row>
    <row r="5" spans="1:118" ht="12.75">
      <c r="A5" s="52" t="s">
        <v>32</v>
      </c>
      <c r="B5" s="41">
        <v>406</v>
      </c>
      <c r="C5" s="4">
        <v>1369240</v>
      </c>
      <c r="D5" s="34">
        <v>3372.51</v>
      </c>
      <c r="E5" s="34">
        <v>94.36</v>
      </c>
      <c r="F5" s="8">
        <v>3</v>
      </c>
      <c r="G5" s="131">
        <f>(G42/($B$5+$B$28)*$B$5)</f>
        <v>9141.49698067633</v>
      </c>
      <c r="H5" s="131">
        <f aca="true" t="shared" si="47" ref="H5:BU5">(H42/($B$5+$B$28)*$B$5)</f>
        <v>1425.5601449275364</v>
      </c>
      <c r="I5" s="131">
        <f t="shared" si="47"/>
        <v>0</v>
      </c>
      <c r="J5" s="131">
        <f t="shared" si="47"/>
        <v>14710.144927536232</v>
      </c>
      <c r="K5" s="131">
        <f t="shared" si="47"/>
        <v>0</v>
      </c>
      <c r="L5" s="131">
        <f t="shared" si="47"/>
        <v>0</v>
      </c>
      <c r="M5" s="43">
        <f t="shared" si="0"/>
        <v>0</v>
      </c>
      <c r="N5" s="131">
        <f t="shared" si="47"/>
        <v>0</v>
      </c>
      <c r="O5" s="131">
        <f t="shared" si="47"/>
        <v>3.898188405797102</v>
      </c>
      <c r="P5" s="131">
        <f t="shared" si="47"/>
        <v>191874.34963768115</v>
      </c>
      <c r="Q5" s="131">
        <f t="shared" si="47"/>
        <v>0</v>
      </c>
      <c r="R5" s="131">
        <f t="shared" si="47"/>
        <v>0</v>
      </c>
      <c r="S5" s="131">
        <f t="shared" si="47"/>
        <v>0</v>
      </c>
      <c r="T5" s="131">
        <f t="shared" si="47"/>
        <v>0</v>
      </c>
      <c r="U5" s="131">
        <f t="shared" si="47"/>
        <v>0</v>
      </c>
      <c r="V5" s="131">
        <f t="shared" si="47"/>
        <v>0</v>
      </c>
      <c r="W5" s="43">
        <f t="shared" si="1"/>
        <v>0</v>
      </c>
      <c r="X5" s="131">
        <f t="shared" si="47"/>
        <v>0</v>
      </c>
      <c r="Y5" s="43">
        <f t="shared" si="2"/>
        <v>217155.44987922706</v>
      </c>
      <c r="Z5" s="131">
        <f t="shared" si="47"/>
        <v>62633.418961352654</v>
      </c>
      <c r="AA5" s="131">
        <f t="shared" si="47"/>
        <v>6972.265458937198</v>
      </c>
      <c r="AB5" s="131">
        <f t="shared" si="47"/>
        <v>0</v>
      </c>
      <c r="AC5" s="131">
        <f t="shared" si="47"/>
        <v>15667.211473429952</v>
      </c>
      <c r="AD5" s="131">
        <f t="shared" si="47"/>
        <v>0</v>
      </c>
      <c r="AE5" s="43">
        <f t="shared" si="3"/>
        <v>85272.8958937198</v>
      </c>
      <c r="AF5" s="131">
        <f t="shared" si="47"/>
        <v>0</v>
      </c>
      <c r="AG5" s="131">
        <f t="shared" si="47"/>
        <v>1570.675724637681</v>
      </c>
      <c r="AH5" s="131">
        <f t="shared" si="47"/>
        <v>0</v>
      </c>
      <c r="AI5" s="131">
        <f t="shared" si="47"/>
        <v>85051.77789855073</v>
      </c>
      <c r="AJ5" s="131">
        <f t="shared" si="47"/>
        <v>0</v>
      </c>
      <c r="AK5" s="131">
        <f t="shared" si="47"/>
        <v>1976.0628019323672</v>
      </c>
      <c r="AL5" s="131">
        <f t="shared" si="47"/>
        <v>0</v>
      </c>
      <c r="AM5" s="131">
        <f t="shared" si="47"/>
        <v>0</v>
      </c>
      <c r="AN5" s="131">
        <f t="shared" si="47"/>
        <v>0</v>
      </c>
      <c r="AO5" s="131">
        <f t="shared" si="47"/>
        <v>0</v>
      </c>
      <c r="AP5" s="131">
        <f t="shared" si="47"/>
        <v>0</v>
      </c>
      <c r="AQ5" s="131">
        <f t="shared" si="47"/>
        <v>0</v>
      </c>
      <c r="AR5" s="131">
        <f t="shared" si="47"/>
        <v>0</v>
      </c>
      <c r="AS5" s="4">
        <f t="shared" si="4"/>
        <v>0</v>
      </c>
      <c r="AT5" s="131">
        <f t="shared" si="47"/>
        <v>0</v>
      </c>
      <c r="AU5" s="4">
        <f t="shared" si="5"/>
        <v>173871.4123188406</v>
      </c>
      <c r="AV5" s="131">
        <f t="shared" si="47"/>
        <v>0</v>
      </c>
      <c r="AW5" s="131">
        <f t="shared" si="47"/>
        <v>43284.03756038648</v>
      </c>
      <c r="AX5" s="4">
        <f t="shared" si="6"/>
        <v>0</v>
      </c>
      <c r="AY5" s="131">
        <f t="shared" si="47"/>
        <v>0</v>
      </c>
      <c r="AZ5" s="131">
        <f t="shared" si="47"/>
        <v>0</v>
      </c>
      <c r="BA5" s="131">
        <f t="shared" si="47"/>
        <v>0</v>
      </c>
      <c r="BB5" s="131">
        <f t="shared" si="47"/>
        <v>0</v>
      </c>
      <c r="BC5" s="131">
        <f t="shared" si="47"/>
        <v>0</v>
      </c>
      <c r="BD5" s="131">
        <f t="shared" si="47"/>
        <v>0</v>
      </c>
      <c r="BE5" s="131">
        <f t="shared" si="47"/>
        <v>0</v>
      </c>
      <c r="BF5" s="43">
        <f t="shared" si="7"/>
        <v>0</v>
      </c>
      <c r="BG5" s="131">
        <f t="shared" si="47"/>
        <v>0</v>
      </c>
      <c r="BH5" s="131">
        <f t="shared" si="47"/>
        <v>0</v>
      </c>
      <c r="BI5" s="131">
        <f t="shared" si="47"/>
        <v>0</v>
      </c>
      <c r="BJ5" s="131">
        <f t="shared" si="47"/>
        <v>0</v>
      </c>
      <c r="BK5" s="131">
        <f t="shared" si="47"/>
        <v>0</v>
      </c>
      <c r="BL5" s="131">
        <f t="shared" si="47"/>
        <v>0</v>
      </c>
      <c r="BM5" s="131">
        <f t="shared" si="47"/>
        <v>0</v>
      </c>
      <c r="BN5" s="131">
        <f t="shared" si="47"/>
        <v>0</v>
      </c>
      <c r="BO5" s="43">
        <f t="shared" si="8"/>
        <v>0</v>
      </c>
      <c r="BP5" s="131">
        <f t="shared" si="47"/>
        <v>0</v>
      </c>
      <c r="BQ5" s="131">
        <f t="shared" si="47"/>
        <v>0</v>
      </c>
      <c r="BR5" s="131">
        <f t="shared" si="47"/>
        <v>0</v>
      </c>
      <c r="BS5" s="43">
        <f t="shared" si="9"/>
        <v>0</v>
      </c>
      <c r="BT5" s="131">
        <f t="shared" si="47"/>
        <v>172990.372705314</v>
      </c>
      <c r="BU5" s="131">
        <f t="shared" si="47"/>
        <v>0</v>
      </c>
      <c r="BV5" s="131">
        <f aca="true" t="shared" si="48" ref="BV5:CA5">(BV42/($B$5+$B$28)*$B$5)</f>
        <v>0</v>
      </c>
      <c r="BW5" s="131">
        <f t="shared" si="48"/>
        <v>0</v>
      </c>
      <c r="BX5" s="4">
        <f t="shared" si="10"/>
        <v>172990.372705314</v>
      </c>
      <c r="BY5" s="131">
        <f t="shared" si="48"/>
        <v>69542.60241545892</v>
      </c>
      <c r="BZ5" s="131">
        <f t="shared" si="48"/>
        <v>0</v>
      </c>
      <c r="CA5" s="131">
        <f t="shared" si="48"/>
        <v>103447.77028985506</v>
      </c>
      <c r="CB5" s="4">
        <f t="shared" si="11"/>
        <v>172990.372705314</v>
      </c>
      <c r="CC5" s="4">
        <f t="shared" si="12"/>
        <v>0</v>
      </c>
      <c r="CD5" s="74">
        <f t="shared" si="13"/>
        <v>-43284.03756038648</v>
      </c>
      <c r="CE5" s="76">
        <f t="shared" si="14"/>
        <v>-43284.03756038648</v>
      </c>
      <c r="CF5" s="76">
        <f t="shared" si="15"/>
        <v>0</v>
      </c>
      <c r="CG5" s="76">
        <f t="shared" si="16"/>
        <v>173871.4123188406</v>
      </c>
      <c r="CH5" s="76">
        <f t="shared" si="17"/>
        <v>-1570.675724637681</v>
      </c>
      <c r="CI5" s="37">
        <f t="shared" si="18"/>
        <v>-1570.675724637681</v>
      </c>
      <c r="CJ5" s="59" t="str">
        <f t="shared" si="36"/>
        <v>-</v>
      </c>
      <c r="CK5" s="59" t="str">
        <f t="shared" si="37"/>
        <v>-</v>
      </c>
      <c r="CL5" s="141">
        <f t="shared" si="38"/>
        <v>-0.24894280769407573</v>
      </c>
      <c r="CM5" s="141">
        <f t="shared" si="39"/>
        <v>-0.24894280769407573</v>
      </c>
      <c r="CN5" s="141">
        <f t="shared" si="40"/>
        <v>-0.009033547859825394</v>
      </c>
      <c r="CO5" s="141">
        <f t="shared" si="41"/>
        <v>-0.009033547859825394</v>
      </c>
      <c r="CP5" s="141" t="str">
        <f t="shared" si="42"/>
        <v>-</v>
      </c>
      <c r="CQ5" s="141" t="str">
        <f t="shared" si="43"/>
        <v>-</v>
      </c>
      <c r="CR5" s="142">
        <f t="shared" si="44"/>
        <v>-2.389975060564368</v>
      </c>
      <c r="CS5" s="76">
        <f t="shared" si="45"/>
        <v>103447.77028985506</v>
      </c>
      <c r="CT5" s="80">
        <f t="shared" si="19"/>
        <v>217155.44987922706</v>
      </c>
      <c r="CU5" s="80">
        <f t="shared" si="20"/>
        <v>173871.4123188406</v>
      </c>
      <c r="CV5" s="80">
        <f t="shared" si="21"/>
        <v>-43284.03756038647</v>
      </c>
      <c r="CW5" s="80">
        <f t="shared" si="22"/>
        <v>0</v>
      </c>
      <c r="CX5" s="80">
        <f t="shared" si="23"/>
        <v>-43284.03756038647</v>
      </c>
      <c r="CY5" s="80">
        <f t="shared" si="24"/>
        <v>-43284.03756038647</v>
      </c>
      <c r="CZ5" s="80">
        <f t="shared" si="25"/>
        <v>0</v>
      </c>
      <c r="DA5" s="80">
        <f t="shared" si="26"/>
        <v>0</v>
      </c>
      <c r="DB5" s="80">
        <f t="shared" si="27"/>
        <v>-43284.03756038647</v>
      </c>
      <c r="DC5" s="80">
        <f t="shared" si="46"/>
        <v>-43284.03756038647</v>
      </c>
      <c r="DD5" s="80">
        <f t="shared" si="28"/>
        <v>0</v>
      </c>
      <c r="DE5" s="80">
        <f t="shared" si="29"/>
        <v>-43284.03756038647</v>
      </c>
      <c r="DF5" s="80">
        <f t="shared" si="30"/>
        <v>69605.68442028985</v>
      </c>
      <c r="DG5" s="80">
        <f t="shared" si="31"/>
        <v>254.79746376811593</v>
      </c>
      <c r="DH5" s="80">
        <f t="shared" si="32"/>
        <v>-3.8686594202898545</v>
      </c>
      <c r="DI5" s="80">
        <f t="shared" si="33"/>
        <v>171.4425724637681</v>
      </c>
      <c r="DJ5" s="81">
        <f t="shared" si="34"/>
        <v>0</v>
      </c>
      <c r="DK5" s="76">
        <f t="shared" si="35"/>
        <v>-106.6109299516908</v>
      </c>
      <c r="DL5" s="145">
        <f aca="true" t="shared" si="49" ref="DL5:DL31">CA5-BW5-BU5</f>
        <v>103447.77028985506</v>
      </c>
      <c r="DM5" s="64"/>
      <c r="DN5" s="65"/>
    </row>
    <row r="6" spans="1:118" ht="12.75">
      <c r="A6" s="51" t="s">
        <v>1</v>
      </c>
      <c r="B6" s="46">
        <v>210</v>
      </c>
      <c r="C6" s="38">
        <v>719115</v>
      </c>
      <c r="D6" s="39">
        <v>3424.36</v>
      </c>
      <c r="E6" s="39">
        <v>95.81</v>
      </c>
      <c r="F6" s="126">
        <v>4</v>
      </c>
      <c r="G6" s="13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3">
        <f t="shared" si="0"/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0</v>
      </c>
      <c r="X6" s="42">
        <v>0</v>
      </c>
      <c r="Y6" s="43">
        <f t="shared" si="2"/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3">
        <f t="shared" si="3"/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0</v>
      </c>
      <c r="AT6" s="38">
        <v>0</v>
      </c>
      <c r="AU6" s="4">
        <f t="shared" si="5"/>
        <v>0</v>
      </c>
      <c r="AV6" s="38">
        <v>0</v>
      </c>
      <c r="AW6" s="38">
        <v>0</v>
      </c>
      <c r="AX6" s="4">
        <f t="shared" si="6"/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3">
        <f t="shared" si="7"/>
        <v>0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3">
        <f t="shared" si="8"/>
        <v>0</v>
      </c>
      <c r="BP6" s="42">
        <v>0</v>
      </c>
      <c r="BQ6" s="42">
        <v>0</v>
      </c>
      <c r="BR6" s="42">
        <v>0</v>
      </c>
      <c r="BS6" s="43">
        <f t="shared" si="9"/>
        <v>0</v>
      </c>
      <c r="BT6" s="38"/>
      <c r="BU6" s="38"/>
      <c r="BV6" s="38"/>
      <c r="BW6" s="38"/>
      <c r="BX6" s="4">
        <f t="shared" si="10"/>
        <v>0</v>
      </c>
      <c r="BY6" s="38"/>
      <c r="BZ6" s="38"/>
      <c r="CA6" s="38"/>
      <c r="CB6" s="4">
        <f t="shared" si="11"/>
        <v>0</v>
      </c>
      <c r="CC6" s="4">
        <f t="shared" si="12"/>
        <v>0</v>
      </c>
      <c r="CD6" s="74">
        <f t="shared" si="13"/>
        <v>0</v>
      </c>
      <c r="CE6" s="76">
        <f t="shared" si="14"/>
        <v>0</v>
      </c>
      <c r="CF6" s="76">
        <f t="shared" si="15"/>
        <v>0</v>
      </c>
      <c r="CG6" s="76">
        <f t="shared" si="16"/>
        <v>0</v>
      </c>
      <c r="CH6" s="76">
        <f t="shared" si="17"/>
        <v>0</v>
      </c>
      <c r="CI6" s="37">
        <f t="shared" si="18"/>
        <v>0</v>
      </c>
      <c r="CJ6" s="59" t="str">
        <f t="shared" si="36"/>
        <v>-</v>
      </c>
      <c r="CK6" s="59" t="str">
        <f t="shared" si="37"/>
        <v>-</v>
      </c>
      <c r="CL6" s="141" t="str">
        <f t="shared" si="38"/>
        <v>-</v>
      </c>
      <c r="CM6" s="141" t="str">
        <f t="shared" si="39"/>
        <v>-</v>
      </c>
      <c r="CN6" s="141" t="str">
        <f t="shared" si="40"/>
        <v>-</v>
      </c>
      <c r="CO6" s="141" t="str">
        <f t="shared" si="41"/>
        <v>-</v>
      </c>
      <c r="CP6" s="141" t="str">
        <f t="shared" si="42"/>
        <v>-</v>
      </c>
      <c r="CQ6" s="141" t="str">
        <f t="shared" si="43"/>
        <v>-</v>
      </c>
      <c r="CR6" s="142" t="str">
        <f t="shared" si="44"/>
        <v>-</v>
      </c>
      <c r="CS6" s="76">
        <f t="shared" si="45"/>
        <v>0</v>
      </c>
      <c r="CT6" s="80">
        <f t="shared" si="19"/>
        <v>0</v>
      </c>
      <c r="CU6" s="80">
        <f t="shared" si="20"/>
        <v>0</v>
      </c>
      <c r="CV6" s="80">
        <f t="shared" si="21"/>
        <v>0</v>
      </c>
      <c r="CW6" s="80">
        <f t="shared" si="22"/>
        <v>0</v>
      </c>
      <c r="CX6" s="80">
        <f t="shared" si="23"/>
        <v>0</v>
      </c>
      <c r="CY6" s="80">
        <f t="shared" si="24"/>
        <v>0</v>
      </c>
      <c r="CZ6" s="80">
        <f t="shared" si="25"/>
        <v>0</v>
      </c>
      <c r="DA6" s="80">
        <f t="shared" si="26"/>
        <v>0</v>
      </c>
      <c r="DB6" s="80">
        <f t="shared" si="27"/>
        <v>0</v>
      </c>
      <c r="DC6" s="80">
        <f t="shared" si="46"/>
        <v>0</v>
      </c>
      <c r="DD6" s="80">
        <f t="shared" si="28"/>
        <v>0</v>
      </c>
      <c r="DE6" s="80">
        <f t="shared" si="29"/>
        <v>0</v>
      </c>
      <c r="DF6" s="80">
        <f t="shared" si="30"/>
        <v>0</v>
      </c>
      <c r="DG6" s="80">
        <f t="shared" si="31"/>
        <v>0</v>
      </c>
      <c r="DH6" s="80">
        <f t="shared" si="32"/>
        <v>0</v>
      </c>
      <c r="DI6" s="80">
        <f t="shared" si="33"/>
        <v>0</v>
      </c>
      <c r="DJ6" s="81">
        <f t="shared" si="34"/>
        <v>0</v>
      </c>
      <c r="DK6" s="76">
        <f t="shared" si="35"/>
        <v>0</v>
      </c>
      <c r="DL6" s="145">
        <f t="shared" si="49"/>
        <v>0</v>
      </c>
      <c r="DM6" s="67"/>
      <c r="DN6" s="68"/>
    </row>
    <row r="7" spans="1:118" ht="12.75">
      <c r="A7" s="52" t="s">
        <v>2</v>
      </c>
      <c r="B7" s="41">
        <v>745</v>
      </c>
      <c r="C7" s="4">
        <v>1623908</v>
      </c>
      <c r="D7" s="34">
        <v>2179.74</v>
      </c>
      <c r="E7" s="34">
        <v>60.99</v>
      </c>
      <c r="F7" s="8">
        <v>4</v>
      </c>
      <c r="G7" s="131">
        <v>11035.85</v>
      </c>
      <c r="H7" s="43">
        <v>4131.25</v>
      </c>
      <c r="I7" s="43">
        <v>0</v>
      </c>
      <c r="J7" s="43">
        <v>0</v>
      </c>
      <c r="K7" s="43">
        <v>0</v>
      </c>
      <c r="L7" s="43">
        <v>0</v>
      </c>
      <c r="M7" s="43">
        <f t="shared" si="0"/>
        <v>0</v>
      </c>
      <c r="N7" s="43">
        <v>0</v>
      </c>
      <c r="O7" s="43">
        <v>0</v>
      </c>
      <c r="P7" s="43">
        <v>151437.6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f t="shared" si="1"/>
        <v>0</v>
      </c>
      <c r="X7" s="43">
        <v>0</v>
      </c>
      <c r="Y7" s="43">
        <f t="shared" si="2"/>
        <v>166604.7</v>
      </c>
      <c r="Z7" s="43">
        <v>141798.2</v>
      </c>
      <c r="AA7" s="43">
        <v>0</v>
      </c>
      <c r="AB7" s="43">
        <v>0</v>
      </c>
      <c r="AC7" s="43">
        <v>0</v>
      </c>
      <c r="AD7" s="43">
        <v>0</v>
      </c>
      <c r="AE7" s="43">
        <f t="shared" si="3"/>
        <v>141798.2</v>
      </c>
      <c r="AF7" s="43">
        <v>0</v>
      </c>
      <c r="AG7" s="43">
        <v>1030.7</v>
      </c>
      <c r="AH7" s="43">
        <v>0</v>
      </c>
      <c r="AI7" s="43">
        <v>8400</v>
      </c>
      <c r="AJ7" s="43">
        <v>0</v>
      </c>
      <c r="AK7" s="43">
        <v>0</v>
      </c>
      <c r="AL7" s="43">
        <v>0</v>
      </c>
      <c r="AM7" s="43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151228.90000000002</v>
      </c>
      <c r="AV7" s="4">
        <v>0</v>
      </c>
      <c r="AW7" s="4">
        <v>15375.8</v>
      </c>
      <c r="AX7" s="143">
        <f t="shared" si="6"/>
        <v>0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0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f t="shared" si="8"/>
        <v>0</v>
      </c>
      <c r="BP7" s="43">
        <v>0</v>
      </c>
      <c r="BQ7" s="43">
        <v>0</v>
      </c>
      <c r="BR7" s="43">
        <v>0</v>
      </c>
      <c r="BS7" s="43">
        <f t="shared" si="9"/>
        <v>0</v>
      </c>
      <c r="BT7" s="4">
        <v>187441.23</v>
      </c>
      <c r="BU7" s="4"/>
      <c r="BV7" s="4"/>
      <c r="BW7" s="4"/>
      <c r="BX7" s="4">
        <f t="shared" si="10"/>
        <v>187441.23</v>
      </c>
      <c r="BY7" s="4">
        <v>73165.15</v>
      </c>
      <c r="BZ7" s="4"/>
      <c r="CA7" s="4">
        <v>114276.08</v>
      </c>
      <c r="CB7" s="4">
        <f t="shared" si="11"/>
        <v>187441.22999999998</v>
      </c>
      <c r="CC7" s="143">
        <f t="shared" si="12"/>
        <v>0</v>
      </c>
      <c r="CD7" s="74">
        <f t="shared" si="13"/>
        <v>-15375.8</v>
      </c>
      <c r="CE7" s="76">
        <f t="shared" si="14"/>
        <v>-15375.8</v>
      </c>
      <c r="CF7" s="76">
        <f t="shared" si="15"/>
        <v>0</v>
      </c>
      <c r="CG7" s="76">
        <f t="shared" si="16"/>
        <v>151228.90000000002</v>
      </c>
      <c r="CH7" s="76">
        <f t="shared" si="17"/>
        <v>-1030.7</v>
      </c>
      <c r="CI7" s="37">
        <f t="shared" si="18"/>
        <v>-1030.7</v>
      </c>
      <c r="CJ7" s="59" t="str">
        <f t="shared" si="36"/>
        <v>-</v>
      </c>
      <c r="CK7" s="59" t="str">
        <f t="shared" si="37"/>
        <v>-</v>
      </c>
      <c r="CL7" s="141">
        <f t="shared" si="38"/>
        <v>-0.10167236553330744</v>
      </c>
      <c r="CM7" s="141">
        <f t="shared" si="39"/>
        <v>-0.10167236553330744</v>
      </c>
      <c r="CN7" s="141">
        <f t="shared" si="40"/>
        <v>-0.00681549624443476</v>
      </c>
      <c r="CO7" s="141">
        <f t="shared" si="41"/>
        <v>-0.00681549624443476</v>
      </c>
      <c r="CP7" s="141" t="str">
        <f t="shared" si="42"/>
        <v>-</v>
      </c>
      <c r="CQ7" s="141" t="str">
        <f t="shared" si="43"/>
        <v>-</v>
      </c>
      <c r="CR7" s="142">
        <f t="shared" si="44"/>
        <v>-7.43220385280766</v>
      </c>
      <c r="CS7" s="76">
        <f t="shared" si="45"/>
        <v>114276.08000000002</v>
      </c>
      <c r="CT7" s="80">
        <f t="shared" si="19"/>
        <v>166604.7</v>
      </c>
      <c r="CU7" s="80">
        <f t="shared" si="20"/>
        <v>151228.90000000002</v>
      </c>
      <c r="CV7" s="80">
        <f t="shared" si="21"/>
        <v>-15375.799999999988</v>
      </c>
      <c r="CW7" s="80">
        <f t="shared" si="22"/>
        <v>0</v>
      </c>
      <c r="CX7" s="80">
        <f t="shared" si="23"/>
        <v>-15375.799999999988</v>
      </c>
      <c r="CY7" s="80">
        <f t="shared" si="24"/>
        <v>-15375.799999999988</v>
      </c>
      <c r="CZ7" s="80">
        <f t="shared" si="25"/>
        <v>0</v>
      </c>
      <c r="DA7" s="80">
        <f t="shared" si="26"/>
        <v>0</v>
      </c>
      <c r="DB7" s="80">
        <f t="shared" si="27"/>
        <v>-15375.799999999988</v>
      </c>
      <c r="DC7" s="80">
        <f t="shared" si="46"/>
        <v>-15375.799999999988</v>
      </c>
      <c r="DD7" s="80">
        <f t="shared" si="28"/>
        <v>0</v>
      </c>
      <c r="DE7" s="80">
        <f t="shared" si="29"/>
        <v>-15375.799999999988</v>
      </c>
      <c r="DF7" s="80">
        <f t="shared" si="30"/>
        <v>141798.2</v>
      </c>
      <c r="DG7" s="80">
        <f t="shared" si="31"/>
        <v>153.390711409396</v>
      </c>
      <c r="DH7" s="80">
        <f t="shared" si="32"/>
        <v>-1.383489932885906</v>
      </c>
      <c r="DI7" s="80">
        <f t="shared" si="33"/>
        <v>190.3331543624161</v>
      </c>
      <c r="DJ7" s="81">
        <f t="shared" si="34"/>
        <v>0</v>
      </c>
      <c r="DK7" s="76">
        <f t="shared" si="35"/>
        <v>-20.63865771812079</v>
      </c>
      <c r="DL7" s="145">
        <f t="shared" si="49"/>
        <v>114276.08</v>
      </c>
      <c r="DM7" s="64"/>
      <c r="DN7" s="65"/>
    </row>
    <row r="8" spans="1:118" ht="12.75">
      <c r="A8" s="51" t="s">
        <v>3</v>
      </c>
      <c r="B8" s="46">
        <v>644</v>
      </c>
      <c r="C8" s="38">
        <v>1755067</v>
      </c>
      <c r="D8" s="39">
        <v>2725.26</v>
      </c>
      <c r="E8" s="39">
        <v>76.25</v>
      </c>
      <c r="F8" s="126">
        <v>4</v>
      </c>
      <c r="G8" s="132">
        <v>16596.95</v>
      </c>
      <c r="H8" s="42">
        <v>8638.85</v>
      </c>
      <c r="I8" s="42">
        <v>0</v>
      </c>
      <c r="J8" s="42">
        <v>0</v>
      </c>
      <c r="K8" s="42">
        <v>0</v>
      </c>
      <c r="L8" s="42">
        <v>0</v>
      </c>
      <c r="M8" s="43">
        <f t="shared" si="0"/>
        <v>0</v>
      </c>
      <c r="N8" s="42">
        <v>0</v>
      </c>
      <c r="O8" s="42">
        <v>126466.85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0</v>
      </c>
      <c r="X8" s="42">
        <v>0</v>
      </c>
      <c r="Y8" s="43">
        <f t="shared" si="2"/>
        <v>151702.65000000002</v>
      </c>
      <c r="Z8" s="42">
        <v>110768.25</v>
      </c>
      <c r="AA8" s="42">
        <v>10751.15</v>
      </c>
      <c r="AB8" s="42">
        <v>0</v>
      </c>
      <c r="AC8" s="42">
        <v>24851.45</v>
      </c>
      <c r="AD8" s="42">
        <v>0</v>
      </c>
      <c r="AE8" s="43">
        <f t="shared" si="3"/>
        <v>146370.85</v>
      </c>
      <c r="AF8" s="42">
        <v>0</v>
      </c>
      <c r="AG8" s="42">
        <v>2578</v>
      </c>
      <c r="AH8" s="42">
        <v>2472.05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0</v>
      </c>
      <c r="AT8" s="38">
        <v>0</v>
      </c>
      <c r="AU8" s="4">
        <f t="shared" si="5"/>
        <v>148948.85</v>
      </c>
      <c r="AV8" s="38">
        <v>0</v>
      </c>
      <c r="AW8" s="38">
        <v>2753.8</v>
      </c>
      <c r="AX8" s="143">
        <f t="shared" si="6"/>
        <v>1.7280399333685637E-11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3">
        <f t="shared" si="7"/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f t="shared" si="8"/>
        <v>0</v>
      </c>
      <c r="BP8" s="42">
        <v>0</v>
      </c>
      <c r="BQ8" s="42">
        <v>0</v>
      </c>
      <c r="BR8" s="42">
        <v>0</v>
      </c>
      <c r="BS8" s="43">
        <f t="shared" si="9"/>
        <v>0</v>
      </c>
      <c r="BT8" s="38">
        <v>290810.57</v>
      </c>
      <c r="BU8" s="38"/>
      <c r="BV8" s="38"/>
      <c r="BW8" s="38">
        <v>0</v>
      </c>
      <c r="BX8" s="4">
        <f t="shared" si="10"/>
        <v>290810.57</v>
      </c>
      <c r="BY8" s="38">
        <v>96394</v>
      </c>
      <c r="BZ8" s="38">
        <v>0</v>
      </c>
      <c r="CA8" s="38">
        <f>197170.37-2753.8</f>
        <v>194416.57</v>
      </c>
      <c r="CB8" s="143">
        <f t="shared" si="11"/>
        <v>290810.57</v>
      </c>
      <c r="CC8" s="4">
        <f t="shared" si="12"/>
        <v>0</v>
      </c>
      <c r="CD8" s="74">
        <f t="shared" si="13"/>
        <v>-2753.8</v>
      </c>
      <c r="CE8" s="76">
        <f t="shared" si="14"/>
        <v>-2753.8</v>
      </c>
      <c r="CF8" s="76">
        <f t="shared" si="15"/>
        <v>0</v>
      </c>
      <c r="CG8" s="76">
        <f t="shared" si="16"/>
        <v>148948.85</v>
      </c>
      <c r="CH8" s="76">
        <f t="shared" si="17"/>
        <v>-105.94999999999982</v>
      </c>
      <c r="CI8" s="37">
        <f t="shared" si="18"/>
        <v>-105.94999999999982</v>
      </c>
      <c r="CJ8" s="59" t="str">
        <f t="shared" si="36"/>
        <v>-</v>
      </c>
      <c r="CK8" s="59" t="str">
        <f t="shared" si="37"/>
        <v>-</v>
      </c>
      <c r="CL8" s="141">
        <f t="shared" si="38"/>
        <v>-0.018488225991674323</v>
      </c>
      <c r="CM8" s="141">
        <f t="shared" si="39"/>
        <v>-0.018488225991674323</v>
      </c>
      <c r="CN8" s="141">
        <f t="shared" si="40"/>
        <v>-0.0007113180128614609</v>
      </c>
      <c r="CO8" s="141">
        <f t="shared" si="41"/>
        <v>-0.0007113180128614609</v>
      </c>
      <c r="CP8" s="141" t="str">
        <f t="shared" si="42"/>
        <v>-</v>
      </c>
      <c r="CQ8" s="141" t="str">
        <f t="shared" si="43"/>
        <v>-</v>
      </c>
      <c r="CR8" s="142">
        <f t="shared" si="44"/>
        <v>-70.59937903987218</v>
      </c>
      <c r="CS8" s="76">
        <f t="shared" si="45"/>
        <v>194416.57</v>
      </c>
      <c r="CT8" s="80">
        <f t="shared" si="19"/>
        <v>151702.65000000002</v>
      </c>
      <c r="CU8" s="80">
        <f t="shared" si="20"/>
        <v>148948.85</v>
      </c>
      <c r="CV8" s="80">
        <f t="shared" si="21"/>
        <v>-2753.8000000000175</v>
      </c>
      <c r="CW8" s="80">
        <f t="shared" si="22"/>
        <v>0</v>
      </c>
      <c r="CX8" s="80">
        <f t="shared" si="23"/>
        <v>-2753.8000000000175</v>
      </c>
      <c r="CY8" s="80">
        <f t="shared" si="24"/>
        <v>-2753.8000000000175</v>
      </c>
      <c r="CZ8" s="80">
        <f t="shared" si="25"/>
        <v>0</v>
      </c>
      <c r="DA8" s="80">
        <f t="shared" si="26"/>
        <v>0</v>
      </c>
      <c r="DB8" s="80">
        <f t="shared" si="27"/>
        <v>-2753.8000000000175</v>
      </c>
      <c r="DC8" s="80">
        <f t="shared" si="46"/>
        <v>-2753.8000000000175</v>
      </c>
      <c r="DD8" s="80">
        <f t="shared" si="28"/>
        <v>0</v>
      </c>
      <c r="DE8" s="80">
        <f t="shared" si="29"/>
        <v>-2753.8000000000175</v>
      </c>
      <c r="DF8" s="80">
        <f t="shared" si="30"/>
        <v>121519.4</v>
      </c>
      <c r="DG8" s="80">
        <f t="shared" si="31"/>
        <v>301.8890838509317</v>
      </c>
      <c r="DH8" s="80">
        <f t="shared" si="32"/>
        <v>-0.16451863354037238</v>
      </c>
      <c r="DI8" s="80">
        <f t="shared" si="33"/>
        <v>188.6947204968944</v>
      </c>
      <c r="DJ8" s="81">
        <f t="shared" si="34"/>
        <v>0</v>
      </c>
      <c r="DK8" s="76">
        <f t="shared" si="35"/>
        <v>-4.276086956521766</v>
      </c>
      <c r="DL8" s="145">
        <f t="shared" si="49"/>
        <v>194416.57</v>
      </c>
      <c r="DM8" s="67"/>
      <c r="DN8" s="68"/>
    </row>
    <row r="9" spans="1:118" ht="12.75">
      <c r="A9" s="52" t="s">
        <v>4</v>
      </c>
      <c r="B9" s="41">
        <v>2717</v>
      </c>
      <c r="C9" s="4">
        <v>10661220</v>
      </c>
      <c r="D9" s="34">
        <v>3923.89</v>
      </c>
      <c r="E9" s="34">
        <v>109.79</v>
      </c>
      <c r="F9" s="8">
        <v>1</v>
      </c>
      <c r="G9" s="131">
        <v>33500.35</v>
      </c>
      <c r="H9" s="43">
        <v>13126.05</v>
      </c>
      <c r="I9" s="43">
        <v>0</v>
      </c>
      <c r="J9" s="43">
        <v>0</v>
      </c>
      <c r="K9" s="43">
        <v>0</v>
      </c>
      <c r="L9" s="43">
        <v>0</v>
      </c>
      <c r="M9" s="43">
        <f t="shared" si="0"/>
        <v>0</v>
      </c>
      <c r="N9" s="43">
        <v>0</v>
      </c>
      <c r="O9" s="43">
        <v>12902.65</v>
      </c>
      <c r="P9" s="43">
        <v>1186858.05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f t="shared" si="1"/>
        <v>0</v>
      </c>
      <c r="X9" s="43">
        <v>0</v>
      </c>
      <c r="Y9" s="43">
        <f t="shared" si="2"/>
        <v>1246387.1</v>
      </c>
      <c r="Z9" s="43">
        <v>369998.35</v>
      </c>
      <c r="AA9" s="43">
        <v>0</v>
      </c>
      <c r="AB9" s="43">
        <v>0</v>
      </c>
      <c r="AC9" s="43">
        <v>104846.9</v>
      </c>
      <c r="AD9" s="43">
        <v>0</v>
      </c>
      <c r="AE9" s="43">
        <f t="shared" si="3"/>
        <v>474845.25</v>
      </c>
      <c r="AF9" s="43">
        <v>0</v>
      </c>
      <c r="AG9" s="43">
        <v>3672.85</v>
      </c>
      <c r="AH9" s="43">
        <v>0</v>
      </c>
      <c r="AI9" s="43">
        <v>609330.6</v>
      </c>
      <c r="AJ9" s="43">
        <v>0</v>
      </c>
      <c r="AK9" s="43">
        <v>10830</v>
      </c>
      <c r="AL9" s="43">
        <v>0</v>
      </c>
      <c r="AM9" s="43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1098678.7</v>
      </c>
      <c r="AV9" s="4">
        <v>0</v>
      </c>
      <c r="AW9" s="4">
        <v>147708.4</v>
      </c>
      <c r="AX9" s="143">
        <f t="shared" si="6"/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f t="shared" si="7"/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f t="shared" si="8"/>
        <v>0</v>
      </c>
      <c r="BP9" s="43">
        <v>0</v>
      </c>
      <c r="BQ9" s="43">
        <v>0</v>
      </c>
      <c r="BR9" s="43">
        <v>0</v>
      </c>
      <c r="BS9" s="148">
        <f t="shared" si="9"/>
        <v>0</v>
      </c>
      <c r="BT9" s="4">
        <v>318771.8</v>
      </c>
      <c r="BU9" s="4">
        <v>1</v>
      </c>
      <c r="BV9" s="4">
        <v>0</v>
      </c>
      <c r="BW9" s="4">
        <v>0</v>
      </c>
      <c r="BX9" s="4">
        <f t="shared" si="10"/>
        <v>318772.8</v>
      </c>
      <c r="BY9" s="4">
        <v>78605.45</v>
      </c>
      <c r="BZ9" s="4">
        <v>0</v>
      </c>
      <c r="CA9" s="4">
        <v>240167.35</v>
      </c>
      <c r="CB9" s="4">
        <f t="shared" si="11"/>
        <v>318772.8</v>
      </c>
      <c r="CC9" s="143">
        <f t="shared" si="12"/>
        <v>0</v>
      </c>
      <c r="CD9" s="74">
        <f t="shared" si="13"/>
        <v>-147708.4</v>
      </c>
      <c r="CE9" s="76">
        <f t="shared" si="14"/>
        <v>-147708.4</v>
      </c>
      <c r="CF9" s="76">
        <f t="shared" si="15"/>
        <v>0</v>
      </c>
      <c r="CG9" s="76">
        <f t="shared" si="16"/>
        <v>1098678.7</v>
      </c>
      <c r="CH9" s="76">
        <f t="shared" si="17"/>
        <v>-3672.85</v>
      </c>
      <c r="CI9" s="37">
        <f t="shared" si="18"/>
        <v>-3672.85</v>
      </c>
      <c r="CJ9" s="59" t="str">
        <f t="shared" si="36"/>
        <v>-</v>
      </c>
      <c r="CK9" s="59" t="str">
        <f t="shared" si="37"/>
        <v>-</v>
      </c>
      <c r="CL9" s="141">
        <f t="shared" si="38"/>
        <v>-0.1344418527454842</v>
      </c>
      <c r="CM9" s="141">
        <f t="shared" si="39"/>
        <v>-0.1344418527454842</v>
      </c>
      <c r="CN9" s="141">
        <f t="shared" si="40"/>
        <v>-0.003342970060309716</v>
      </c>
      <c r="CO9" s="141">
        <f t="shared" si="41"/>
        <v>-0.003342970060309716</v>
      </c>
      <c r="CP9" s="141">
        <f t="shared" si="42"/>
        <v>0</v>
      </c>
      <c r="CQ9" s="141">
        <f t="shared" si="43"/>
        <v>0</v>
      </c>
      <c r="CR9" s="142">
        <f t="shared" si="44"/>
        <v>-1.6259491674136337</v>
      </c>
      <c r="CS9" s="76">
        <f t="shared" si="45"/>
        <v>240166.34999999998</v>
      </c>
      <c r="CT9" s="80">
        <f t="shared" si="19"/>
        <v>1246387.1</v>
      </c>
      <c r="CU9" s="80">
        <f t="shared" si="20"/>
        <v>1098678.7</v>
      </c>
      <c r="CV9" s="80">
        <f t="shared" si="21"/>
        <v>-147708.40000000014</v>
      </c>
      <c r="CW9" s="80">
        <f t="shared" si="22"/>
        <v>0</v>
      </c>
      <c r="CX9" s="80">
        <f t="shared" si="23"/>
        <v>-147708.40000000014</v>
      </c>
      <c r="CY9" s="80">
        <f t="shared" si="24"/>
        <v>-147708.40000000014</v>
      </c>
      <c r="CZ9" s="80">
        <f t="shared" si="25"/>
        <v>0</v>
      </c>
      <c r="DA9" s="80">
        <f t="shared" si="26"/>
        <v>0</v>
      </c>
      <c r="DB9" s="80">
        <f t="shared" si="27"/>
        <v>-147708.40000000014</v>
      </c>
      <c r="DC9" s="80">
        <f t="shared" si="46"/>
        <v>-147708.40000000014</v>
      </c>
      <c r="DD9" s="80">
        <f t="shared" si="28"/>
        <v>0</v>
      </c>
      <c r="DE9" s="80">
        <f t="shared" si="29"/>
        <v>-147708.40000000014</v>
      </c>
      <c r="DF9" s="80">
        <f t="shared" si="30"/>
        <v>369998.35</v>
      </c>
      <c r="DG9" s="80">
        <f t="shared" si="31"/>
        <v>88.39394552815605</v>
      </c>
      <c r="DH9" s="80">
        <f t="shared" si="32"/>
        <v>-1.3518034596981965</v>
      </c>
      <c r="DI9" s="80">
        <f t="shared" si="33"/>
        <v>136.17900257637098</v>
      </c>
      <c r="DJ9" s="81">
        <f t="shared" si="34"/>
        <v>0</v>
      </c>
      <c r="DK9" s="76">
        <f t="shared" si="35"/>
        <v>-54.36451969083553</v>
      </c>
      <c r="DL9" s="145">
        <f t="shared" si="49"/>
        <v>240166.35</v>
      </c>
      <c r="DM9" s="64"/>
      <c r="DN9" s="65"/>
    </row>
    <row r="10" spans="1:118" ht="12.75">
      <c r="A10" s="51" t="s">
        <v>5</v>
      </c>
      <c r="B10" s="46">
        <v>532</v>
      </c>
      <c r="C10" s="38">
        <v>1489699</v>
      </c>
      <c r="D10" s="39">
        <v>2800.19</v>
      </c>
      <c r="E10" s="39">
        <v>78.35</v>
      </c>
      <c r="F10" s="126">
        <v>4</v>
      </c>
      <c r="G10" s="132">
        <v>5336.3</v>
      </c>
      <c r="H10" s="42">
        <v>7518.3</v>
      </c>
      <c r="I10" s="42">
        <v>87</v>
      </c>
      <c r="J10" s="42">
        <v>0</v>
      </c>
      <c r="K10" s="42">
        <v>0</v>
      </c>
      <c r="L10" s="42">
        <v>0</v>
      </c>
      <c r="M10" s="43">
        <f t="shared" si="0"/>
        <v>0</v>
      </c>
      <c r="N10" s="42">
        <v>0</v>
      </c>
      <c r="O10" s="42">
        <v>15.3</v>
      </c>
      <c r="P10" s="42">
        <v>97443.2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3">
        <f t="shared" si="1"/>
        <v>0</v>
      </c>
      <c r="X10" s="42">
        <v>0</v>
      </c>
      <c r="Y10" s="43">
        <f t="shared" si="2"/>
        <v>110400.09999999999</v>
      </c>
      <c r="Z10" s="42">
        <v>69677.95</v>
      </c>
      <c r="AA10" s="42">
        <v>14907.8</v>
      </c>
      <c r="AB10" s="42">
        <v>0</v>
      </c>
      <c r="AC10" s="42">
        <v>20529.45</v>
      </c>
      <c r="AD10" s="42">
        <v>0</v>
      </c>
      <c r="AE10" s="43">
        <f t="shared" si="3"/>
        <v>105115.2</v>
      </c>
      <c r="AF10" s="42">
        <v>0</v>
      </c>
      <c r="AG10" s="42">
        <v>12067.5</v>
      </c>
      <c r="AH10" s="42">
        <v>0</v>
      </c>
      <c r="AI10" s="42">
        <v>18268.2</v>
      </c>
      <c r="AJ10" s="42">
        <v>0</v>
      </c>
      <c r="AK10" s="42">
        <v>0</v>
      </c>
      <c r="AL10" s="42">
        <v>0</v>
      </c>
      <c r="AM10" s="42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4">
        <f t="shared" si="4"/>
        <v>0</v>
      </c>
      <c r="AT10" s="38">
        <v>0</v>
      </c>
      <c r="AU10" s="4">
        <f t="shared" si="5"/>
        <v>135450.90000000002</v>
      </c>
      <c r="AV10" s="38">
        <v>25050.8</v>
      </c>
      <c r="AW10" s="38">
        <v>0</v>
      </c>
      <c r="AX10" s="143">
        <f t="shared" si="6"/>
        <v>-3.2741809263825417E-11</v>
      </c>
      <c r="AY10" s="42">
        <v>1388.4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3">
        <f t="shared" si="7"/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8"/>
        <v>0</v>
      </c>
      <c r="BP10" s="42">
        <v>0</v>
      </c>
      <c r="BQ10" s="42">
        <v>0</v>
      </c>
      <c r="BR10" s="42">
        <v>0</v>
      </c>
      <c r="BS10" s="43">
        <f t="shared" si="9"/>
        <v>0</v>
      </c>
      <c r="BT10" s="38">
        <v>312832.67</v>
      </c>
      <c r="BU10" s="38">
        <v>0</v>
      </c>
      <c r="BV10" s="38">
        <v>0</v>
      </c>
      <c r="BW10" s="38">
        <v>0</v>
      </c>
      <c r="BX10" s="4">
        <f t="shared" si="10"/>
        <v>312832.67</v>
      </c>
      <c r="BY10" s="38">
        <v>57770.45</v>
      </c>
      <c r="BZ10" s="38">
        <v>0</v>
      </c>
      <c r="CA10" s="38">
        <v>255062.22</v>
      </c>
      <c r="CB10" s="4">
        <f t="shared" si="11"/>
        <v>312832.67</v>
      </c>
      <c r="CC10" s="143">
        <f t="shared" si="12"/>
        <v>0</v>
      </c>
      <c r="CD10" s="74">
        <f t="shared" si="13"/>
        <v>25050.8</v>
      </c>
      <c r="CE10" s="76">
        <f t="shared" si="14"/>
        <v>25050.8</v>
      </c>
      <c r="CF10" s="76">
        <f t="shared" si="15"/>
        <v>0</v>
      </c>
      <c r="CG10" s="76">
        <f t="shared" si="16"/>
        <v>135450.90000000002</v>
      </c>
      <c r="CH10" s="76">
        <f t="shared" si="17"/>
        <v>-10592.1</v>
      </c>
      <c r="CI10" s="37">
        <f t="shared" si="18"/>
        <v>-10592.1</v>
      </c>
      <c r="CJ10" s="59" t="str">
        <f t="shared" si="36"/>
        <v>-</v>
      </c>
      <c r="CK10" s="59" t="str">
        <f t="shared" si="37"/>
        <v>-</v>
      </c>
      <c r="CL10" s="141">
        <f t="shared" si="38"/>
        <v>0.184943769292046</v>
      </c>
      <c r="CM10" s="141">
        <f t="shared" si="39"/>
        <v>0.184943769292046</v>
      </c>
      <c r="CN10" s="141">
        <f t="shared" si="40"/>
        <v>-0.07819881595471126</v>
      </c>
      <c r="CO10" s="141">
        <f t="shared" si="41"/>
        <v>-0.07819881595471126</v>
      </c>
      <c r="CP10" s="141" t="str">
        <f t="shared" si="42"/>
        <v>-</v>
      </c>
      <c r="CQ10" s="141" t="str">
        <f t="shared" si="43"/>
        <v>-</v>
      </c>
      <c r="CR10" s="142">
        <f t="shared" si="44"/>
        <v>10.181799383652418</v>
      </c>
      <c r="CS10" s="76">
        <f t="shared" si="45"/>
        <v>255062.21999999997</v>
      </c>
      <c r="CT10" s="80">
        <f t="shared" si="19"/>
        <v>110400.09999999999</v>
      </c>
      <c r="CU10" s="80">
        <f t="shared" si="20"/>
        <v>135450.90000000002</v>
      </c>
      <c r="CV10" s="80">
        <f t="shared" si="21"/>
        <v>25050.800000000032</v>
      </c>
      <c r="CW10" s="80">
        <f t="shared" si="22"/>
        <v>0</v>
      </c>
      <c r="CX10" s="80">
        <f t="shared" si="23"/>
        <v>25050.800000000032</v>
      </c>
      <c r="CY10" s="80">
        <f t="shared" si="24"/>
        <v>25050.800000000032</v>
      </c>
      <c r="CZ10" s="80">
        <f t="shared" si="25"/>
        <v>0</v>
      </c>
      <c r="DA10" s="80">
        <f t="shared" si="26"/>
        <v>0</v>
      </c>
      <c r="DB10" s="80">
        <f t="shared" si="27"/>
        <v>25050.800000000032</v>
      </c>
      <c r="DC10" s="80">
        <f t="shared" si="46"/>
        <v>25050.800000000032</v>
      </c>
      <c r="DD10" s="80">
        <f t="shared" si="28"/>
        <v>0</v>
      </c>
      <c r="DE10" s="80">
        <f t="shared" si="29"/>
        <v>25050.800000000032</v>
      </c>
      <c r="DF10" s="80">
        <f t="shared" si="30"/>
        <v>84585.75</v>
      </c>
      <c r="DG10" s="80">
        <f t="shared" si="31"/>
        <v>479.44026315789466</v>
      </c>
      <c r="DH10" s="80">
        <f t="shared" si="32"/>
        <v>-19.909962406015037</v>
      </c>
      <c r="DI10" s="80">
        <f t="shared" si="33"/>
        <v>158.99577067669173</v>
      </c>
      <c r="DJ10" s="81">
        <f t="shared" si="34"/>
        <v>0</v>
      </c>
      <c r="DK10" s="76">
        <f t="shared" si="35"/>
        <v>47.08796992481209</v>
      </c>
      <c r="DL10" s="145">
        <f t="shared" si="49"/>
        <v>255062.22</v>
      </c>
      <c r="DM10" s="67"/>
      <c r="DN10" s="68"/>
    </row>
    <row r="11" spans="1:118" ht="12.75">
      <c r="A11" s="52" t="s">
        <v>6</v>
      </c>
      <c r="B11" s="41">
        <v>5645</v>
      </c>
      <c r="C11" s="4">
        <v>23826845</v>
      </c>
      <c r="D11" s="34">
        <v>4220.88</v>
      </c>
      <c r="E11" s="34">
        <v>118.1</v>
      </c>
      <c r="F11" s="8">
        <v>3</v>
      </c>
      <c r="G11" s="131">
        <f>(G40/($B$11+$B$27)*$B$11)</f>
        <v>350551.3130168575</v>
      </c>
      <c r="H11" s="131">
        <f aca="true" t="shared" si="50" ref="H11:AD11">(H40/($B$11+$B$27)*$B$11)</f>
        <v>88580.08675254452</v>
      </c>
      <c r="I11" s="131">
        <f t="shared" si="50"/>
        <v>3462.3205311704833</v>
      </c>
      <c r="J11" s="131">
        <f t="shared" si="50"/>
        <v>7293.029381361323</v>
      </c>
      <c r="K11" s="131">
        <f t="shared" si="50"/>
        <v>10811.728093193386</v>
      </c>
      <c r="L11" s="131">
        <f t="shared" si="50"/>
        <v>0</v>
      </c>
      <c r="M11" s="43">
        <f t="shared" si="0"/>
        <v>10811.728093193386</v>
      </c>
      <c r="N11" s="131">
        <f t="shared" si="50"/>
        <v>0</v>
      </c>
      <c r="O11" s="131">
        <f t="shared" si="50"/>
        <v>208.68006520356235</v>
      </c>
      <c r="P11" s="131">
        <f t="shared" si="50"/>
        <v>2573929.2388597326</v>
      </c>
      <c r="Q11" s="131">
        <f t="shared" si="50"/>
        <v>0</v>
      </c>
      <c r="R11" s="131">
        <f t="shared" si="50"/>
        <v>224435.43256997454</v>
      </c>
      <c r="S11" s="131">
        <f t="shared" si="50"/>
        <v>0</v>
      </c>
      <c r="T11" s="131">
        <f t="shared" si="50"/>
        <v>0</v>
      </c>
      <c r="U11" s="131">
        <f t="shared" si="50"/>
        <v>0</v>
      </c>
      <c r="V11" s="131">
        <f t="shared" si="50"/>
        <v>0</v>
      </c>
      <c r="W11" s="43">
        <f t="shared" si="1"/>
        <v>224435.43256997454</v>
      </c>
      <c r="X11" s="131">
        <f t="shared" si="50"/>
        <v>114350.93018447836</v>
      </c>
      <c r="Y11" s="43">
        <f t="shared" si="2"/>
        <v>3373622.759454516</v>
      </c>
      <c r="Z11" s="131">
        <f t="shared" si="50"/>
        <v>1158904.5850031807</v>
      </c>
      <c r="AA11" s="131">
        <f t="shared" si="50"/>
        <v>0</v>
      </c>
      <c r="AB11" s="131">
        <f t="shared" si="50"/>
        <v>0</v>
      </c>
      <c r="AC11" s="131">
        <f t="shared" si="50"/>
        <v>217836.13311068702</v>
      </c>
      <c r="AD11" s="131">
        <f t="shared" si="50"/>
        <v>0</v>
      </c>
      <c r="AE11" s="43">
        <f t="shared" si="3"/>
        <v>1376740.7181138676</v>
      </c>
      <c r="AF11" s="131">
        <f>(AF40/($B$11+$B$27)*$B$11)</f>
        <v>0</v>
      </c>
      <c r="AG11" s="131">
        <f aca="true" t="shared" si="51" ref="AG11:CA11">(AG40/($B$11+$B$27)*$B$11)</f>
        <v>43350.19755884224</v>
      </c>
      <c r="AH11" s="131">
        <f t="shared" si="51"/>
        <v>0</v>
      </c>
      <c r="AI11" s="131">
        <f t="shared" si="51"/>
        <v>1639401.5895753817</v>
      </c>
      <c r="AJ11" s="131">
        <f t="shared" si="51"/>
        <v>0</v>
      </c>
      <c r="AK11" s="131">
        <f t="shared" si="51"/>
        <v>18843.77846692112</v>
      </c>
      <c r="AL11" s="131">
        <f t="shared" si="51"/>
        <v>54490.678673664115</v>
      </c>
      <c r="AM11" s="131">
        <f t="shared" si="51"/>
        <v>0</v>
      </c>
      <c r="AN11" s="131">
        <f t="shared" si="51"/>
        <v>0</v>
      </c>
      <c r="AO11" s="131">
        <f t="shared" si="51"/>
        <v>0</v>
      </c>
      <c r="AP11" s="131">
        <f t="shared" si="51"/>
        <v>0</v>
      </c>
      <c r="AQ11" s="131">
        <f t="shared" si="51"/>
        <v>0</v>
      </c>
      <c r="AR11" s="131">
        <f t="shared" si="51"/>
        <v>0</v>
      </c>
      <c r="AS11" s="4">
        <f t="shared" si="4"/>
        <v>0</v>
      </c>
      <c r="AT11" s="131">
        <f t="shared" si="51"/>
        <v>114350.93018447836</v>
      </c>
      <c r="AU11" s="4">
        <f t="shared" si="5"/>
        <v>3247177.8925731545</v>
      </c>
      <c r="AV11" s="131">
        <f t="shared" si="51"/>
        <v>0</v>
      </c>
      <c r="AW11" s="131">
        <f t="shared" si="51"/>
        <v>126444.8668813613</v>
      </c>
      <c r="AX11" s="4">
        <f t="shared" si="6"/>
        <v>3.92901711165905E-10</v>
      </c>
      <c r="AY11" s="131">
        <f t="shared" si="51"/>
        <v>9322.733659351145</v>
      </c>
      <c r="AZ11" s="131">
        <f t="shared" si="51"/>
        <v>0</v>
      </c>
      <c r="BA11" s="131">
        <f t="shared" si="51"/>
        <v>0</v>
      </c>
      <c r="BB11" s="131">
        <f t="shared" si="51"/>
        <v>0</v>
      </c>
      <c r="BC11" s="131">
        <f t="shared" si="51"/>
        <v>0</v>
      </c>
      <c r="BD11" s="131">
        <f t="shared" si="51"/>
        <v>0</v>
      </c>
      <c r="BE11" s="131">
        <f t="shared" si="51"/>
        <v>0</v>
      </c>
      <c r="BF11" s="43">
        <f t="shared" si="7"/>
        <v>0</v>
      </c>
      <c r="BG11" s="131">
        <f t="shared" si="51"/>
        <v>0</v>
      </c>
      <c r="BH11" s="131">
        <f t="shared" si="51"/>
        <v>0</v>
      </c>
      <c r="BI11" s="131">
        <f t="shared" si="51"/>
        <v>0</v>
      </c>
      <c r="BJ11" s="131">
        <f t="shared" si="51"/>
        <v>0</v>
      </c>
      <c r="BK11" s="131">
        <f t="shared" si="51"/>
        <v>0</v>
      </c>
      <c r="BL11" s="131">
        <f t="shared" si="51"/>
        <v>0</v>
      </c>
      <c r="BM11" s="131">
        <f t="shared" si="51"/>
        <v>0</v>
      </c>
      <c r="BN11" s="131">
        <f t="shared" si="51"/>
        <v>0</v>
      </c>
      <c r="BO11" s="43">
        <f t="shared" si="8"/>
        <v>0</v>
      </c>
      <c r="BP11" s="131">
        <f t="shared" si="51"/>
        <v>0</v>
      </c>
      <c r="BQ11" s="131">
        <f t="shared" si="51"/>
        <v>0</v>
      </c>
      <c r="BR11" s="131">
        <f t="shared" si="51"/>
        <v>0</v>
      </c>
      <c r="BS11" s="43">
        <f t="shared" si="9"/>
        <v>0</v>
      </c>
      <c r="BT11" s="131">
        <f t="shared" si="51"/>
        <v>2472952.891905216</v>
      </c>
      <c r="BU11" s="131">
        <f t="shared" si="51"/>
        <v>16217.524809160304</v>
      </c>
      <c r="BV11" s="131">
        <f t="shared" si="51"/>
        <v>0</v>
      </c>
      <c r="BW11" s="131">
        <f t="shared" si="51"/>
        <v>0</v>
      </c>
      <c r="BX11" s="4">
        <f t="shared" si="10"/>
        <v>2489170.4167143763</v>
      </c>
      <c r="BY11" s="131">
        <f t="shared" si="51"/>
        <v>1373950.5009064886</v>
      </c>
      <c r="BZ11" s="131">
        <f t="shared" si="51"/>
        <v>0</v>
      </c>
      <c r="CA11" s="131">
        <f t="shared" si="51"/>
        <v>1115219.9158078881</v>
      </c>
      <c r="CB11" s="4">
        <f t="shared" si="11"/>
        <v>2489170.416714377</v>
      </c>
      <c r="CC11" s="4">
        <f t="shared" si="12"/>
        <v>0</v>
      </c>
      <c r="CD11" s="74">
        <f t="shared" si="13"/>
        <v>-115633.13878816791</v>
      </c>
      <c r="CE11" s="76">
        <f t="shared" si="14"/>
        <v>108802.29378180663</v>
      </c>
      <c r="CF11" s="76">
        <f t="shared" si="15"/>
        <v>0</v>
      </c>
      <c r="CG11" s="76">
        <f>AU11-AM11-AT11-AS11</f>
        <v>3132826.962388676</v>
      </c>
      <c r="CH11" s="76">
        <f t="shared" si="17"/>
        <v>-30565.14336832062</v>
      </c>
      <c r="CI11" s="37">
        <f t="shared" si="18"/>
        <v>-19753.415275127234</v>
      </c>
      <c r="CJ11" s="59" t="str">
        <f t="shared" si="36"/>
        <v>-</v>
      </c>
      <c r="CK11" s="59" t="str">
        <f t="shared" si="37"/>
        <v>-</v>
      </c>
      <c r="CL11" s="141">
        <f t="shared" si="38"/>
        <v>-0.03691015819782191</v>
      </c>
      <c r="CM11" s="141">
        <f t="shared" si="39"/>
        <v>0.03472974890986271</v>
      </c>
      <c r="CN11" s="141">
        <f t="shared" si="40"/>
        <v>-0.009756409701292828</v>
      </c>
      <c r="CO11" s="141">
        <f t="shared" si="41"/>
        <v>-0.006305300456194336</v>
      </c>
      <c r="CP11" s="141">
        <f t="shared" si="42"/>
        <v>0.4000009964112588</v>
      </c>
      <c r="CQ11" s="141">
        <f t="shared" si="43"/>
        <v>0.4000009964112588</v>
      </c>
      <c r="CR11" s="142">
        <f t="shared" si="44"/>
        <v>10.100911964252147</v>
      </c>
      <c r="CS11" s="76">
        <f t="shared" si="45"/>
        <v>1099002.3909987274</v>
      </c>
      <c r="CT11" s="80">
        <f t="shared" si="19"/>
        <v>3362811.031361323</v>
      </c>
      <c r="CU11" s="80">
        <f t="shared" si="20"/>
        <v>3247177.8925731545</v>
      </c>
      <c r="CV11" s="80">
        <f t="shared" si="21"/>
        <v>-115633.13878816832</v>
      </c>
      <c r="CW11" s="80">
        <f t="shared" si="22"/>
        <v>0</v>
      </c>
      <c r="CX11" s="80">
        <f t="shared" si="23"/>
        <v>-115633.13878816832</v>
      </c>
      <c r="CY11" s="80">
        <f t="shared" si="24"/>
        <v>-126444.8668813617</v>
      </c>
      <c r="CZ11" s="80">
        <f t="shared" si="25"/>
        <v>0</v>
      </c>
      <c r="DA11" s="80">
        <f t="shared" si="26"/>
        <v>10811.728093193386</v>
      </c>
      <c r="DB11" s="80">
        <f t="shared" si="27"/>
        <v>-115633.13878816832</v>
      </c>
      <c r="DC11" s="80">
        <f t="shared" si="46"/>
        <v>108802.29378180622</v>
      </c>
      <c r="DD11" s="80">
        <f t="shared" si="28"/>
        <v>-10811.728093193386</v>
      </c>
      <c r="DE11" s="80">
        <f t="shared" si="29"/>
        <v>-126444.8668813617</v>
      </c>
      <c r="DF11" s="80">
        <f t="shared" si="30"/>
        <v>1158904.5850031807</v>
      </c>
      <c r="DG11" s="80">
        <f t="shared" si="31"/>
        <v>194.685986005089</v>
      </c>
      <c r="DH11" s="80">
        <f t="shared" si="32"/>
        <v>-5.414551526717559</v>
      </c>
      <c r="DI11" s="80">
        <f t="shared" si="33"/>
        <v>205.29753498727734</v>
      </c>
      <c r="DJ11" s="81">
        <f t="shared" si="34"/>
        <v>0</v>
      </c>
      <c r="DK11" s="76">
        <f t="shared" si="35"/>
        <v>-20.48416984732831</v>
      </c>
      <c r="DL11" s="145">
        <f t="shared" si="49"/>
        <v>1099002.3909987279</v>
      </c>
      <c r="DM11" s="64"/>
      <c r="DN11" s="65"/>
    </row>
    <row r="12" spans="1:118" ht="12.75">
      <c r="A12" s="51" t="s">
        <v>7</v>
      </c>
      <c r="B12" s="46">
        <v>627</v>
      </c>
      <c r="C12" s="38">
        <v>1753323</v>
      </c>
      <c r="D12" s="39">
        <v>2796.37</v>
      </c>
      <c r="E12" s="39">
        <v>78.24</v>
      </c>
      <c r="F12" s="126">
        <v>3</v>
      </c>
      <c r="G12" s="132">
        <f>(G41/($B$12+$B$14+$B$23)*$B$12)</f>
        <v>12228.854230038023</v>
      </c>
      <c r="H12" s="132">
        <f aca="true" t="shared" si="52" ref="H12:BU12">(H41/($B$12+$B$14+$B$23)*$B$12)</f>
        <v>2700.9872623574142</v>
      </c>
      <c r="I12" s="132">
        <f t="shared" si="52"/>
        <v>0</v>
      </c>
      <c r="J12" s="132">
        <f t="shared" si="52"/>
        <v>0</v>
      </c>
      <c r="K12" s="132">
        <f t="shared" si="52"/>
        <v>0</v>
      </c>
      <c r="L12" s="132">
        <f t="shared" si="52"/>
        <v>0</v>
      </c>
      <c r="M12" s="43">
        <f t="shared" si="0"/>
        <v>0</v>
      </c>
      <c r="N12" s="132">
        <f t="shared" si="52"/>
        <v>0</v>
      </c>
      <c r="O12" s="132">
        <f t="shared" si="52"/>
        <v>0</v>
      </c>
      <c r="P12" s="132">
        <f t="shared" si="52"/>
        <v>193604.7858365019</v>
      </c>
      <c r="Q12" s="132">
        <f t="shared" si="52"/>
        <v>0</v>
      </c>
      <c r="R12" s="132">
        <f t="shared" si="52"/>
        <v>0</v>
      </c>
      <c r="S12" s="132">
        <f t="shared" si="52"/>
        <v>0</v>
      </c>
      <c r="T12" s="132">
        <f t="shared" si="52"/>
        <v>0</v>
      </c>
      <c r="U12" s="132">
        <f t="shared" si="52"/>
        <v>0</v>
      </c>
      <c r="V12" s="132">
        <f t="shared" si="52"/>
        <v>0</v>
      </c>
      <c r="W12" s="43">
        <f t="shared" si="1"/>
        <v>0</v>
      </c>
      <c r="X12" s="132">
        <f t="shared" si="52"/>
        <v>0</v>
      </c>
      <c r="Y12" s="43">
        <f t="shared" si="2"/>
        <v>208534.62732889733</v>
      </c>
      <c r="Z12" s="132">
        <f t="shared" si="52"/>
        <v>58444.83350760456</v>
      </c>
      <c r="AA12" s="132">
        <f t="shared" si="52"/>
        <v>39709.27485741444</v>
      </c>
      <c r="AB12" s="132">
        <f t="shared" si="52"/>
        <v>0</v>
      </c>
      <c r="AC12" s="132">
        <f t="shared" si="52"/>
        <v>24195.435313688213</v>
      </c>
      <c r="AD12" s="132">
        <f t="shared" si="52"/>
        <v>0</v>
      </c>
      <c r="AE12" s="43">
        <f t="shared" si="3"/>
        <v>122349.54367870721</v>
      </c>
      <c r="AF12" s="132">
        <f t="shared" si="52"/>
        <v>0</v>
      </c>
      <c r="AG12" s="132">
        <f t="shared" si="52"/>
        <v>14464.806558935361</v>
      </c>
      <c r="AH12" s="132">
        <f t="shared" si="52"/>
        <v>0</v>
      </c>
      <c r="AI12" s="132">
        <f t="shared" si="52"/>
        <v>73115.7096958175</v>
      </c>
      <c r="AJ12" s="132">
        <f t="shared" si="52"/>
        <v>0</v>
      </c>
      <c r="AK12" s="132">
        <f t="shared" si="52"/>
        <v>0</v>
      </c>
      <c r="AL12" s="132">
        <f t="shared" si="52"/>
        <v>15.824001901140685</v>
      </c>
      <c r="AM12" s="132">
        <f t="shared" si="52"/>
        <v>0</v>
      </c>
      <c r="AN12" s="132">
        <f t="shared" si="52"/>
        <v>0</v>
      </c>
      <c r="AO12" s="132">
        <f t="shared" si="52"/>
        <v>0</v>
      </c>
      <c r="AP12" s="132">
        <f t="shared" si="52"/>
        <v>0</v>
      </c>
      <c r="AQ12" s="132">
        <f t="shared" si="52"/>
        <v>0</v>
      </c>
      <c r="AR12" s="132">
        <f t="shared" si="52"/>
        <v>0</v>
      </c>
      <c r="AS12" s="4">
        <f t="shared" si="4"/>
        <v>0</v>
      </c>
      <c r="AT12" s="132">
        <f t="shared" si="52"/>
        <v>0</v>
      </c>
      <c r="AU12" s="4">
        <f>SUM(Z12:AT12)-AE12-AH12-AS12</f>
        <v>209945.88393536123</v>
      </c>
      <c r="AV12" s="132">
        <f t="shared" si="52"/>
        <v>1411.2566064638784</v>
      </c>
      <c r="AW12" s="132">
        <f t="shared" si="52"/>
        <v>0</v>
      </c>
      <c r="AX12" s="4">
        <f t="shared" si="6"/>
        <v>-1.750777300912887E-11</v>
      </c>
      <c r="AY12" s="132">
        <f t="shared" si="52"/>
        <v>0</v>
      </c>
      <c r="AZ12" s="132">
        <f t="shared" si="52"/>
        <v>0</v>
      </c>
      <c r="BA12" s="132">
        <f t="shared" si="52"/>
        <v>0</v>
      </c>
      <c r="BB12" s="132">
        <f t="shared" si="52"/>
        <v>0</v>
      </c>
      <c r="BC12" s="132">
        <f t="shared" si="52"/>
        <v>0</v>
      </c>
      <c r="BD12" s="132">
        <f t="shared" si="52"/>
        <v>0</v>
      </c>
      <c r="BE12" s="132">
        <f t="shared" si="52"/>
        <v>0</v>
      </c>
      <c r="BF12" s="43">
        <f t="shared" si="7"/>
        <v>0</v>
      </c>
      <c r="BG12" s="132">
        <f t="shared" si="52"/>
        <v>0</v>
      </c>
      <c r="BH12" s="132">
        <f t="shared" si="52"/>
        <v>0</v>
      </c>
      <c r="BI12" s="132">
        <f t="shared" si="52"/>
        <v>0</v>
      </c>
      <c r="BJ12" s="132">
        <f t="shared" si="52"/>
        <v>0</v>
      </c>
      <c r="BK12" s="132">
        <f t="shared" si="52"/>
        <v>0</v>
      </c>
      <c r="BL12" s="132">
        <f t="shared" si="52"/>
        <v>0</v>
      </c>
      <c r="BM12" s="132">
        <f t="shared" si="52"/>
        <v>0</v>
      </c>
      <c r="BN12" s="132">
        <f t="shared" si="52"/>
        <v>0</v>
      </c>
      <c r="BO12" s="43">
        <f t="shared" si="8"/>
        <v>0</v>
      </c>
      <c r="BP12" s="132">
        <f t="shared" si="52"/>
        <v>0</v>
      </c>
      <c r="BQ12" s="132">
        <f t="shared" si="52"/>
        <v>0</v>
      </c>
      <c r="BR12" s="132">
        <f t="shared" si="52"/>
        <v>0</v>
      </c>
      <c r="BS12" s="43">
        <f t="shared" si="9"/>
        <v>0</v>
      </c>
      <c r="BT12" s="132">
        <f t="shared" si="52"/>
        <v>702314.8525950571</v>
      </c>
      <c r="BU12" s="132">
        <f t="shared" si="52"/>
        <v>0.5960076045627376</v>
      </c>
      <c r="BV12" s="132">
        <f aca="true" t="shared" si="53" ref="BV12:CA12">(BV41/($B$12+$B$14+$B$23)*$B$12)</f>
        <v>0</v>
      </c>
      <c r="BW12" s="132">
        <f t="shared" si="53"/>
        <v>0</v>
      </c>
      <c r="BX12" s="4">
        <f t="shared" si="10"/>
        <v>702315.4486026617</v>
      </c>
      <c r="BY12" s="132">
        <f t="shared" si="53"/>
        <v>95379.45456273765</v>
      </c>
      <c r="BZ12" s="132">
        <f t="shared" si="53"/>
        <v>0</v>
      </c>
      <c r="CA12" s="132">
        <f t="shared" si="53"/>
        <v>606935.9940399239</v>
      </c>
      <c r="CB12" s="4">
        <f t="shared" si="11"/>
        <v>702315.4486026615</v>
      </c>
      <c r="CC12" s="4">
        <f t="shared" si="12"/>
        <v>0</v>
      </c>
      <c r="CD12" s="74">
        <f t="shared" si="13"/>
        <v>1411.2566064638784</v>
      </c>
      <c r="CE12" s="76">
        <f t="shared" si="14"/>
        <v>1411.2566064638784</v>
      </c>
      <c r="CF12" s="76">
        <f t="shared" si="15"/>
        <v>0</v>
      </c>
      <c r="CG12" s="76">
        <f aca="true" t="shared" si="54" ref="CG12:CG31">AU12-AM12-AT12-AS12</f>
        <v>209945.88393536123</v>
      </c>
      <c r="CH12" s="76">
        <f>I12-AG12+AY12+AH12+BQ12</f>
        <v>-14464.806558935361</v>
      </c>
      <c r="CI12" s="37">
        <f t="shared" si="18"/>
        <v>-14464.806558935361</v>
      </c>
      <c r="CJ12" s="59" t="str">
        <f t="shared" si="36"/>
        <v>-</v>
      </c>
      <c r="CK12" s="59" t="str">
        <f t="shared" si="37"/>
        <v>-</v>
      </c>
      <c r="CL12" s="141">
        <f t="shared" si="38"/>
        <v>0.00672200178450929</v>
      </c>
      <c r="CM12" s="141">
        <f t="shared" si="39"/>
        <v>0.00672200178450929</v>
      </c>
      <c r="CN12" s="141">
        <f t="shared" si="40"/>
        <v>-0.06889778588557054</v>
      </c>
      <c r="CO12" s="141">
        <f t="shared" si="41"/>
        <v>-0.06889778588557054</v>
      </c>
      <c r="CP12" s="141">
        <f t="shared" si="42"/>
        <v>0</v>
      </c>
      <c r="CQ12" s="141">
        <f t="shared" si="43"/>
        <v>0</v>
      </c>
      <c r="CR12" s="142">
        <f t="shared" si="44"/>
        <v>430.0673564626138</v>
      </c>
      <c r="CS12" s="76">
        <f t="shared" si="45"/>
        <v>606935.3980323195</v>
      </c>
      <c r="CT12" s="80">
        <f t="shared" si="19"/>
        <v>208534.62732889733</v>
      </c>
      <c r="CU12" s="80">
        <f t="shared" si="20"/>
        <v>209945.88393536123</v>
      </c>
      <c r="CV12" s="80">
        <f t="shared" si="21"/>
        <v>1411.2566064638959</v>
      </c>
      <c r="CW12" s="80">
        <f t="shared" si="22"/>
        <v>0</v>
      </c>
      <c r="CX12" s="80">
        <f t="shared" si="23"/>
        <v>1411.2566064638959</v>
      </c>
      <c r="CY12" s="80">
        <f t="shared" si="24"/>
        <v>1411.2566064638959</v>
      </c>
      <c r="CZ12" s="80">
        <f t="shared" si="25"/>
        <v>0</v>
      </c>
      <c r="DA12" s="80">
        <f t="shared" si="26"/>
        <v>0</v>
      </c>
      <c r="DB12" s="80">
        <f t="shared" si="27"/>
        <v>1411.2566064638959</v>
      </c>
      <c r="DC12" s="80">
        <f t="shared" si="46"/>
        <v>1411.2566064638959</v>
      </c>
      <c r="DD12" s="80">
        <f t="shared" si="28"/>
        <v>0</v>
      </c>
      <c r="DE12" s="80">
        <f t="shared" si="29"/>
        <v>1411.2566064638959</v>
      </c>
      <c r="DF12" s="80">
        <f t="shared" si="30"/>
        <v>98154.108365019</v>
      </c>
      <c r="DG12" s="80">
        <f t="shared" si="31"/>
        <v>967.9990399239546</v>
      </c>
      <c r="DH12" s="80">
        <f t="shared" si="32"/>
        <v>-23.06986692015209</v>
      </c>
      <c r="DI12" s="80">
        <f t="shared" si="33"/>
        <v>156.54562737642584</v>
      </c>
      <c r="DJ12" s="81">
        <f t="shared" si="34"/>
        <v>0</v>
      </c>
      <c r="DK12" s="76">
        <f t="shared" si="35"/>
        <v>2.2508079847909026</v>
      </c>
      <c r="DL12" s="145">
        <f t="shared" si="49"/>
        <v>606935.3980323193</v>
      </c>
      <c r="DM12" s="67"/>
      <c r="DN12" s="68"/>
    </row>
    <row r="13" spans="1:118" ht="12.75">
      <c r="A13" s="52" t="s">
        <v>8</v>
      </c>
      <c r="B13" s="41">
        <v>345</v>
      </c>
      <c r="C13" s="4">
        <v>839918</v>
      </c>
      <c r="D13" s="34">
        <v>2434.55</v>
      </c>
      <c r="E13" s="34">
        <v>68.12</v>
      </c>
      <c r="F13" s="8">
        <v>4</v>
      </c>
      <c r="G13" s="131">
        <f>505.7+9167.3+447</f>
        <v>10120</v>
      </c>
      <c r="H13" s="43">
        <f>91.55+272.75+142.4+423</f>
        <v>929.7</v>
      </c>
      <c r="I13" s="43">
        <v>0</v>
      </c>
      <c r="J13" s="43">
        <v>0</v>
      </c>
      <c r="K13" s="43">
        <v>0</v>
      </c>
      <c r="L13" s="43">
        <v>0</v>
      </c>
      <c r="M13" s="43">
        <f t="shared" si="0"/>
        <v>0</v>
      </c>
      <c r="N13" s="43">
        <v>0</v>
      </c>
      <c r="O13" s="43">
        <v>0</v>
      </c>
      <c r="P13" s="43">
        <f>4269.15+903.65+511.5+1109.2+28283.05+220+109513.6+22237.4+1834.5</f>
        <v>168882.05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0</v>
      </c>
      <c r="X13" s="43">
        <v>0</v>
      </c>
      <c r="Y13" s="43">
        <f t="shared" si="2"/>
        <v>179931.75</v>
      </c>
      <c r="Z13" s="43">
        <f>14724.9+29999.7+3561.25</f>
        <v>48285.85</v>
      </c>
      <c r="AA13" s="43">
        <v>0</v>
      </c>
      <c r="AB13" s="43">
        <v>0</v>
      </c>
      <c r="AC13" s="43">
        <v>13313.3</v>
      </c>
      <c r="AD13" s="43">
        <v>0</v>
      </c>
      <c r="AE13" s="43">
        <f t="shared" si="3"/>
        <v>61599.149999999994</v>
      </c>
      <c r="AF13" s="43">
        <v>0</v>
      </c>
      <c r="AG13" s="43">
        <f>29.65+500</f>
        <v>529.65</v>
      </c>
      <c r="AH13" s="43">
        <v>0</v>
      </c>
      <c r="AI13" s="43">
        <f>49062.6</f>
        <v>49062.6</v>
      </c>
      <c r="AJ13" s="43">
        <v>0</v>
      </c>
      <c r="AK13" s="43">
        <v>0</v>
      </c>
      <c r="AL13" s="43">
        <v>0</v>
      </c>
      <c r="AM13" s="43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111191.4</v>
      </c>
      <c r="AV13" s="4">
        <v>0</v>
      </c>
      <c r="AW13" s="4">
        <v>68740.35</v>
      </c>
      <c r="AX13" s="143">
        <f t="shared" si="6"/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f t="shared" si="7"/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f t="shared" si="8"/>
        <v>0</v>
      </c>
      <c r="BP13" s="43">
        <v>0</v>
      </c>
      <c r="BQ13" s="43">
        <v>0</v>
      </c>
      <c r="BR13" s="43">
        <v>0</v>
      </c>
      <c r="BS13" s="43">
        <f t="shared" si="9"/>
        <v>0</v>
      </c>
      <c r="BT13" s="4">
        <f>95539.37-29400.65-9800.2</f>
        <v>56338.520000000004</v>
      </c>
      <c r="BU13" s="4">
        <v>0</v>
      </c>
      <c r="BV13" s="4">
        <v>0</v>
      </c>
      <c r="BW13" s="4">
        <v>0</v>
      </c>
      <c r="BX13" s="4">
        <f t="shared" si="10"/>
        <v>56338.520000000004</v>
      </c>
      <c r="BY13" s="4">
        <v>47385.69</v>
      </c>
      <c r="BZ13" s="4">
        <v>0</v>
      </c>
      <c r="CA13" s="4">
        <f>48153.68-29400.65-9800.2</f>
        <v>8952.829999999998</v>
      </c>
      <c r="CB13" s="4">
        <f t="shared" si="11"/>
        <v>56338.520000000004</v>
      </c>
      <c r="CC13" s="149">
        <f t="shared" si="12"/>
        <v>0</v>
      </c>
      <c r="CD13" s="74">
        <f t="shared" si="13"/>
        <v>-68740.35</v>
      </c>
      <c r="CE13" s="76">
        <f t="shared" si="14"/>
        <v>-68740.35</v>
      </c>
      <c r="CF13" s="76">
        <f t="shared" si="15"/>
        <v>0</v>
      </c>
      <c r="CG13" s="76">
        <f t="shared" si="54"/>
        <v>111191.4</v>
      </c>
      <c r="CH13" s="76">
        <f t="shared" si="17"/>
        <v>-529.65</v>
      </c>
      <c r="CI13" s="37">
        <f t="shared" si="18"/>
        <v>-529.65</v>
      </c>
      <c r="CJ13" s="59" t="str">
        <f t="shared" si="36"/>
        <v>-</v>
      </c>
      <c r="CK13" s="59" t="str">
        <f t="shared" si="37"/>
        <v>-</v>
      </c>
      <c r="CL13" s="141">
        <f t="shared" si="38"/>
        <v>-0.6182164268099872</v>
      </c>
      <c r="CM13" s="141">
        <f t="shared" si="39"/>
        <v>-0.6182164268099872</v>
      </c>
      <c r="CN13" s="141">
        <f t="shared" si="40"/>
        <v>-0.0047634079614070875</v>
      </c>
      <c r="CO13" s="141">
        <f t="shared" si="41"/>
        <v>-0.0047634079614070875</v>
      </c>
      <c r="CP13" s="141" t="str">
        <f t="shared" si="42"/>
        <v>-</v>
      </c>
      <c r="CQ13" s="141" t="str">
        <f t="shared" si="43"/>
        <v>-</v>
      </c>
      <c r="CR13" s="142">
        <f t="shared" si="44"/>
        <v>-0.13024126295545485</v>
      </c>
      <c r="CS13" s="76">
        <f t="shared" si="45"/>
        <v>8952.830000000002</v>
      </c>
      <c r="CT13" s="80">
        <f t="shared" si="19"/>
        <v>179931.75</v>
      </c>
      <c r="CU13" s="80">
        <f t="shared" si="20"/>
        <v>111191.4</v>
      </c>
      <c r="CV13" s="80">
        <f t="shared" si="21"/>
        <v>-68740.35</v>
      </c>
      <c r="CW13" s="80">
        <f t="shared" si="22"/>
        <v>0</v>
      </c>
      <c r="CX13" s="80">
        <f t="shared" si="23"/>
        <v>-68740.35</v>
      </c>
      <c r="CY13" s="80">
        <f t="shared" si="24"/>
        <v>-68740.35</v>
      </c>
      <c r="CZ13" s="80">
        <f t="shared" si="25"/>
        <v>0</v>
      </c>
      <c r="DA13" s="80">
        <f t="shared" si="26"/>
        <v>0</v>
      </c>
      <c r="DB13" s="80">
        <f t="shared" si="27"/>
        <v>-68740.35</v>
      </c>
      <c r="DC13" s="80">
        <f t="shared" si="46"/>
        <v>-68740.35</v>
      </c>
      <c r="DD13" s="80">
        <f t="shared" si="28"/>
        <v>0</v>
      </c>
      <c r="DE13" s="80">
        <f t="shared" si="29"/>
        <v>-68740.35</v>
      </c>
      <c r="DF13" s="80">
        <f t="shared" si="30"/>
        <v>48285.85</v>
      </c>
      <c r="DG13" s="80">
        <f t="shared" si="31"/>
        <v>25.950231884057978</v>
      </c>
      <c r="DH13" s="80">
        <f t="shared" si="32"/>
        <v>-1.5352173913043479</v>
      </c>
      <c r="DI13" s="80">
        <f t="shared" si="33"/>
        <v>139.95898550724638</v>
      </c>
      <c r="DJ13" s="81">
        <f t="shared" si="34"/>
        <v>0</v>
      </c>
      <c r="DK13" s="76">
        <f t="shared" si="35"/>
        <v>-199.24739130434784</v>
      </c>
      <c r="DL13" s="145">
        <f t="shared" si="49"/>
        <v>8952.829999999998</v>
      </c>
      <c r="DM13" s="64"/>
      <c r="DN13" s="65"/>
    </row>
    <row r="14" spans="1:118" ht="12.75">
      <c r="A14" s="51" t="s">
        <v>33</v>
      </c>
      <c r="B14" s="46">
        <v>181</v>
      </c>
      <c r="C14" s="38">
        <v>480365</v>
      </c>
      <c r="D14" s="39">
        <v>2653.95</v>
      </c>
      <c r="E14" s="39">
        <v>74.26</v>
      </c>
      <c r="F14" s="126">
        <v>3</v>
      </c>
      <c r="G14" s="132">
        <f>(G41/($B$12+$B$14+$B$23)*$B$14)</f>
        <v>3530.17961026616</v>
      </c>
      <c r="H14" s="132">
        <f aca="true" t="shared" si="55" ref="H14:BU14">(H41/($B$12+$B$14+$B$23)*$B$14)</f>
        <v>779.7108365019011</v>
      </c>
      <c r="I14" s="132">
        <f t="shared" si="55"/>
        <v>0</v>
      </c>
      <c r="J14" s="132">
        <f t="shared" si="55"/>
        <v>0</v>
      </c>
      <c r="K14" s="132">
        <f t="shared" si="55"/>
        <v>0</v>
      </c>
      <c r="L14" s="132">
        <f t="shared" si="55"/>
        <v>0</v>
      </c>
      <c r="M14" s="43">
        <f t="shared" si="0"/>
        <v>0</v>
      </c>
      <c r="N14" s="132">
        <f t="shared" si="55"/>
        <v>0</v>
      </c>
      <c r="O14" s="132">
        <f t="shared" si="55"/>
        <v>0</v>
      </c>
      <c r="P14" s="132">
        <f t="shared" si="55"/>
        <v>55889.1008555133</v>
      </c>
      <c r="Q14" s="132">
        <f t="shared" si="55"/>
        <v>0</v>
      </c>
      <c r="R14" s="132">
        <f t="shared" si="55"/>
        <v>0</v>
      </c>
      <c r="S14" s="132">
        <f t="shared" si="55"/>
        <v>0</v>
      </c>
      <c r="T14" s="132">
        <f t="shared" si="55"/>
        <v>0</v>
      </c>
      <c r="U14" s="132">
        <f t="shared" si="55"/>
        <v>0</v>
      </c>
      <c r="V14" s="132">
        <f t="shared" si="55"/>
        <v>0</v>
      </c>
      <c r="W14" s="43">
        <f t="shared" si="1"/>
        <v>0</v>
      </c>
      <c r="X14" s="132">
        <f t="shared" si="55"/>
        <v>0</v>
      </c>
      <c r="Y14" s="43">
        <f t="shared" si="2"/>
        <v>60198.99130228136</v>
      </c>
      <c r="Z14" s="132">
        <f t="shared" si="55"/>
        <v>16871.63455323194</v>
      </c>
      <c r="AA14" s="132">
        <f t="shared" si="55"/>
        <v>11463.12400190114</v>
      </c>
      <c r="AB14" s="132">
        <f t="shared" si="55"/>
        <v>0</v>
      </c>
      <c r="AC14" s="132">
        <f t="shared" si="55"/>
        <v>6984.647195817491</v>
      </c>
      <c r="AD14" s="132">
        <f t="shared" si="55"/>
        <v>0</v>
      </c>
      <c r="AE14" s="43">
        <f t="shared" si="3"/>
        <v>35319.405750950566</v>
      </c>
      <c r="AF14" s="132">
        <f t="shared" si="55"/>
        <v>0</v>
      </c>
      <c r="AG14" s="132">
        <f t="shared" si="55"/>
        <v>4175.6459125475285</v>
      </c>
      <c r="AH14" s="132">
        <f t="shared" si="55"/>
        <v>0</v>
      </c>
      <c r="AI14" s="132">
        <f t="shared" si="55"/>
        <v>21106.767870722433</v>
      </c>
      <c r="AJ14" s="132">
        <f t="shared" si="55"/>
        <v>0</v>
      </c>
      <c r="AK14" s="132">
        <f t="shared" si="55"/>
        <v>0</v>
      </c>
      <c r="AL14" s="132">
        <f t="shared" si="55"/>
        <v>4.568013307984791</v>
      </c>
      <c r="AM14" s="132">
        <f t="shared" si="55"/>
        <v>0</v>
      </c>
      <c r="AN14" s="132">
        <f t="shared" si="55"/>
        <v>0</v>
      </c>
      <c r="AO14" s="132">
        <f t="shared" si="55"/>
        <v>0</v>
      </c>
      <c r="AP14" s="132">
        <f t="shared" si="55"/>
        <v>0</v>
      </c>
      <c r="AQ14" s="132">
        <f t="shared" si="55"/>
        <v>0</v>
      </c>
      <c r="AR14" s="132">
        <f t="shared" si="55"/>
        <v>0</v>
      </c>
      <c r="AS14" s="4">
        <f t="shared" si="4"/>
        <v>0</v>
      </c>
      <c r="AT14" s="132">
        <f t="shared" si="55"/>
        <v>0</v>
      </c>
      <c r="AU14" s="4">
        <f t="shared" si="5"/>
        <v>60606.38754752852</v>
      </c>
      <c r="AV14" s="132">
        <f t="shared" si="55"/>
        <v>407.39624524714833</v>
      </c>
      <c r="AW14" s="132">
        <f t="shared" si="55"/>
        <v>0</v>
      </c>
      <c r="AX14" s="4">
        <f t="shared" si="6"/>
        <v>-4.945377440890297E-12</v>
      </c>
      <c r="AY14" s="132">
        <f t="shared" si="55"/>
        <v>0</v>
      </c>
      <c r="AZ14" s="132">
        <f t="shared" si="55"/>
        <v>0</v>
      </c>
      <c r="BA14" s="132">
        <f t="shared" si="55"/>
        <v>0</v>
      </c>
      <c r="BB14" s="132">
        <f t="shared" si="55"/>
        <v>0</v>
      </c>
      <c r="BC14" s="132">
        <f t="shared" si="55"/>
        <v>0</v>
      </c>
      <c r="BD14" s="132">
        <f t="shared" si="55"/>
        <v>0</v>
      </c>
      <c r="BE14" s="132">
        <f t="shared" si="55"/>
        <v>0</v>
      </c>
      <c r="BF14" s="43">
        <f t="shared" si="7"/>
        <v>0</v>
      </c>
      <c r="BG14" s="132">
        <f t="shared" si="55"/>
        <v>0</v>
      </c>
      <c r="BH14" s="132">
        <f t="shared" si="55"/>
        <v>0</v>
      </c>
      <c r="BI14" s="132">
        <f t="shared" si="55"/>
        <v>0</v>
      </c>
      <c r="BJ14" s="132">
        <f t="shared" si="55"/>
        <v>0</v>
      </c>
      <c r="BK14" s="132">
        <f t="shared" si="55"/>
        <v>0</v>
      </c>
      <c r="BL14" s="132">
        <f t="shared" si="55"/>
        <v>0</v>
      </c>
      <c r="BM14" s="132">
        <f t="shared" si="55"/>
        <v>0</v>
      </c>
      <c r="BN14" s="132">
        <f t="shared" si="55"/>
        <v>0</v>
      </c>
      <c r="BO14" s="43">
        <f t="shared" si="8"/>
        <v>0</v>
      </c>
      <c r="BP14" s="132">
        <f t="shared" si="55"/>
        <v>0</v>
      </c>
      <c r="BQ14" s="132">
        <f t="shared" si="55"/>
        <v>0</v>
      </c>
      <c r="BR14" s="132">
        <f t="shared" si="55"/>
        <v>0</v>
      </c>
      <c r="BS14" s="43">
        <f t="shared" si="9"/>
        <v>0</v>
      </c>
      <c r="BT14" s="132">
        <f t="shared" si="55"/>
        <v>202741.60816539926</v>
      </c>
      <c r="BU14" s="132">
        <f t="shared" si="55"/>
        <v>0.1720532319391635</v>
      </c>
      <c r="BV14" s="132">
        <f aca="true" t="shared" si="56" ref="BV14:CA14">(BV41/($B$12+$B$14+$B$23)*$B$14)</f>
        <v>0</v>
      </c>
      <c r="BW14" s="132">
        <f t="shared" si="56"/>
        <v>0</v>
      </c>
      <c r="BX14" s="4">
        <f t="shared" si="10"/>
        <v>202741.7802186312</v>
      </c>
      <c r="BY14" s="132">
        <f t="shared" si="56"/>
        <v>27533.7819391635</v>
      </c>
      <c r="BZ14" s="132">
        <f t="shared" si="56"/>
        <v>0</v>
      </c>
      <c r="CA14" s="132">
        <f t="shared" si="56"/>
        <v>175207.99827946766</v>
      </c>
      <c r="CB14" s="4">
        <f t="shared" si="11"/>
        <v>202741.78021863115</v>
      </c>
      <c r="CC14" s="4">
        <f t="shared" si="12"/>
        <v>0</v>
      </c>
      <c r="CD14" s="74">
        <f t="shared" si="13"/>
        <v>407.39624524714833</v>
      </c>
      <c r="CE14" s="76">
        <f t="shared" si="14"/>
        <v>407.39624524714833</v>
      </c>
      <c r="CF14" s="76">
        <f t="shared" si="15"/>
        <v>0</v>
      </c>
      <c r="CG14" s="76">
        <f t="shared" si="54"/>
        <v>60606.38754752852</v>
      </c>
      <c r="CH14" s="76">
        <f t="shared" si="17"/>
        <v>-4175.6459125475285</v>
      </c>
      <c r="CI14" s="37">
        <f t="shared" si="18"/>
        <v>-4175.6459125475285</v>
      </c>
      <c r="CJ14" s="59" t="str">
        <f t="shared" si="36"/>
        <v>-</v>
      </c>
      <c r="CK14" s="59" t="str">
        <f t="shared" si="37"/>
        <v>-</v>
      </c>
      <c r="CL14" s="141">
        <f t="shared" si="38"/>
        <v>0.006722001784509291</v>
      </c>
      <c r="CM14" s="141">
        <f t="shared" si="39"/>
        <v>0.006722001784509291</v>
      </c>
      <c r="CN14" s="141">
        <f t="shared" si="40"/>
        <v>-0.06889778588557054</v>
      </c>
      <c r="CO14" s="141">
        <f t="shared" si="41"/>
        <v>-0.06889778588557054</v>
      </c>
      <c r="CP14" s="141">
        <f t="shared" si="42"/>
        <v>0</v>
      </c>
      <c r="CQ14" s="141">
        <f t="shared" si="43"/>
        <v>0</v>
      </c>
      <c r="CR14" s="142">
        <f t="shared" si="44"/>
        <v>430.0673564626138</v>
      </c>
      <c r="CS14" s="76">
        <f t="shared" si="45"/>
        <v>175207.82622623577</v>
      </c>
      <c r="CT14" s="80">
        <f t="shared" si="19"/>
        <v>60198.99130228136</v>
      </c>
      <c r="CU14" s="80">
        <f t="shared" si="20"/>
        <v>60606.38754752852</v>
      </c>
      <c r="CV14" s="80">
        <f t="shared" si="21"/>
        <v>407.3962452471533</v>
      </c>
      <c r="CW14" s="80">
        <f t="shared" si="22"/>
        <v>0</v>
      </c>
      <c r="CX14" s="80">
        <f t="shared" si="23"/>
        <v>407.3962452471533</v>
      </c>
      <c r="CY14" s="80">
        <f t="shared" si="24"/>
        <v>407.3962452471533</v>
      </c>
      <c r="CZ14" s="80">
        <f t="shared" si="25"/>
        <v>0</v>
      </c>
      <c r="DA14" s="80">
        <f t="shared" si="26"/>
        <v>0</v>
      </c>
      <c r="DB14" s="80">
        <f t="shared" si="27"/>
        <v>407.3962452471533</v>
      </c>
      <c r="DC14" s="80">
        <f t="shared" si="46"/>
        <v>407.3962452471533</v>
      </c>
      <c r="DD14" s="80">
        <f t="shared" si="28"/>
        <v>0</v>
      </c>
      <c r="DE14" s="80">
        <f t="shared" si="29"/>
        <v>407.3962452471533</v>
      </c>
      <c r="DF14" s="80">
        <f t="shared" si="30"/>
        <v>28334.758555133078</v>
      </c>
      <c r="DG14" s="80">
        <f t="shared" si="31"/>
        <v>967.9990399239546</v>
      </c>
      <c r="DH14" s="80">
        <f t="shared" si="32"/>
        <v>-23.06986692015209</v>
      </c>
      <c r="DI14" s="80">
        <f t="shared" si="33"/>
        <v>156.54562737642584</v>
      </c>
      <c r="DJ14" s="81">
        <f t="shared" si="34"/>
        <v>0</v>
      </c>
      <c r="DK14" s="76">
        <f t="shared" si="35"/>
        <v>2.250807984790902</v>
      </c>
      <c r="DL14" s="145">
        <f t="shared" si="49"/>
        <v>175207.82622623572</v>
      </c>
      <c r="DM14" s="67"/>
      <c r="DN14" s="68"/>
    </row>
    <row r="15" spans="1:118" ht="12.75">
      <c r="A15" s="52" t="s">
        <v>9</v>
      </c>
      <c r="B15" s="41">
        <v>1145</v>
      </c>
      <c r="C15" s="4">
        <v>3292694</v>
      </c>
      <c r="D15" s="34">
        <v>2875.72</v>
      </c>
      <c r="E15" s="34">
        <v>80.46</v>
      </c>
      <c r="F15" s="8">
        <v>6</v>
      </c>
      <c r="G15" s="131">
        <v>21585.6</v>
      </c>
      <c r="H15" s="43">
        <v>10686.95</v>
      </c>
      <c r="I15" s="43">
        <v>2484.05</v>
      </c>
      <c r="J15" s="43">
        <v>0</v>
      </c>
      <c r="K15" s="43">
        <v>20000</v>
      </c>
      <c r="L15" s="43">
        <v>50000</v>
      </c>
      <c r="M15" s="43">
        <f t="shared" si="0"/>
        <v>70000</v>
      </c>
      <c r="N15" s="43">
        <v>0</v>
      </c>
      <c r="O15" s="43">
        <v>12213.65</v>
      </c>
      <c r="P15" s="43">
        <v>341647.9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f>SUM(R15:V15)</f>
        <v>0</v>
      </c>
      <c r="X15" s="43">
        <v>0</v>
      </c>
      <c r="Y15" s="43">
        <f>SUM(G15:X15)-M15-W15</f>
        <v>458618.15</v>
      </c>
      <c r="Z15" s="43">
        <v>230884.15</v>
      </c>
      <c r="AA15" s="43">
        <v>62703.2</v>
      </c>
      <c r="AB15" s="43">
        <v>0</v>
      </c>
      <c r="AC15" s="43">
        <v>44184.65</v>
      </c>
      <c r="AD15" s="43">
        <v>0</v>
      </c>
      <c r="AE15" s="43">
        <f>SUM(Z15:AD15)</f>
        <v>337772</v>
      </c>
      <c r="AF15" s="43">
        <v>0</v>
      </c>
      <c r="AG15" s="43">
        <v>4928.15</v>
      </c>
      <c r="AH15" s="43">
        <v>0</v>
      </c>
      <c r="AI15" s="43">
        <v>115254.75</v>
      </c>
      <c r="AJ15" s="43">
        <v>0</v>
      </c>
      <c r="AK15" s="43">
        <v>925</v>
      </c>
      <c r="AL15" s="43">
        <v>0</v>
      </c>
      <c r="AM15" s="43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f>SUM(AN15:AR15)</f>
        <v>0</v>
      </c>
      <c r="AT15" s="4">
        <v>0</v>
      </c>
      <c r="AU15" s="4">
        <f>SUM(Z15:AT15)-AE15-AH15-AS15</f>
        <v>458879.9</v>
      </c>
      <c r="AV15" s="4">
        <v>261.75</v>
      </c>
      <c r="AW15" s="4">
        <v>0</v>
      </c>
      <c r="AX15" s="147">
        <f>Y15-AU15+AV15-AW15</f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200000</v>
      </c>
      <c r="BD15" s="43">
        <v>0</v>
      </c>
      <c r="BE15" s="43">
        <v>0</v>
      </c>
      <c r="BF15" s="43">
        <f>SUM(AZ15:BE15)</f>
        <v>200000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f>SUM(BG15:BN15)</f>
        <v>0</v>
      </c>
      <c r="BP15" s="43">
        <v>0</v>
      </c>
      <c r="BQ15" s="43">
        <v>0</v>
      </c>
      <c r="BR15" s="43">
        <v>200000</v>
      </c>
      <c r="BS15" s="148">
        <f>+BF15-BO15+BP15+BQ15-BR15</f>
        <v>0</v>
      </c>
      <c r="BT15" s="4">
        <v>552168</v>
      </c>
      <c r="BU15" s="4">
        <v>130000</v>
      </c>
      <c r="BV15" s="4"/>
      <c r="BW15" s="4"/>
      <c r="BX15" s="4">
        <f>SUM(BT15:BW15)</f>
        <v>682168</v>
      </c>
      <c r="BY15" s="4">
        <v>301300.6</v>
      </c>
      <c r="BZ15" s="4"/>
      <c r="CA15" s="4">
        <v>380867.4</v>
      </c>
      <c r="CB15" s="4">
        <f>SUM(BY15:CA15)</f>
        <v>682168</v>
      </c>
      <c r="CC15" s="143">
        <f>BX15-CB15</f>
        <v>0</v>
      </c>
      <c r="CD15" s="74">
        <f>K15+L15+AV15-AW15</f>
        <v>70261.75</v>
      </c>
      <c r="CE15" s="76">
        <f>CD15+W15-AS15</f>
        <v>70261.75</v>
      </c>
      <c r="CF15" s="76">
        <f>BR15-BP15</f>
        <v>200000</v>
      </c>
      <c r="CG15" s="76">
        <f t="shared" si="54"/>
        <v>458879.9</v>
      </c>
      <c r="CH15" s="76">
        <f>I15-AG15+AY15+AH15+BQ15</f>
        <v>-2444.0999999999995</v>
      </c>
      <c r="CI15" s="37">
        <f>CH15+K15</f>
        <v>17555.9</v>
      </c>
      <c r="CJ15" s="59">
        <f t="shared" si="36"/>
        <v>0.35130875</v>
      </c>
      <c r="CK15" s="59">
        <f t="shared" si="37"/>
        <v>0.35130875</v>
      </c>
      <c r="CL15" s="141">
        <f t="shared" si="38"/>
        <v>0.1531157716866657</v>
      </c>
      <c r="CM15" s="141">
        <f t="shared" si="39"/>
        <v>0.1531157716866657</v>
      </c>
      <c r="CN15" s="141">
        <f t="shared" si="40"/>
        <v>-0.005326230240200103</v>
      </c>
      <c r="CO15" s="141">
        <f t="shared" si="41"/>
        <v>0.038258158616230525</v>
      </c>
      <c r="CP15" s="141">
        <f t="shared" si="42"/>
        <v>0.35</v>
      </c>
      <c r="CQ15" s="141">
        <f t="shared" si="43"/>
        <v>0.1</v>
      </c>
      <c r="CR15" s="142">
        <f t="shared" si="44"/>
        <v>3.570468996288877</v>
      </c>
      <c r="CS15" s="76">
        <f t="shared" si="45"/>
        <v>250867.40000000002</v>
      </c>
      <c r="CT15" s="80">
        <f>Y15-K15-L15-V15</f>
        <v>388618.15</v>
      </c>
      <c r="CU15" s="80">
        <f>AU15-AR15</f>
        <v>458879.9</v>
      </c>
      <c r="CV15" s="80">
        <f>CU15-CT15</f>
        <v>70261.75</v>
      </c>
      <c r="CW15" s="80">
        <f>-V15+AR15</f>
        <v>0</v>
      </c>
      <c r="CX15" s="80">
        <f>CV15+CW15</f>
        <v>70261.75</v>
      </c>
      <c r="CY15" s="80">
        <f>CX15-K15-L15</f>
        <v>261.75</v>
      </c>
      <c r="CZ15" s="80">
        <f>BR15-BP15</f>
        <v>200000</v>
      </c>
      <c r="DA15" s="80">
        <f>K15+L15</f>
        <v>70000</v>
      </c>
      <c r="DB15" s="80">
        <f>-CZ15+DA15+CY15</f>
        <v>-129738.25</v>
      </c>
      <c r="DC15" s="80">
        <f t="shared" si="46"/>
        <v>-129738.25</v>
      </c>
      <c r="DD15" s="80">
        <f>-BP15-DA15</f>
        <v>-70000</v>
      </c>
      <c r="DE15" s="80">
        <f>DB15+DD15+BR15</f>
        <v>261.75</v>
      </c>
      <c r="DF15" s="80">
        <f>Z15+AA15+AB15</f>
        <v>293587.35</v>
      </c>
      <c r="DG15" s="80">
        <f>CS15/B15</f>
        <v>219.09816593886464</v>
      </c>
      <c r="DH15" s="80">
        <f>CH15/B15</f>
        <v>-2.1345851528384276</v>
      </c>
      <c r="DI15" s="80">
        <f>DF15/B15</f>
        <v>256.4081659388646</v>
      </c>
      <c r="DJ15" s="81">
        <f>CZ15/B15</f>
        <v>174.67248908296943</v>
      </c>
      <c r="DK15" s="76">
        <f>DB15/B15</f>
        <v>-113.3085152838428</v>
      </c>
      <c r="DL15" s="145">
        <f t="shared" si="49"/>
        <v>250867.40000000002</v>
      </c>
      <c r="DM15" s="64"/>
      <c r="DN15" s="65"/>
    </row>
    <row r="16" spans="1:118" ht="12.75">
      <c r="A16" s="51" t="s">
        <v>34</v>
      </c>
      <c r="B16" s="46">
        <v>603</v>
      </c>
      <c r="C16" s="38">
        <v>1374813</v>
      </c>
      <c r="D16" s="39">
        <v>2279.96</v>
      </c>
      <c r="E16" s="39">
        <v>63.79</v>
      </c>
      <c r="F16" s="126">
        <v>4</v>
      </c>
      <c r="G16" s="132">
        <f>7038+300+13471+82+2251.7</f>
        <v>23142.7</v>
      </c>
      <c r="H16" s="42">
        <f>1298.45+2991.65+99+9201+840.9+346+253.6+950+183.8+444</f>
        <v>16608.4</v>
      </c>
      <c r="I16" s="42">
        <v>0</v>
      </c>
      <c r="J16" s="42">
        <v>0</v>
      </c>
      <c r="K16" s="42">
        <v>0</v>
      </c>
      <c r="L16" s="42">
        <v>0</v>
      </c>
      <c r="M16" s="43">
        <f t="shared" si="0"/>
        <v>0</v>
      </c>
      <c r="N16" s="42">
        <v>0</v>
      </c>
      <c r="O16" s="42">
        <f>100</f>
        <v>100</v>
      </c>
      <c r="P16" s="42">
        <f>7063.5+500+710.4+888+1065.6+49101.35+91590.25+16642.8+26701.4+35695.65+561.5</f>
        <v>230520.44999999998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3">
        <f aca="true" t="shared" si="57" ref="W16:W31">SUM(R16:V16)</f>
        <v>0</v>
      </c>
      <c r="X16" s="42">
        <v>0</v>
      </c>
      <c r="Y16" s="43">
        <f aca="true" t="shared" si="58" ref="Y16:Y31">SUM(G16:X16)-M16-W16</f>
        <v>270371.55</v>
      </c>
      <c r="Z16" s="42">
        <f>52977.25</f>
        <v>52977.25</v>
      </c>
      <c r="AA16" s="42">
        <v>0</v>
      </c>
      <c r="AB16" s="42">
        <v>0</v>
      </c>
      <c r="AC16" s="42">
        <f>23269.3</f>
        <v>23269.3</v>
      </c>
      <c r="AD16" s="42">
        <v>0</v>
      </c>
      <c r="AE16" s="43">
        <f aca="true" t="shared" si="59" ref="AE16:AE31">SUM(Z16:AD16)</f>
        <v>76246.55</v>
      </c>
      <c r="AF16" s="42">
        <v>0</v>
      </c>
      <c r="AG16" s="42">
        <f>230.45</f>
        <v>230.45</v>
      </c>
      <c r="AH16" s="42">
        <v>0</v>
      </c>
      <c r="AI16" s="42">
        <f>17388.8+3080+2622+25853.9+23018.1</f>
        <v>71962.79999999999</v>
      </c>
      <c r="AJ16" s="42">
        <v>0</v>
      </c>
      <c r="AK16" s="42">
        <f>476</f>
        <v>476</v>
      </c>
      <c r="AL16" s="42">
        <v>0</v>
      </c>
      <c r="AM16" s="42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4">
        <f aca="true" t="shared" si="60" ref="AS16:AS31">SUM(AN16:AR16)</f>
        <v>0</v>
      </c>
      <c r="AT16" s="38">
        <v>0</v>
      </c>
      <c r="AU16" s="4">
        <f aca="true" t="shared" si="61" ref="AU16:AU31">SUM(Z16:AT16)-AE16-AH16-AS16</f>
        <v>148915.8</v>
      </c>
      <c r="AV16" s="38">
        <v>0</v>
      </c>
      <c r="AW16" s="38">
        <f>91091.8+30363.95</f>
        <v>121455.75</v>
      </c>
      <c r="AX16" s="4">
        <f aca="true" t="shared" si="62" ref="AX16:AX31">Y16-AU16+AV16-AW16</f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3">
        <f aca="true" t="shared" si="63" ref="BF16:BF31">SUM(AZ16:BE16)</f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3">
        <f aca="true" t="shared" si="64" ref="BO16:BO31">SUM(BG16:BN16)</f>
        <v>0</v>
      </c>
      <c r="BP16" s="42">
        <v>0</v>
      </c>
      <c r="BQ16" s="42">
        <v>0</v>
      </c>
      <c r="BR16" s="42">
        <v>0</v>
      </c>
      <c r="BS16" s="43">
        <f aca="true" t="shared" si="65" ref="BS16:BS31">+BF16-BO16+BP16+BQ16-BR16</f>
        <v>0</v>
      </c>
      <c r="BT16" s="38">
        <f>226904.2</f>
        <v>226904.2</v>
      </c>
      <c r="BU16" s="38">
        <v>5000</v>
      </c>
      <c r="BV16" s="38"/>
      <c r="BW16" s="38">
        <v>0</v>
      </c>
      <c r="BX16" s="4">
        <f>SUM(BT16:BW16)</f>
        <v>231904.2</v>
      </c>
      <c r="BY16" s="38">
        <f>99773.7</f>
        <v>99773.7</v>
      </c>
      <c r="BZ16" s="38">
        <v>0</v>
      </c>
      <c r="CA16" s="38">
        <f>132130.5</f>
        <v>132130.5</v>
      </c>
      <c r="CB16" s="4">
        <f aca="true" t="shared" si="66" ref="CB16:CB31">SUM(BY16:CA16)</f>
        <v>231904.2</v>
      </c>
      <c r="CC16" s="4">
        <f aca="true" t="shared" si="67" ref="CC16:CC31">BX16-CB16</f>
        <v>0</v>
      </c>
      <c r="CD16" s="74">
        <f aca="true" t="shared" si="68" ref="CD16:CD31">K16+L16+AV16-AW16</f>
        <v>-121455.75</v>
      </c>
      <c r="CE16" s="76">
        <f aca="true" t="shared" si="69" ref="CE16:CE31">CD16+W16-AS16</f>
        <v>-121455.75</v>
      </c>
      <c r="CF16" s="76">
        <f aca="true" t="shared" si="70" ref="CF16:CF31">BR16-BP16</f>
        <v>0</v>
      </c>
      <c r="CG16" s="76">
        <f t="shared" si="54"/>
        <v>148915.8</v>
      </c>
      <c r="CH16" s="76">
        <f aca="true" t="shared" si="71" ref="CH16:CH31">I16-AG16+AY16+AH16+BQ16</f>
        <v>-230.45</v>
      </c>
      <c r="CI16" s="37">
        <f aca="true" t="shared" si="72" ref="CI16:CI31">CH16+K16</f>
        <v>-230.45</v>
      </c>
      <c r="CJ16" s="59" t="str">
        <f t="shared" si="36"/>
        <v>-</v>
      </c>
      <c r="CK16" s="59" t="str">
        <f t="shared" si="37"/>
        <v>-</v>
      </c>
      <c r="CL16" s="141">
        <f t="shared" si="38"/>
        <v>-0.815600157941602</v>
      </c>
      <c r="CM16" s="141">
        <f t="shared" si="39"/>
        <v>-0.815600157941602</v>
      </c>
      <c r="CN16" s="141">
        <f t="shared" si="40"/>
        <v>-0.0015475187992140525</v>
      </c>
      <c r="CO16" s="141">
        <f t="shared" si="41"/>
        <v>-0.0015475187992140525</v>
      </c>
      <c r="CP16" s="141">
        <f t="shared" si="42"/>
        <v>0</v>
      </c>
      <c r="CQ16" s="141">
        <f t="shared" si="43"/>
        <v>0</v>
      </c>
      <c r="CR16" s="142">
        <f t="shared" si="44"/>
        <v>-1.046722777637123</v>
      </c>
      <c r="CS16" s="76">
        <f t="shared" si="45"/>
        <v>127130.50000000001</v>
      </c>
      <c r="CT16" s="80">
        <f aca="true" t="shared" si="73" ref="CT16:CT31">Y16-K16-L16-V16</f>
        <v>270371.55</v>
      </c>
      <c r="CU16" s="80">
        <f aca="true" t="shared" si="74" ref="CU16:CU31">AU16-AR16</f>
        <v>148915.8</v>
      </c>
      <c r="CV16" s="80">
        <f aca="true" t="shared" si="75" ref="CV16:CV31">CU16-CT16</f>
        <v>-121455.75</v>
      </c>
      <c r="CW16" s="80">
        <f aca="true" t="shared" si="76" ref="CW16:CW31">-V16+AR16</f>
        <v>0</v>
      </c>
      <c r="CX16" s="80">
        <f aca="true" t="shared" si="77" ref="CX16:CX31">CV16+CW16</f>
        <v>-121455.75</v>
      </c>
      <c r="CY16" s="80">
        <f aca="true" t="shared" si="78" ref="CY16:CY31">CX16-K16-L16</f>
        <v>-121455.75</v>
      </c>
      <c r="CZ16" s="80">
        <f aca="true" t="shared" si="79" ref="CZ16:CZ31">BR16-BP16</f>
        <v>0</v>
      </c>
      <c r="DA16" s="80">
        <f aca="true" t="shared" si="80" ref="DA16:DA31">K16+L16</f>
        <v>0</v>
      </c>
      <c r="DB16" s="80">
        <f aca="true" t="shared" si="81" ref="DB16:DB31">-CZ16+DA16+CY16</f>
        <v>-121455.75</v>
      </c>
      <c r="DC16" s="80">
        <f t="shared" si="46"/>
        <v>-121455.75</v>
      </c>
      <c r="DD16" s="80">
        <f aca="true" t="shared" si="82" ref="DD16:DD31">-BP16-DA16</f>
        <v>0</v>
      </c>
      <c r="DE16" s="80">
        <f aca="true" t="shared" si="83" ref="DE16:DE31">DB16+DD16+BR16</f>
        <v>-121455.75</v>
      </c>
      <c r="DF16" s="80">
        <f aca="true" t="shared" si="84" ref="DF16:DF31">Z16+AA16+AB16</f>
        <v>52977.25</v>
      </c>
      <c r="DG16" s="80">
        <f aca="true" t="shared" si="85" ref="DG16:DG31">CS16/B16</f>
        <v>210.83001658374795</v>
      </c>
      <c r="DH16" s="80">
        <f aca="true" t="shared" si="86" ref="DH16:DH31">CH16/B16</f>
        <v>-0.3821724709784411</v>
      </c>
      <c r="DI16" s="80">
        <f aca="true" t="shared" si="87" ref="DI16:DI31">DF16/B16</f>
        <v>87.85613598673301</v>
      </c>
      <c r="DJ16" s="81">
        <f aca="true" t="shared" si="88" ref="DJ16:DJ31">CZ16/B16</f>
        <v>0</v>
      </c>
      <c r="DK16" s="76">
        <f aca="true" t="shared" si="89" ref="DK16:DK31">DB16/B16</f>
        <v>-201.41915422885572</v>
      </c>
      <c r="DL16" s="145">
        <f t="shared" si="49"/>
        <v>127130.5</v>
      </c>
      <c r="DM16" s="67"/>
      <c r="DN16" s="68"/>
    </row>
    <row r="17" spans="1:118" ht="12.75">
      <c r="A17" s="52" t="s">
        <v>10</v>
      </c>
      <c r="B17" s="41">
        <v>370</v>
      </c>
      <c r="C17" s="4">
        <v>1081889</v>
      </c>
      <c r="D17" s="34">
        <v>2924.03</v>
      </c>
      <c r="E17" s="34">
        <v>81.81</v>
      </c>
      <c r="F17" s="8">
        <v>4</v>
      </c>
      <c r="G17" s="131">
        <v>14189.5</v>
      </c>
      <c r="H17" s="43">
        <v>1458.7</v>
      </c>
      <c r="I17" s="43">
        <v>6177.8</v>
      </c>
      <c r="J17" s="43">
        <v>0</v>
      </c>
      <c r="K17" s="43">
        <v>0</v>
      </c>
      <c r="L17" s="43">
        <v>0</v>
      </c>
      <c r="M17" s="43">
        <f t="shared" si="0"/>
        <v>0</v>
      </c>
      <c r="N17" s="43">
        <v>0</v>
      </c>
      <c r="O17" s="43">
        <v>0</v>
      </c>
      <c r="P17" s="43">
        <v>59307.05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f t="shared" si="57"/>
        <v>0</v>
      </c>
      <c r="X17" s="43">
        <v>0</v>
      </c>
      <c r="Y17" s="43">
        <f t="shared" si="58"/>
        <v>81133.05</v>
      </c>
      <c r="Z17" s="43">
        <v>45701.95</v>
      </c>
      <c r="AA17" s="43">
        <v>5300</v>
      </c>
      <c r="AB17" s="43">
        <v>26473.35</v>
      </c>
      <c r="AC17" s="43">
        <v>14278</v>
      </c>
      <c r="AD17" s="43">
        <v>0</v>
      </c>
      <c r="AE17" s="43">
        <f t="shared" si="59"/>
        <v>91753.29999999999</v>
      </c>
      <c r="AF17" s="43">
        <v>0</v>
      </c>
      <c r="AG17" s="43">
        <v>509.75</v>
      </c>
      <c r="AH17" s="43">
        <v>0</v>
      </c>
      <c r="AI17" s="43">
        <v>2759.05</v>
      </c>
      <c r="AJ17" s="43">
        <v>0</v>
      </c>
      <c r="AK17" s="43">
        <v>0</v>
      </c>
      <c r="AL17" s="43">
        <v>0</v>
      </c>
      <c r="AM17" s="43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60"/>
        <v>0</v>
      </c>
      <c r="AT17" s="4">
        <v>0</v>
      </c>
      <c r="AU17" s="4">
        <f t="shared" si="61"/>
        <v>95022.09999999998</v>
      </c>
      <c r="AV17" s="4">
        <v>13889.05</v>
      </c>
      <c r="AW17" s="4">
        <v>0</v>
      </c>
      <c r="AX17" s="4">
        <f t="shared" si="62"/>
        <v>2.546585164964199E-11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f t="shared" si="63"/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f t="shared" si="64"/>
        <v>0</v>
      </c>
      <c r="BP17" s="43">
        <v>0</v>
      </c>
      <c r="BQ17" s="43">
        <v>0</v>
      </c>
      <c r="BR17" s="43">
        <v>0</v>
      </c>
      <c r="BS17" s="43">
        <f t="shared" si="65"/>
        <v>0</v>
      </c>
      <c r="BT17" s="4">
        <v>62463.5</v>
      </c>
      <c r="BU17" s="4">
        <v>45000</v>
      </c>
      <c r="BV17" s="4"/>
      <c r="BW17" s="4">
        <f>76118.8-13889.05</f>
        <v>62229.75</v>
      </c>
      <c r="BX17" s="4">
        <f aca="true" t="shared" si="90" ref="BX17:BX31">SUM(BT17:BW17)</f>
        <v>169693.25</v>
      </c>
      <c r="BY17" s="4">
        <v>169693.25</v>
      </c>
      <c r="BZ17" s="4">
        <v>0</v>
      </c>
      <c r="CA17" s="4">
        <v>0</v>
      </c>
      <c r="CB17" s="4">
        <f t="shared" si="66"/>
        <v>169693.25</v>
      </c>
      <c r="CC17" s="4">
        <f t="shared" si="67"/>
        <v>0</v>
      </c>
      <c r="CD17" s="74">
        <f t="shared" si="68"/>
        <v>13889.05</v>
      </c>
      <c r="CE17" s="76">
        <f t="shared" si="69"/>
        <v>13889.05</v>
      </c>
      <c r="CF17" s="76">
        <f t="shared" si="70"/>
        <v>0</v>
      </c>
      <c r="CG17" s="76">
        <f t="shared" si="54"/>
        <v>95022.09999999998</v>
      </c>
      <c r="CH17" s="76">
        <f t="shared" si="71"/>
        <v>5668.05</v>
      </c>
      <c r="CI17" s="37">
        <f t="shared" si="72"/>
        <v>5668.05</v>
      </c>
      <c r="CJ17" s="59" t="str">
        <f t="shared" si="36"/>
        <v>-</v>
      </c>
      <c r="CK17" s="59" t="str">
        <f t="shared" si="37"/>
        <v>-</v>
      </c>
      <c r="CL17" s="141">
        <f t="shared" si="38"/>
        <v>0.14616652336666947</v>
      </c>
      <c r="CM17" s="141">
        <f t="shared" si="39"/>
        <v>0.14616652336666947</v>
      </c>
      <c r="CN17" s="141">
        <f t="shared" si="40"/>
        <v>0.0596498077815582</v>
      </c>
      <c r="CO17" s="141">
        <f t="shared" si="41"/>
        <v>0.0596498077815582</v>
      </c>
      <c r="CP17" s="141">
        <f t="shared" si="42"/>
        <v>0</v>
      </c>
      <c r="CQ17" s="141">
        <f t="shared" si="43"/>
        <v>0</v>
      </c>
      <c r="CR17" s="142">
        <f t="shared" si="44"/>
        <v>-7.7204524427516645</v>
      </c>
      <c r="CS17" s="76">
        <f t="shared" si="45"/>
        <v>-107229.75</v>
      </c>
      <c r="CT17" s="80">
        <f t="shared" si="73"/>
        <v>81133.05</v>
      </c>
      <c r="CU17" s="80">
        <f t="shared" si="74"/>
        <v>95022.09999999998</v>
      </c>
      <c r="CV17" s="80">
        <f t="shared" si="75"/>
        <v>13889.049999999974</v>
      </c>
      <c r="CW17" s="80">
        <f t="shared" si="76"/>
        <v>0</v>
      </c>
      <c r="CX17" s="80">
        <f t="shared" si="77"/>
        <v>13889.049999999974</v>
      </c>
      <c r="CY17" s="80">
        <f t="shared" si="78"/>
        <v>13889.049999999974</v>
      </c>
      <c r="CZ17" s="80">
        <f t="shared" si="79"/>
        <v>0</v>
      </c>
      <c r="DA17" s="80">
        <f t="shared" si="80"/>
        <v>0</v>
      </c>
      <c r="DB17" s="80">
        <f t="shared" si="81"/>
        <v>13889.049999999974</v>
      </c>
      <c r="DC17" s="80">
        <f t="shared" si="46"/>
        <v>13889.049999999974</v>
      </c>
      <c r="DD17" s="80">
        <f t="shared" si="82"/>
        <v>0</v>
      </c>
      <c r="DE17" s="80">
        <f t="shared" si="83"/>
        <v>13889.049999999974</v>
      </c>
      <c r="DF17" s="80">
        <f t="shared" si="84"/>
        <v>77475.29999999999</v>
      </c>
      <c r="DG17" s="80">
        <f t="shared" si="85"/>
        <v>-289.8101351351351</v>
      </c>
      <c r="DH17" s="80">
        <f t="shared" si="86"/>
        <v>15.319054054054055</v>
      </c>
      <c r="DI17" s="80">
        <f t="shared" si="87"/>
        <v>209.39270270270268</v>
      </c>
      <c r="DJ17" s="81">
        <f t="shared" si="88"/>
        <v>0</v>
      </c>
      <c r="DK17" s="76">
        <f t="shared" si="89"/>
        <v>37.5379729729729</v>
      </c>
      <c r="DL17" s="145">
        <f t="shared" si="49"/>
        <v>-107229.75</v>
      </c>
      <c r="DM17" s="64"/>
      <c r="DN17" s="65"/>
    </row>
    <row r="18" spans="1:118" ht="12.75">
      <c r="A18" s="51" t="s">
        <v>11</v>
      </c>
      <c r="B18" s="46">
        <v>1079</v>
      </c>
      <c r="C18" s="38">
        <v>5014056</v>
      </c>
      <c r="D18" s="39">
        <v>4646.95</v>
      </c>
      <c r="E18" s="39">
        <v>130.02</v>
      </c>
      <c r="F18" s="126">
        <v>1</v>
      </c>
      <c r="G18" s="132">
        <v>29466.05</v>
      </c>
      <c r="H18" s="42">
        <v>330280.9</v>
      </c>
      <c r="I18" s="42">
        <v>590</v>
      </c>
      <c r="J18" s="42">
        <v>3014.95</v>
      </c>
      <c r="K18" s="42">
        <v>0</v>
      </c>
      <c r="L18" s="42">
        <v>0</v>
      </c>
      <c r="M18" s="43">
        <f t="shared" si="0"/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3">
        <f t="shared" si="57"/>
        <v>0</v>
      </c>
      <c r="X18" s="42">
        <v>0</v>
      </c>
      <c r="Y18" s="43">
        <f t="shared" si="58"/>
        <v>363351.9</v>
      </c>
      <c r="Z18" s="42">
        <v>128633.55</v>
      </c>
      <c r="AA18" s="42">
        <v>0</v>
      </c>
      <c r="AB18" s="42">
        <v>0</v>
      </c>
      <c r="AC18" s="42">
        <v>41637.75</v>
      </c>
      <c r="AD18" s="42">
        <v>0</v>
      </c>
      <c r="AE18" s="43">
        <f t="shared" si="59"/>
        <v>170271.3</v>
      </c>
      <c r="AF18" s="42">
        <v>0</v>
      </c>
      <c r="AG18" s="42">
        <v>37094.7</v>
      </c>
      <c r="AH18" s="42">
        <v>0</v>
      </c>
      <c r="AI18" s="42">
        <v>109852.15</v>
      </c>
      <c r="AJ18" s="42">
        <v>0</v>
      </c>
      <c r="AK18" s="42">
        <v>0</v>
      </c>
      <c r="AL18" s="42">
        <v>0</v>
      </c>
      <c r="AM18" s="42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60"/>
        <v>0</v>
      </c>
      <c r="AT18" s="38">
        <v>0</v>
      </c>
      <c r="AU18" s="4">
        <f t="shared" si="61"/>
        <v>317218.14999999997</v>
      </c>
      <c r="AV18" s="38">
        <v>0</v>
      </c>
      <c r="AW18" s="38">
        <f>46133.75</f>
        <v>46133.75</v>
      </c>
      <c r="AX18" s="143">
        <f t="shared" si="62"/>
        <v>5.820766091346741E-11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63"/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3">
        <f t="shared" si="64"/>
        <v>0</v>
      </c>
      <c r="BP18" s="42">
        <v>0</v>
      </c>
      <c r="BQ18" s="42">
        <v>0</v>
      </c>
      <c r="BR18" s="42">
        <v>0</v>
      </c>
      <c r="BS18" s="43">
        <f t="shared" si="65"/>
        <v>0</v>
      </c>
      <c r="BT18" s="38">
        <v>1466662.1</v>
      </c>
      <c r="BU18" s="38"/>
      <c r="BV18" s="38">
        <v>0</v>
      </c>
      <c r="BW18" s="38">
        <v>0</v>
      </c>
      <c r="BX18" s="4">
        <f t="shared" si="90"/>
        <v>1466662.1</v>
      </c>
      <c r="BY18" s="38">
        <v>146921.1</v>
      </c>
      <c r="BZ18" s="38">
        <v>0</v>
      </c>
      <c r="CA18" s="38">
        <v>1319741</v>
      </c>
      <c r="CB18" s="4">
        <f t="shared" si="66"/>
        <v>1466662.1</v>
      </c>
      <c r="CC18" s="143">
        <f t="shared" si="67"/>
        <v>0</v>
      </c>
      <c r="CD18" s="74">
        <f t="shared" si="68"/>
        <v>-46133.75</v>
      </c>
      <c r="CE18" s="76">
        <f t="shared" si="69"/>
        <v>-46133.75</v>
      </c>
      <c r="CF18" s="76">
        <f t="shared" si="70"/>
        <v>0</v>
      </c>
      <c r="CG18" s="76">
        <f t="shared" si="54"/>
        <v>317218.14999999997</v>
      </c>
      <c r="CH18" s="76">
        <f t="shared" si="71"/>
        <v>-36504.7</v>
      </c>
      <c r="CI18" s="37">
        <f t="shared" si="72"/>
        <v>-36504.7</v>
      </c>
      <c r="CJ18" s="59" t="str">
        <f t="shared" si="36"/>
        <v>-</v>
      </c>
      <c r="CK18" s="59" t="str">
        <f t="shared" si="37"/>
        <v>-</v>
      </c>
      <c r="CL18" s="141">
        <f t="shared" si="38"/>
        <v>-0.14543225222138143</v>
      </c>
      <c r="CM18" s="141">
        <f t="shared" si="39"/>
        <v>-0.14543225222138143</v>
      </c>
      <c r="CN18" s="141">
        <f t="shared" si="40"/>
        <v>-0.11507758934978973</v>
      </c>
      <c r="CO18" s="141">
        <f t="shared" si="41"/>
        <v>-0.11507758934978973</v>
      </c>
      <c r="CP18" s="141" t="str">
        <f t="shared" si="42"/>
        <v>-</v>
      </c>
      <c r="CQ18" s="141" t="str">
        <f t="shared" si="43"/>
        <v>-</v>
      </c>
      <c r="CR18" s="142">
        <f t="shared" si="44"/>
        <v>-28.606844230091852</v>
      </c>
      <c r="CS18" s="76">
        <f t="shared" si="45"/>
        <v>1319741</v>
      </c>
      <c r="CT18" s="80">
        <f t="shared" si="73"/>
        <v>363351.9</v>
      </c>
      <c r="CU18" s="80">
        <f t="shared" si="74"/>
        <v>317218.14999999997</v>
      </c>
      <c r="CV18" s="80">
        <f t="shared" si="75"/>
        <v>-46133.75000000006</v>
      </c>
      <c r="CW18" s="80">
        <f t="shared" si="76"/>
        <v>0</v>
      </c>
      <c r="CX18" s="80">
        <f t="shared" si="77"/>
        <v>-46133.75000000006</v>
      </c>
      <c r="CY18" s="80">
        <f t="shared" si="78"/>
        <v>-46133.75000000006</v>
      </c>
      <c r="CZ18" s="80">
        <f t="shared" si="79"/>
        <v>0</v>
      </c>
      <c r="DA18" s="80">
        <f t="shared" si="80"/>
        <v>0</v>
      </c>
      <c r="DB18" s="80">
        <f t="shared" si="81"/>
        <v>-46133.75000000006</v>
      </c>
      <c r="DC18" s="80">
        <f t="shared" si="46"/>
        <v>-46133.75000000006</v>
      </c>
      <c r="DD18" s="80">
        <f t="shared" si="82"/>
        <v>0</v>
      </c>
      <c r="DE18" s="80">
        <f t="shared" si="83"/>
        <v>-46133.75000000006</v>
      </c>
      <c r="DF18" s="80">
        <f t="shared" si="84"/>
        <v>128633.55</v>
      </c>
      <c r="DG18" s="80">
        <f t="shared" si="85"/>
        <v>1223.114921223355</v>
      </c>
      <c r="DH18" s="80">
        <f t="shared" si="86"/>
        <v>-33.831974050046334</v>
      </c>
      <c r="DI18" s="80">
        <f t="shared" si="87"/>
        <v>119.21552363299351</v>
      </c>
      <c r="DJ18" s="81">
        <f t="shared" si="88"/>
        <v>0</v>
      </c>
      <c r="DK18" s="76">
        <f t="shared" si="89"/>
        <v>-42.756024096385595</v>
      </c>
      <c r="DL18" s="145">
        <f t="shared" si="49"/>
        <v>1319741</v>
      </c>
      <c r="DM18" s="67"/>
      <c r="DN18" s="68"/>
    </row>
    <row r="19" spans="1:118" ht="12.75">
      <c r="A19" s="52" t="s">
        <v>35</v>
      </c>
      <c r="B19" s="41">
        <v>2984</v>
      </c>
      <c r="C19" s="4">
        <v>11634719</v>
      </c>
      <c r="D19" s="34">
        <v>3899.03</v>
      </c>
      <c r="E19" s="34">
        <v>109.09</v>
      </c>
      <c r="F19" s="8">
        <v>4</v>
      </c>
      <c r="G19" s="131">
        <v>71987.2</v>
      </c>
      <c r="H19" s="43">
        <v>16836.6</v>
      </c>
      <c r="I19" s="43">
        <v>45140.95</v>
      </c>
      <c r="J19" s="43">
        <v>0</v>
      </c>
      <c r="K19" s="43">
        <v>0</v>
      </c>
      <c r="L19" s="43">
        <v>0</v>
      </c>
      <c r="M19" s="43">
        <f t="shared" si="0"/>
        <v>0</v>
      </c>
      <c r="N19" s="43">
        <v>0</v>
      </c>
      <c r="O19" s="43">
        <v>0</v>
      </c>
      <c r="P19" s="43">
        <v>1413793.8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f t="shared" si="57"/>
        <v>0</v>
      </c>
      <c r="X19" s="43">
        <v>0</v>
      </c>
      <c r="Y19" s="43">
        <f t="shared" si="58"/>
        <v>1547758.55</v>
      </c>
      <c r="Z19" s="43">
        <v>658845.55</v>
      </c>
      <c r="AA19" s="43">
        <v>35488.85</v>
      </c>
      <c r="AB19" s="43">
        <v>0</v>
      </c>
      <c r="AC19" s="43">
        <v>115150.25</v>
      </c>
      <c r="AD19" s="43">
        <v>0</v>
      </c>
      <c r="AE19" s="43">
        <f t="shared" si="59"/>
        <v>809484.65</v>
      </c>
      <c r="AF19" s="43">
        <v>0</v>
      </c>
      <c r="AG19" s="43">
        <v>33505.15</v>
      </c>
      <c r="AH19" s="43">
        <v>72</v>
      </c>
      <c r="AI19" s="43">
        <v>969261.85</v>
      </c>
      <c r="AJ19" s="43">
        <v>-200</v>
      </c>
      <c r="AK19" s="43">
        <v>0</v>
      </c>
      <c r="AL19" s="43">
        <v>1222.95</v>
      </c>
      <c r="AM19" s="43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60"/>
        <v>0</v>
      </c>
      <c r="AT19" s="4">
        <v>0</v>
      </c>
      <c r="AU19" s="4">
        <f t="shared" si="61"/>
        <v>1813274.6</v>
      </c>
      <c r="AV19" s="4">
        <v>265516.05</v>
      </c>
      <c r="AW19" s="4">
        <v>0</v>
      </c>
      <c r="AX19" s="143">
        <f t="shared" si="62"/>
        <v>-5.820766091346741E-11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f t="shared" si="63"/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f t="shared" si="64"/>
        <v>0</v>
      </c>
      <c r="BP19" s="43">
        <v>0</v>
      </c>
      <c r="BQ19" s="43">
        <v>0</v>
      </c>
      <c r="BR19" s="43">
        <v>0</v>
      </c>
      <c r="BS19" s="43">
        <f t="shared" si="65"/>
        <v>0</v>
      </c>
      <c r="BT19" s="4">
        <v>2232369.1</v>
      </c>
      <c r="BU19" s="4">
        <v>0</v>
      </c>
      <c r="BV19" s="4">
        <v>0</v>
      </c>
      <c r="BW19" s="4">
        <v>0</v>
      </c>
      <c r="BX19" s="4">
        <f t="shared" si="90"/>
        <v>2232369.1</v>
      </c>
      <c r="BY19" s="4">
        <v>1062310.05</v>
      </c>
      <c r="BZ19" s="4">
        <v>0</v>
      </c>
      <c r="CA19" s="4">
        <v>1170059.05</v>
      </c>
      <c r="CB19" s="4">
        <f t="shared" si="66"/>
        <v>2232369.1</v>
      </c>
      <c r="CC19" s="4">
        <f t="shared" si="67"/>
        <v>0</v>
      </c>
      <c r="CD19" s="74">
        <f t="shared" si="68"/>
        <v>265516.05</v>
      </c>
      <c r="CE19" s="76">
        <f t="shared" si="69"/>
        <v>265516.05</v>
      </c>
      <c r="CF19" s="76">
        <f t="shared" si="70"/>
        <v>0</v>
      </c>
      <c r="CG19" s="76">
        <f t="shared" si="54"/>
        <v>1813274.6</v>
      </c>
      <c r="CH19" s="76">
        <f t="shared" si="71"/>
        <v>11707.799999999996</v>
      </c>
      <c r="CI19" s="37">
        <f t="shared" si="72"/>
        <v>11707.799999999996</v>
      </c>
      <c r="CJ19" s="59" t="str">
        <f t="shared" si="36"/>
        <v>-</v>
      </c>
      <c r="CK19" s="59" t="str">
        <f t="shared" si="37"/>
        <v>-</v>
      </c>
      <c r="CL19" s="141">
        <f t="shared" si="38"/>
        <v>0.1464290350727904</v>
      </c>
      <c r="CM19" s="141">
        <f t="shared" si="39"/>
        <v>0.1464290350727904</v>
      </c>
      <c r="CN19" s="141">
        <f t="shared" si="40"/>
        <v>0.006456716484089059</v>
      </c>
      <c r="CO19" s="141">
        <f t="shared" si="41"/>
        <v>0.006456716484089059</v>
      </c>
      <c r="CP19" s="141" t="str">
        <f t="shared" si="42"/>
        <v>-</v>
      </c>
      <c r="CQ19" s="141" t="str">
        <f t="shared" si="43"/>
        <v>-</v>
      </c>
      <c r="CR19" s="142">
        <f t="shared" si="44"/>
        <v>4.40673567567761</v>
      </c>
      <c r="CS19" s="76">
        <f t="shared" si="45"/>
        <v>1170059.05</v>
      </c>
      <c r="CT19" s="80">
        <f t="shared" si="73"/>
        <v>1547758.55</v>
      </c>
      <c r="CU19" s="80">
        <f t="shared" si="74"/>
        <v>1813274.6</v>
      </c>
      <c r="CV19" s="80">
        <f t="shared" si="75"/>
        <v>265516.05000000005</v>
      </c>
      <c r="CW19" s="80">
        <f t="shared" si="76"/>
        <v>0</v>
      </c>
      <c r="CX19" s="80">
        <f t="shared" si="77"/>
        <v>265516.05000000005</v>
      </c>
      <c r="CY19" s="80">
        <f t="shared" si="78"/>
        <v>265516.05000000005</v>
      </c>
      <c r="CZ19" s="80">
        <f t="shared" si="79"/>
        <v>0</v>
      </c>
      <c r="DA19" s="80">
        <f t="shared" si="80"/>
        <v>0</v>
      </c>
      <c r="DB19" s="80">
        <f t="shared" si="81"/>
        <v>265516.05000000005</v>
      </c>
      <c r="DC19" s="80">
        <f t="shared" si="46"/>
        <v>265516.05000000005</v>
      </c>
      <c r="DD19" s="80">
        <f t="shared" si="82"/>
        <v>0</v>
      </c>
      <c r="DE19" s="80">
        <f t="shared" si="83"/>
        <v>265516.05000000005</v>
      </c>
      <c r="DF19" s="80">
        <f t="shared" si="84"/>
        <v>694334.4</v>
      </c>
      <c r="DG19" s="80">
        <f t="shared" si="85"/>
        <v>392.1109416890081</v>
      </c>
      <c r="DH19" s="80">
        <f t="shared" si="86"/>
        <v>3.9235254691688994</v>
      </c>
      <c r="DI19" s="80">
        <f t="shared" si="87"/>
        <v>232.6857908847185</v>
      </c>
      <c r="DJ19" s="81">
        <f t="shared" si="88"/>
        <v>0</v>
      </c>
      <c r="DK19" s="76">
        <f t="shared" si="89"/>
        <v>88.9799095174263</v>
      </c>
      <c r="DL19" s="145">
        <f t="shared" si="49"/>
        <v>1170059.05</v>
      </c>
      <c r="DM19" s="64"/>
      <c r="DN19" s="65"/>
    </row>
    <row r="20" spans="1:118" ht="12.75">
      <c r="A20" s="51" t="s">
        <v>12</v>
      </c>
      <c r="B20" s="46">
        <v>440</v>
      </c>
      <c r="C20" s="38">
        <v>1573282</v>
      </c>
      <c r="D20" s="39">
        <v>3575.64</v>
      </c>
      <c r="E20" s="39">
        <v>100.05</v>
      </c>
      <c r="F20" s="126">
        <v>4</v>
      </c>
      <c r="G20" s="132">
        <v>5350</v>
      </c>
      <c r="H20" s="42">
        <v>977.7</v>
      </c>
      <c r="I20" s="42">
        <v>0</v>
      </c>
      <c r="J20" s="42">
        <v>0</v>
      </c>
      <c r="K20" s="42">
        <v>0</v>
      </c>
      <c r="L20" s="42">
        <v>0</v>
      </c>
      <c r="M20" s="43">
        <f t="shared" si="0"/>
        <v>0</v>
      </c>
      <c r="N20" s="42">
        <v>0</v>
      </c>
      <c r="O20" s="42">
        <v>2040.4</v>
      </c>
      <c r="P20" s="42">
        <v>147261.3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3">
        <f t="shared" si="57"/>
        <v>0</v>
      </c>
      <c r="X20" s="42">
        <v>0</v>
      </c>
      <c r="Y20" s="43">
        <f t="shared" si="58"/>
        <v>155629.4</v>
      </c>
      <c r="Z20" s="42">
        <v>76200.8</v>
      </c>
      <c r="AA20" s="42">
        <v>15150.35</v>
      </c>
      <c r="AB20" s="42">
        <v>0</v>
      </c>
      <c r="AC20" s="42">
        <v>16979.25</v>
      </c>
      <c r="AD20" s="42">
        <v>0</v>
      </c>
      <c r="AE20" s="43">
        <f t="shared" si="59"/>
        <v>108330.40000000001</v>
      </c>
      <c r="AF20" s="42">
        <v>0</v>
      </c>
      <c r="AG20" s="42">
        <v>518.35</v>
      </c>
      <c r="AH20" s="42">
        <v>0</v>
      </c>
      <c r="AI20" s="42">
        <v>84949.15</v>
      </c>
      <c r="AJ20" s="42">
        <v>0</v>
      </c>
      <c r="AK20" s="42">
        <v>1612</v>
      </c>
      <c r="AL20" s="42">
        <v>0</v>
      </c>
      <c r="AM20" s="42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60"/>
        <v>0</v>
      </c>
      <c r="AT20" s="38">
        <v>0</v>
      </c>
      <c r="AU20" s="4">
        <f t="shared" si="61"/>
        <v>195409.90000000002</v>
      </c>
      <c r="AV20" s="38">
        <v>39780.5</v>
      </c>
      <c r="AW20" s="38">
        <v>0</v>
      </c>
      <c r="AX20" s="143">
        <f t="shared" si="62"/>
        <v>-2.9103830456733704E-11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3">
        <f t="shared" si="63"/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3">
        <f t="shared" si="64"/>
        <v>0</v>
      </c>
      <c r="BP20" s="42">
        <v>0</v>
      </c>
      <c r="BQ20" s="42">
        <v>0</v>
      </c>
      <c r="BR20" s="42">
        <v>0</v>
      </c>
      <c r="BS20" s="43">
        <f t="shared" si="65"/>
        <v>0</v>
      </c>
      <c r="BT20" s="38">
        <v>312587.83</v>
      </c>
      <c r="BU20" s="38"/>
      <c r="BV20" s="38"/>
      <c r="BW20" s="38"/>
      <c r="BX20" s="4">
        <f t="shared" si="90"/>
        <v>312587.83</v>
      </c>
      <c r="BY20" s="38">
        <v>92594.3</v>
      </c>
      <c r="BZ20" s="38"/>
      <c r="CA20" s="38">
        <v>219993.53</v>
      </c>
      <c r="CB20" s="4">
        <f t="shared" si="66"/>
        <v>312587.83</v>
      </c>
      <c r="CC20" s="143">
        <f t="shared" si="67"/>
        <v>0</v>
      </c>
      <c r="CD20" s="74">
        <f t="shared" si="68"/>
        <v>39780.5</v>
      </c>
      <c r="CE20" s="76">
        <f t="shared" si="69"/>
        <v>39780.5</v>
      </c>
      <c r="CF20" s="76">
        <f t="shared" si="70"/>
        <v>0</v>
      </c>
      <c r="CG20" s="76">
        <f t="shared" si="54"/>
        <v>195409.90000000002</v>
      </c>
      <c r="CH20" s="76">
        <f t="shared" si="71"/>
        <v>-518.35</v>
      </c>
      <c r="CI20" s="37">
        <f t="shared" si="72"/>
        <v>-518.35</v>
      </c>
      <c r="CJ20" s="59" t="str">
        <f t="shared" si="36"/>
        <v>-</v>
      </c>
      <c r="CK20" s="59" t="str">
        <f t="shared" si="37"/>
        <v>-</v>
      </c>
      <c r="CL20" s="141">
        <f t="shared" si="38"/>
        <v>0.20357463977004234</v>
      </c>
      <c r="CM20" s="141">
        <f t="shared" si="39"/>
        <v>0.20357463977004234</v>
      </c>
      <c r="CN20" s="141">
        <f t="shared" si="40"/>
        <v>-0.002652629165666632</v>
      </c>
      <c r="CO20" s="141">
        <f t="shared" si="41"/>
        <v>-0.002652629165666632</v>
      </c>
      <c r="CP20" s="141" t="str">
        <f t="shared" si="42"/>
        <v>-</v>
      </c>
      <c r="CQ20" s="141" t="str">
        <f t="shared" si="43"/>
        <v>-</v>
      </c>
      <c r="CR20" s="142">
        <f t="shared" si="44"/>
        <v>5.5301851409610245</v>
      </c>
      <c r="CS20" s="76">
        <f t="shared" si="45"/>
        <v>219993.53000000003</v>
      </c>
      <c r="CT20" s="80">
        <f t="shared" si="73"/>
        <v>155629.4</v>
      </c>
      <c r="CU20" s="80">
        <f t="shared" si="74"/>
        <v>195409.90000000002</v>
      </c>
      <c r="CV20" s="80">
        <f t="shared" si="75"/>
        <v>39780.50000000003</v>
      </c>
      <c r="CW20" s="80">
        <f t="shared" si="76"/>
        <v>0</v>
      </c>
      <c r="CX20" s="80">
        <f t="shared" si="77"/>
        <v>39780.50000000003</v>
      </c>
      <c r="CY20" s="80">
        <f t="shared" si="78"/>
        <v>39780.50000000003</v>
      </c>
      <c r="CZ20" s="80">
        <f t="shared" si="79"/>
        <v>0</v>
      </c>
      <c r="DA20" s="80">
        <f t="shared" si="80"/>
        <v>0</v>
      </c>
      <c r="DB20" s="80">
        <f t="shared" si="81"/>
        <v>39780.50000000003</v>
      </c>
      <c r="DC20" s="80">
        <f t="shared" si="46"/>
        <v>39780.50000000003</v>
      </c>
      <c r="DD20" s="80">
        <f t="shared" si="82"/>
        <v>0</v>
      </c>
      <c r="DE20" s="80">
        <f t="shared" si="83"/>
        <v>39780.50000000003</v>
      </c>
      <c r="DF20" s="80">
        <f t="shared" si="84"/>
        <v>91351.15000000001</v>
      </c>
      <c r="DG20" s="80">
        <f t="shared" si="85"/>
        <v>499.9852954545455</v>
      </c>
      <c r="DH20" s="80">
        <f t="shared" si="86"/>
        <v>-1.178068181818182</v>
      </c>
      <c r="DI20" s="80">
        <f t="shared" si="87"/>
        <v>207.61625</v>
      </c>
      <c r="DJ20" s="81">
        <f t="shared" si="88"/>
        <v>0</v>
      </c>
      <c r="DK20" s="76">
        <f t="shared" si="89"/>
        <v>90.41022727272734</v>
      </c>
      <c r="DL20" s="145">
        <f t="shared" si="49"/>
        <v>219993.53</v>
      </c>
      <c r="DM20" s="67"/>
      <c r="DN20" s="68"/>
    </row>
    <row r="21" spans="1:118" ht="12.75">
      <c r="A21" s="52" t="s">
        <v>13</v>
      </c>
      <c r="B21" s="41">
        <v>3980</v>
      </c>
      <c r="C21" s="4">
        <v>16451699</v>
      </c>
      <c r="D21" s="34">
        <v>4133.59</v>
      </c>
      <c r="E21" s="34">
        <v>115.66</v>
      </c>
      <c r="F21" s="8">
        <v>2</v>
      </c>
      <c r="G21" s="131">
        <v>182082.05</v>
      </c>
      <c r="H21" s="43">
        <v>50894.1</v>
      </c>
      <c r="I21" s="43">
        <v>0</v>
      </c>
      <c r="J21" s="43">
        <v>0</v>
      </c>
      <c r="K21" s="43">
        <v>0</v>
      </c>
      <c r="L21" s="43">
        <v>0</v>
      </c>
      <c r="M21" s="43">
        <f t="shared" si="0"/>
        <v>0</v>
      </c>
      <c r="N21" s="43">
        <v>0</v>
      </c>
      <c r="O21" s="43">
        <v>0</v>
      </c>
      <c r="P21" s="43">
        <v>2024330.15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f t="shared" si="57"/>
        <v>0</v>
      </c>
      <c r="X21" s="43">
        <v>68530</v>
      </c>
      <c r="Y21" s="43">
        <f t="shared" si="58"/>
        <v>2325836.3</v>
      </c>
      <c r="Z21" s="43">
        <v>584226.55</v>
      </c>
      <c r="AA21" s="43">
        <v>57506.8</v>
      </c>
      <c r="AB21" s="43">
        <v>0</v>
      </c>
      <c r="AC21" s="43">
        <v>153585.1</v>
      </c>
      <c r="AD21" s="43">
        <v>0</v>
      </c>
      <c r="AE21" s="43">
        <f t="shared" si="59"/>
        <v>795318.4500000001</v>
      </c>
      <c r="AF21" s="43">
        <v>0</v>
      </c>
      <c r="AG21" s="43">
        <v>3685.6</v>
      </c>
      <c r="AH21" s="43">
        <v>0</v>
      </c>
      <c r="AI21" s="43">
        <v>927514.55</v>
      </c>
      <c r="AJ21" s="43">
        <v>0</v>
      </c>
      <c r="AK21" s="43">
        <v>81410.65</v>
      </c>
      <c r="AL21" s="43">
        <v>0</v>
      </c>
      <c r="AM21" s="43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60"/>
        <v>0</v>
      </c>
      <c r="AT21" s="4">
        <v>68530</v>
      </c>
      <c r="AU21" s="4">
        <f t="shared" si="61"/>
        <v>1876459.25</v>
      </c>
      <c r="AV21" s="4">
        <v>0</v>
      </c>
      <c r="AW21" s="4">
        <v>449377.05</v>
      </c>
      <c r="AX21" s="143">
        <f t="shared" si="62"/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f t="shared" si="63"/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f t="shared" si="64"/>
        <v>0</v>
      </c>
      <c r="BP21" s="43">
        <v>0</v>
      </c>
      <c r="BQ21" s="43">
        <v>0</v>
      </c>
      <c r="BR21" s="43">
        <v>0</v>
      </c>
      <c r="BS21" s="43">
        <f t="shared" si="65"/>
        <v>0</v>
      </c>
      <c r="BT21" s="4">
        <v>818616.32</v>
      </c>
      <c r="BU21" s="4">
        <v>0</v>
      </c>
      <c r="BV21" s="4">
        <v>0</v>
      </c>
      <c r="BW21" s="4">
        <v>0</v>
      </c>
      <c r="BX21" s="4">
        <f t="shared" si="90"/>
        <v>818616.32</v>
      </c>
      <c r="BY21" s="4">
        <v>552866.43</v>
      </c>
      <c r="BZ21" s="4"/>
      <c r="CA21" s="4">
        <v>265749.89</v>
      </c>
      <c r="CB21" s="4">
        <f t="shared" si="66"/>
        <v>818616.3200000001</v>
      </c>
      <c r="CC21" s="143">
        <f t="shared" si="67"/>
        <v>0</v>
      </c>
      <c r="CD21" s="74">
        <f t="shared" si="68"/>
        <v>-449377.05</v>
      </c>
      <c r="CE21" s="76">
        <f t="shared" si="69"/>
        <v>-449377.05</v>
      </c>
      <c r="CF21" s="76">
        <f t="shared" si="70"/>
        <v>0</v>
      </c>
      <c r="CG21" s="76">
        <f t="shared" si="54"/>
        <v>1807929.25</v>
      </c>
      <c r="CH21" s="76">
        <f t="shared" si="71"/>
        <v>-3685.6</v>
      </c>
      <c r="CI21" s="37">
        <f t="shared" si="72"/>
        <v>-3685.6</v>
      </c>
      <c r="CJ21" s="59" t="str">
        <f t="shared" si="36"/>
        <v>-</v>
      </c>
      <c r="CK21" s="59" t="str">
        <f t="shared" si="37"/>
        <v>-</v>
      </c>
      <c r="CL21" s="141">
        <f t="shared" si="38"/>
        <v>-0.24855897983839798</v>
      </c>
      <c r="CM21" s="141">
        <f t="shared" si="39"/>
        <v>-0.24855897983839798</v>
      </c>
      <c r="CN21" s="141">
        <f t="shared" si="40"/>
        <v>-0.0020385753480120974</v>
      </c>
      <c r="CO21" s="141">
        <f t="shared" si="41"/>
        <v>-0.0020385753480120974</v>
      </c>
      <c r="CP21" s="141" t="str">
        <f t="shared" si="42"/>
        <v>-</v>
      </c>
      <c r="CQ21" s="141" t="str">
        <f t="shared" si="43"/>
        <v>-</v>
      </c>
      <c r="CR21" s="142">
        <f t="shared" si="44"/>
        <v>-0.5913739698099845</v>
      </c>
      <c r="CS21" s="76">
        <f t="shared" si="45"/>
        <v>265749.8899999999</v>
      </c>
      <c r="CT21" s="80">
        <f t="shared" si="73"/>
        <v>2325836.3</v>
      </c>
      <c r="CU21" s="80">
        <f t="shared" si="74"/>
        <v>1876459.25</v>
      </c>
      <c r="CV21" s="80">
        <f t="shared" si="75"/>
        <v>-449377.0499999998</v>
      </c>
      <c r="CW21" s="80">
        <f t="shared" si="76"/>
        <v>0</v>
      </c>
      <c r="CX21" s="80">
        <f t="shared" si="77"/>
        <v>-449377.0499999998</v>
      </c>
      <c r="CY21" s="80">
        <f t="shared" si="78"/>
        <v>-449377.0499999998</v>
      </c>
      <c r="CZ21" s="80">
        <f t="shared" si="79"/>
        <v>0</v>
      </c>
      <c r="DA21" s="80">
        <f t="shared" si="80"/>
        <v>0</v>
      </c>
      <c r="DB21" s="80">
        <f t="shared" si="81"/>
        <v>-449377.0499999998</v>
      </c>
      <c r="DC21" s="80">
        <f t="shared" si="46"/>
        <v>-449377.0499999998</v>
      </c>
      <c r="DD21" s="80">
        <f t="shared" si="82"/>
        <v>0</v>
      </c>
      <c r="DE21" s="80">
        <f t="shared" si="83"/>
        <v>-449377.0499999998</v>
      </c>
      <c r="DF21" s="80">
        <f t="shared" si="84"/>
        <v>641733.3500000001</v>
      </c>
      <c r="DG21" s="80">
        <f t="shared" si="85"/>
        <v>66.77132914572861</v>
      </c>
      <c r="DH21" s="80">
        <f t="shared" si="86"/>
        <v>-0.9260301507537688</v>
      </c>
      <c r="DI21" s="80">
        <f t="shared" si="87"/>
        <v>161.2395351758794</v>
      </c>
      <c r="DJ21" s="81">
        <f t="shared" si="88"/>
        <v>0</v>
      </c>
      <c r="DK21" s="76">
        <f t="shared" si="89"/>
        <v>-112.90880653266326</v>
      </c>
      <c r="DL21" s="145">
        <f t="shared" si="49"/>
        <v>265749.89</v>
      </c>
      <c r="DM21" s="64"/>
      <c r="DN21" s="65"/>
    </row>
    <row r="22" spans="1:118" ht="12.75">
      <c r="A22" s="51" t="s">
        <v>14</v>
      </c>
      <c r="B22" s="46">
        <v>2833</v>
      </c>
      <c r="C22" s="38">
        <v>9848677</v>
      </c>
      <c r="D22" s="39">
        <v>3476.41</v>
      </c>
      <c r="E22" s="39">
        <v>97.27</v>
      </c>
      <c r="F22" s="126">
        <v>3</v>
      </c>
      <c r="G22" s="132">
        <v>59766.95</v>
      </c>
      <c r="H22" s="42">
        <v>11128</v>
      </c>
      <c r="I22" s="42">
        <v>0</v>
      </c>
      <c r="J22" s="42">
        <v>0</v>
      </c>
      <c r="K22" s="42">
        <v>0</v>
      </c>
      <c r="L22" s="42">
        <v>0</v>
      </c>
      <c r="M22" s="43">
        <f t="shared" si="0"/>
        <v>0</v>
      </c>
      <c r="N22" s="42">
        <v>0</v>
      </c>
      <c r="O22" s="42">
        <v>0</v>
      </c>
      <c r="P22" s="42">
        <v>696072.4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3">
        <f t="shared" si="57"/>
        <v>0</v>
      </c>
      <c r="X22" s="42">
        <v>0</v>
      </c>
      <c r="Y22" s="43">
        <f t="shared" si="58"/>
        <v>766967.35</v>
      </c>
      <c r="Z22" s="42">
        <v>502562.15</v>
      </c>
      <c r="AA22" s="42">
        <v>0</v>
      </c>
      <c r="AB22" s="42">
        <v>0</v>
      </c>
      <c r="AC22" s="42">
        <v>109323.25</v>
      </c>
      <c r="AD22" s="42">
        <v>0</v>
      </c>
      <c r="AE22" s="43">
        <f t="shared" si="59"/>
        <v>611885.4</v>
      </c>
      <c r="AF22" s="42">
        <v>0</v>
      </c>
      <c r="AG22" s="42">
        <v>27813</v>
      </c>
      <c r="AH22" s="42">
        <v>9651.4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4">
        <f t="shared" si="60"/>
        <v>0</v>
      </c>
      <c r="AT22" s="38">
        <v>0</v>
      </c>
      <c r="AU22" s="4">
        <f t="shared" si="61"/>
        <v>639698.3999999999</v>
      </c>
      <c r="AV22" s="38">
        <v>0</v>
      </c>
      <c r="AW22" s="38">
        <v>127268.95</v>
      </c>
      <c r="AX22" s="143">
        <f t="shared" si="62"/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3">
        <f t="shared" si="63"/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3">
        <f t="shared" si="64"/>
        <v>0</v>
      </c>
      <c r="BP22" s="42">
        <v>0</v>
      </c>
      <c r="BQ22" s="42">
        <v>0</v>
      </c>
      <c r="BR22" s="42">
        <v>0</v>
      </c>
      <c r="BS22" s="43">
        <f t="shared" si="65"/>
        <v>0</v>
      </c>
      <c r="BT22" s="38">
        <v>878417.18</v>
      </c>
      <c r="BU22" s="38">
        <v>1</v>
      </c>
      <c r="BV22" s="38"/>
      <c r="BW22" s="38"/>
      <c r="BX22" s="4">
        <f t="shared" si="90"/>
        <v>878418.18</v>
      </c>
      <c r="BY22" s="38">
        <v>293138</v>
      </c>
      <c r="BZ22" s="38"/>
      <c r="CA22" s="38">
        <v>585280.18</v>
      </c>
      <c r="CB22" s="4">
        <f t="shared" si="66"/>
        <v>878418.18</v>
      </c>
      <c r="CC22" s="143">
        <f t="shared" si="67"/>
        <v>0</v>
      </c>
      <c r="CD22" s="74">
        <f t="shared" si="68"/>
        <v>-127268.95</v>
      </c>
      <c r="CE22" s="76">
        <f t="shared" si="69"/>
        <v>-127268.95</v>
      </c>
      <c r="CF22" s="76">
        <f t="shared" si="70"/>
        <v>0</v>
      </c>
      <c r="CG22" s="76">
        <f t="shared" si="54"/>
        <v>639698.3999999999</v>
      </c>
      <c r="CH22" s="76">
        <f t="shared" si="71"/>
        <v>-18161.6</v>
      </c>
      <c r="CI22" s="37">
        <f t="shared" si="72"/>
        <v>-18161.6</v>
      </c>
      <c r="CJ22" s="59" t="str">
        <f t="shared" si="36"/>
        <v>-</v>
      </c>
      <c r="CK22" s="59" t="str">
        <f t="shared" si="37"/>
        <v>-</v>
      </c>
      <c r="CL22" s="141">
        <f t="shared" si="38"/>
        <v>-0.1989514902647873</v>
      </c>
      <c r="CM22" s="141">
        <f t="shared" si="39"/>
        <v>-0.1989514902647873</v>
      </c>
      <c r="CN22" s="141">
        <f t="shared" si="40"/>
        <v>-0.02839087920182386</v>
      </c>
      <c r="CO22" s="141">
        <f t="shared" si="41"/>
        <v>-0.02839087920182386</v>
      </c>
      <c r="CP22" s="141">
        <f t="shared" si="42"/>
        <v>0</v>
      </c>
      <c r="CQ22" s="141">
        <f t="shared" si="43"/>
        <v>0</v>
      </c>
      <c r="CR22" s="142">
        <f t="shared" si="44"/>
        <v>-4.598758613157412</v>
      </c>
      <c r="CS22" s="76">
        <f t="shared" si="45"/>
        <v>585279.18</v>
      </c>
      <c r="CT22" s="80">
        <f t="shared" si="73"/>
        <v>766967.35</v>
      </c>
      <c r="CU22" s="80">
        <f t="shared" si="74"/>
        <v>639698.3999999999</v>
      </c>
      <c r="CV22" s="80">
        <f t="shared" si="75"/>
        <v>-127268.95000000007</v>
      </c>
      <c r="CW22" s="80">
        <f t="shared" si="76"/>
        <v>0</v>
      </c>
      <c r="CX22" s="80">
        <f t="shared" si="77"/>
        <v>-127268.95000000007</v>
      </c>
      <c r="CY22" s="80">
        <f t="shared" si="78"/>
        <v>-127268.95000000007</v>
      </c>
      <c r="CZ22" s="80">
        <f t="shared" si="79"/>
        <v>0</v>
      </c>
      <c r="DA22" s="80">
        <f t="shared" si="80"/>
        <v>0</v>
      </c>
      <c r="DB22" s="80">
        <f t="shared" si="81"/>
        <v>-127268.95000000007</v>
      </c>
      <c r="DC22" s="80">
        <f t="shared" si="46"/>
        <v>-127268.95000000007</v>
      </c>
      <c r="DD22" s="80">
        <f t="shared" si="82"/>
        <v>0</v>
      </c>
      <c r="DE22" s="80">
        <f t="shared" si="83"/>
        <v>-127268.95000000007</v>
      </c>
      <c r="DF22" s="80">
        <f t="shared" si="84"/>
        <v>502562.15</v>
      </c>
      <c r="DG22" s="80">
        <f t="shared" si="85"/>
        <v>206.59342746205436</v>
      </c>
      <c r="DH22" s="80">
        <f t="shared" si="86"/>
        <v>-6.410730674196964</v>
      </c>
      <c r="DI22" s="80">
        <f t="shared" si="87"/>
        <v>177.39574655841864</v>
      </c>
      <c r="DJ22" s="81">
        <f t="shared" si="88"/>
        <v>0</v>
      </c>
      <c r="DK22" s="76">
        <f t="shared" si="89"/>
        <v>-44.92373808683377</v>
      </c>
      <c r="DL22" s="145">
        <f t="shared" si="49"/>
        <v>585279.18</v>
      </c>
      <c r="DM22" s="67"/>
      <c r="DN22" s="68"/>
    </row>
    <row r="23" spans="1:118" ht="12.75">
      <c r="A23" s="52" t="s">
        <v>15</v>
      </c>
      <c r="B23" s="41">
        <v>244</v>
      </c>
      <c r="C23" s="4">
        <v>781877</v>
      </c>
      <c r="D23" s="34">
        <v>3204.41</v>
      </c>
      <c r="E23" s="34">
        <v>89.66</v>
      </c>
      <c r="F23" s="8">
        <v>3</v>
      </c>
      <c r="G23" s="137">
        <f>(G41/($B$12+$B$14+$B$23)*$B$23)</f>
        <v>4758.916159695817</v>
      </c>
      <c r="H23" s="137">
        <f aca="true" t="shared" si="91" ref="H23:BU23">(H41/($B$12+$B$14+$B$23)*$B$23)</f>
        <v>1051.1019011406843</v>
      </c>
      <c r="I23" s="137">
        <f t="shared" si="91"/>
        <v>0</v>
      </c>
      <c r="J23" s="137">
        <f t="shared" si="91"/>
        <v>0</v>
      </c>
      <c r="K23" s="137">
        <f t="shared" si="91"/>
        <v>0</v>
      </c>
      <c r="L23" s="137">
        <f t="shared" si="91"/>
        <v>0</v>
      </c>
      <c r="M23" s="43">
        <f t="shared" si="0"/>
        <v>0</v>
      </c>
      <c r="N23" s="137">
        <f t="shared" si="91"/>
        <v>0</v>
      </c>
      <c r="O23" s="137">
        <f t="shared" si="91"/>
        <v>0</v>
      </c>
      <c r="P23" s="137">
        <f t="shared" si="91"/>
        <v>75342.21330798478</v>
      </c>
      <c r="Q23" s="137">
        <f t="shared" si="91"/>
        <v>0</v>
      </c>
      <c r="R23" s="137">
        <f t="shared" si="91"/>
        <v>0</v>
      </c>
      <c r="S23" s="137">
        <f t="shared" si="91"/>
        <v>0</v>
      </c>
      <c r="T23" s="137">
        <f t="shared" si="91"/>
        <v>0</v>
      </c>
      <c r="U23" s="137">
        <f t="shared" si="91"/>
        <v>0</v>
      </c>
      <c r="V23" s="137">
        <f t="shared" si="91"/>
        <v>0</v>
      </c>
      <c r="W23" s="43">
        <f t="shared" si="57"/>
        <v>0</v>
      </c>
      <c r="X23" s="137">
        <f t="shared" si="91"/>
        <v>0</v>
      </c>
      <c r="Y23" s="43">
        <f>SUM(G23:X23)-M23-W23</f>
        <v>81152.23136882129</v>
      </c>
      <c r="Z23" s="137">
        <f t="shared" si="91"/>
        <v>22744.081939163498</v>
      </c>
      <c r="AA23" s="137">
        <f t="shared" si="91"/>
        <v>15453.051140684409</v>
      </c>
      <c r="AB23" s="137">
        <f t="shared" si="91"/>
        <v>0</v>
      </c>
      <c r="AC23" s="137">
        <f t="shared" si="91"/>
        <v>9415.767490494296</v>
      </c>
      <c r="AD23" s="137">
        <f t="shared" si="91"/>
        <v>0</v>
      </c>
      <c r="AE23" s="43">
        <f t="shared" si="59"/>
        <v>47612.9005703422</v>
      </c>
      <c r="AF23" s="137">
        <f t="shared" si="91"/>
        <v>0</v>
      </c>
      <c r="AG23" s="137">
        <f t="shared" si="91"/>
        <v>5629.047528517111</v>
      </c>
      <c r="AH23" s="137">
        <f t="shared" si="91"/>
        <v>0</v>
      </c>
      <c r="AI23" s="137">
        <f t="shared" si="91"/>
        <v>28453.322433460078</v>
      </c>
      <c r="AJ23" s="137">
        <f t="shared" si="91"/>
        <v>0</v>
      </c>
      <c r="AK23" s="137">
        <f t="shared" si="91"/>
        <v>0</v>
      </c>
      <c r="AL23" s="137">
        <f t="shared" si="91"/>
        <v>6.157984790874525</v>
      </c>
      <c r="AM23" s="137">
        <f t="shared" si="91"/>
        <v>0</v>
      </c>
      <c r="AN23" s="137">
        <f t="shared" si="91"/>
        <v>0</v>
      </c>
      <c r="AO23" s="137">
        <f t="shared" si="91"/>
        <v>0</v>
      </c>
      <c r="AP23" s="137">
        <f t="shared" si="91"/>
        <v>0</v>
      </c>
      <c r="AQ23" s="137">
        <f t="shared" si="91"/>
        <v>0</v>
      </c>
      <c r="AR23" s="137">
        <f t="shared" si="91"/>
        <v>0</v>
      </c>
      <c r="AS23" s="4">
        <f t="shared" si="60"/>
        <v>0</v>
      </c>
      <c r="AT23" s="137">
        <f t="shared" si="91"/>
        <v>0</v>
      </c>
      <c r="AU23" s="4">
        <f t="shared" si="61"/>
        <v>81701.42851711027</v>
      </c>
      <c r="AV23" s="137">
        <f t="shared" si="91"/>
        <v>549.1971482889734</v>
      </c>
      <c r="AW23" s="137">
        <f t="shared" si="91"/>
        <v>0</v>
      </c>
      <c r="AX23" s="4">
        <f t="shared" si="62"/>
        <v>-5.115907697472721E-12</v>
      </c>
      <c r="AY23" s="137">
        <f t="shared" si="91"/>
        <v>0</v>
      </c>
      <c r="AZ23" s="137">
        <f t="shared" si="91"/>
        <v>0</v>
      </c>
      <c r="BA23" s="137">
        <f t="shared" si="91"/>
        <v>0</v>
      </c>
      <c r="BB23" s="137">
        <f t="shared" si="91"/>
        <v>0</v>
      </c>
      <c r="BC23" s="137">
        <f t="shared" si="91"/>
        <v>0</v>
      </c>
      <c r="BD23" s="137">
        <f t="shared" si="91"/>
        <v>0</v>
      </c>
      <c r="BE23" s="137">
        <f t="shared" si="91"/>
        <v>0</v>
      </c>
      <c r="BF23" s="43">
        <f t="shared" si="63"/>
        <v>0</v>
      </c>
      <c r="BG23" s="137">
        <f t="shared" si="91"/>
        <v>0</v>
      </c>
      <c r="BH23" s="137">
        <f t="shared" si="91"/>
        <v>0</v>
      </c>
      <c r="BI23" s="137">
        <f t="shared" si="91"/>
        <v>0</v>
      </c>
      <c r="BJ23" s="137">
        <f t="shared" si="91"/>
        <v>0</v>
      </c>
      <c r="BK23" s="137">
        <f t="shared" si="91"/>
        <v>0</v>
      </c>
      <c r="BL23" s="137">
        <f t="shared" si="91"/>
        <v>0</v>
      </c>
      <c r="BM23" s="137">
        <f t="shared" si="91"/>
        <v>0</v>
      </c>
      <c r="BN23" s="137">
        <f t="shared" si="91"/>
        <v>0</v>
      </c>
      <c r="BO23" s="43">
        <f t="shared" si="64"/>
        <v>0</v>
      </c>
      <c r="BP23" s="137">
        <f t="shared" si="91"/>
        <v>0</v>
      </c>
      <c r="BQ23" s="137">
        <f t="shared" si="91"/>
        <v>0</v>
      </c>
      <c r="BR23" s="137">
        <f t="shared" si="91"/>
        <v>0</v>
      </c>
      <c r="BS23" s="43">
        <f t="shared" si="65"/>
        <v>0</v>
      </c>
      <c r="BT23" s="137">
        <f t="shared" si="91"/>
        <v>273309.12923954375</v>
      </c>
      <c r="BU23" s="137">
        <f t="shared" si="91"/>
        <v>0.23193916349809887</v>
      </c>
      <c r="BV23" s="137">
        <f aca="true" t="shared" si="92" ref="BV23:CA23">(BV41/($B$12+$B$14+$B$23)*$B$23)</f>
        <v>0</v>
      </c>
      <c r="BW23" s="137">
        <f t="shared" si="92"/>
        <v>0</v>
      </c>
      <c r="BX23" s="4">
        <f t="shared" si="90"/>
        <v>273309.3611787073</v>
      </c>
      <c r="BY23" s="137">
        <f t="shared" si="92"/>
        <v>37117.36349809886</v>
      </c>
      <c r="BZ23" s="137">
        <f t="shared" si="92"/>
        <v>0</v>
      </c>
      <c r="CA23" s="137">
        <f t="shared" si="92"/>
        <v>236191.99768060836</v>
      </c>
      <c r="CB23" s="4">
        <f t="shared" si="66"/>
        <v>273309.3611787072</v>
      </c>
      <c r="CC23" s="4">
        <f t="shared" si="67"/>
        <v>0</v>
      </c>
      <c r="CD23" s="74">
        <f>K23+L23+AV23-AW23</f>
        <v>549.1971482889734</v>
      </c>
      <c r="CE23" s="76">
        <f t="shared" si="69"/>
        <v>549.1971482889734</v>
      </c>
      <c r="CF23" s="76">
        <f t="shared" si="70"/>
        <v>0</v>
      </c>
      <c r="CG23" s="76">
        <f t="shared" si="54"/>
        <v>81701.42851711027</v>
      </c>
      <c r="CH23" s="76">
        <f t="shared" si="71"/>
        <v>-5629.047528517111</v>
      </c>
      <c r="CI23" s="37">
        <f t="shared" si="72"/>
        <v>-5629.047528517111</v>
      </c>
      <c r="CJ23" s="59" t="str">
        <f t="shared" si="36"/>
        <v>-</v>
      </c>
      <c r="CK23" s="59" t="str">
        <f t="shared" si="37"/>
        <v>-</v>
      </c>
      <c r="CL23" s="141">
        <f t="shared" si="38"/>
        <v>0.00672200178450929</v>
      </c>
      <c r="CM23" s="141">
        <f t="shared" si="39"/>
        <v>0.00672200178450929</v>
      </c>
      <c r="CN23" s="141">
        <f t="shared" si="40"/>
        <v>-0.06889778588557055</v>
      </c>
      <c r="CO23" s="141">
        <f t="shared" si="41"/>
        <v>-0.06889778588557055</v>
      </c>
      <c r="CP23" s="141">
        <f t="shared" si="42"/>
        <v>0</v>
      </c>
      <c r="CQ23" s="141">
        <f t="shared" si="43"/>
        <v>0</v>
      </c>
      <c r="CR23" s="142">
        <f t="shared" si="44"/>
        <v>430.0673564626138</v>
      </c>
      <c r="CS23" s="76">
        <f t="shared" si="45"/>
        <v>236191.7657414449</v>
      </c>
      <c r="CT23" s="80">
        <f t="shared" si="73"/>
        <v>81152.23136882129</v>
      </c>
      <c r="CU23" s="80">
        <f t="shared" si="74"/>
        <v>81701.42851711027</v>
      </c>
      <c r="CV23" s="80">
        <f t="shared" si="75"/>
        <v>549.1971482889785</v>
      </c>
      <c r="CW23" s="80">
        <f t="shared" si="76"/>
        <v>0</v>
      </c>
      <c r="CX23" s="80">
        <f t="shared" si="77"/>
        <v>549.1971482889785</v>
      </c>
      <c r="CY23" s="80">
        <f t="shared" si="78"/>
        <v>549.1971482889785</v>
      </c>
      <c r="CZ23" s="80">
        <f t="shared" si="79"/>
        <v>0</v>
      </c>
      <c r="DA23" s="80">
        <f t="shared" si="80"/>
        <v>0</v>
      </c>
      <c r="DB23" s="80">
        <f t="shared" si="81"/>
        <v>549.1971482889785</v>
      </c>
      <c r="DC23" s="80">
        <f t="shared" si="46"/>
        <v>549.1971482889785</v>
      </c>
      <c r="DD23" s="80">
        <f t="shared" si="82"/>
        <v>0</v>
      </c>
      <c r="DE23" s="80">
        <f t="shared" si="83"/>
        <v>549.1971482889785</v>
      </c>
      <c r="DF23" s="80">
        <f t="shared" si="84"/>
        <v>38197.1330798479</v>
      </c>
      <c r="DG23" s="80">
        <f t="shared" si="85"/>
        <v>967.9990399239545</v>
      </c>
      <c r="DH23" s="80">
        <f t="shared" si="86"/>
        <v>-23.06986692015209</v>
      </c>
      <c r="DI23" s="80">
        <f t="shared" si="87"/>
        <v>156.54562737642584</v>
      </c>
      <c r="DJ23" s="81">
        <f t="shared" si="88"/>
        <v>0</v>
      </c>
      <c r="DK23" s="76">
        <f t="shared" si="89"/>
        <v>2.2508079847908955</v>
      </c>
      <c r="DL23" s="145">
        <f t="shared" si="49"/>
        <v>236191.76574144486</v>
      </c>
      <c r="DM23" s="64"/>
      <c r="DN23" s="65"/>
    </row>
    <row r="24" spans="1:118" ht="12.75">
      <c r="A24" s="51" t="s">
        <v>16</v>
      </c>
      <c r="B24" s="46">
        <v>3701</v>
      </c>
      <c r="C24" s="38">
        <v>13322379</v>
      </c>
      <c r="D24" s="39">
        <v>3599.67</v>
      </c>
      <c r="E24" s="39">
        <v>100.72</v>
      </c>
      <c r="F24" s="126">
        <v>2</v>
      </c>
      <c r="G24" s="132">
        <f>36552.8+25921.2+268+3738.7</f>
        <v>66480.7</v>
      </c>
      <c r="H24" s="42">
        <f>1822.55+1492.6+8200+882.95+500+1067.45+1784.4+172.2+840</f>
        <v>16762.15</v>
      </c>
      <c r="I24" s="42">
        <v>0</v>
      </c>
      <c r="J24" s="42">
        <v>0</v>
      </c>
      <c r="K24" s="42">
        <v>0</v>
      </c>
      <c r="L24" s="42">
        <v>0</v>
      </c>
      <c r="M24" s="43">
        <f t="shared" si="0"/>
        <v>0</v>
      </c>
      <c r="N24" s="42">
        <v>0</v>
      </c>
      <c r="O24" s="42">
        <v>0</v>
      </c>
      <c r="P24" s="42">
        <f>41215+7076.2+5661.5+310284.05+4700+3304.55+59230.4+232771.05+7551.15+288475.6+178857.75+31615.5</f>
        <v>1170742.75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3">
        <f t="shared" si="57"/>
        <v>0</v>
      </c>
      <c r="X24" s="42">
        <v>0</v>
      </c>
      <c r="Y24" s="43">
        <f t="shared" si="58"/>
        <v>1253985.6</v>
      </c>
      <c r="Z24" s="42">
        <f>210942.4+230379.8</f>
        <v>441322.19999999995</v>
      </c>
      <c r="AA24" s="42">
        <f>60143.8</f>
        <v>60143.8</v>
      </c>
      <c r="AB24" s="42">
        <v>0</v>
      </c>
      <c r="AC24" s="42">
        <v>142818.7</v>
      </c>
      <c r="AD24" s="42">
        <v>0</v>
      </c>
      <c r="AE24" s="43">
        <f t="shared" si="59"/>
        <v>644284.7</v>
      </c>
      <c r="AF24" s="42">
        <v>0</v>
      </c>
      <c r="AG24" s="42">
        <f>29397.2+945</f>
        <v>30342.2</v>
      </c>
      <c r="AH24" s="42">
        <v>0</v>
      </c>
      <c r="AI24" s="42">
        <f>127280.35+50746.3+229407.5+17374.95+257074.5</f>
        <v>681883.6000000001</v>
      </c>
      <c r="AJ24" s="42">
        <v>0</v>
      </c>
      <c r="AK24" s="42">
        <f>20956</f>
        <v>20956</v>
      </c>
      <c r="AL24" s="42">
        <v>0</v>
      </c>
      <c r="AM24" s="42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60"/>
        <v>0</v>
      </c>
      <c r="AT24" s="38">
        <v>0</v>
      </c>
      <c r="AU24" s="4">
        <f t="shared" si="61"/>
        <v>1377466.5</v>
      </c>
      <c r="AV24" s="38">
        <v>123480.9</v>
      </c>
      <c r="AW24" s="38">
        <v>0</v>
      </c>
      <c r="AX24" s="143">
        <f t="shared" si="62"/>
        <v>8.731149137020111E-11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3">
        <f t="shared" si="63"/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3">
        <f t="shared" si="64"/>
        <v>0</v>
      </c>
      <c r="BP24" s="42">
        <v>0</v>
      </c>
      <c r="BQ24" s="42">
        <v>0</v>
      </c>
      <c r="BR24" s="42">
        <v>0</v>
      </c>
      <c r="BS24" s="43">
        <f t="shared" si="65"/>
        <v>0</v>
      </c>
      <c r="BT24" s="38">
        <v>1511398.42</v>
      </c>
      <c r="BU24" s="38">
        <v>0</v>
      </c>
      <c r="BV24" s="38">
        <v>0</v>
      </c>
      <c r="BW24" s="38"/>
      <c r="BX24" s="4">
        <f t="shared" si="90"/>
        <v>1511398.42</v>
      </c>
      <c r="BY24" s="38">
        <v>364882.85</v>
      </c>
      <c r="BZ24" s="38">
        <v>20000</v>
      </c>
      <c r="CA24" s="38">
        <f>1126515.57</f>
        <v>1126515.57</v>
      </c>
      <c r="CB24" s="4">
        <f t="shared" si="66"/>
        <v>1511398.42</v>
      </c>
      <c r="CC24" s="4">
        <f t="shared" si="67"/>
        <v>0</v>
      </c>
      <c r="CD24" s="74">
        <f t="shared" si="68"/>
        <v>123480.9</v>
      </c>
      <c r="CE24" s="76">
        <f t="shared" si="69"/>
        <v>123480.9</v>
      </c>
      <c r="CF24" s="76">
        <f t="shared" si="70"/>
        <v>0</v>
      </c>
      <c r="CG24" s="76">
        <f t="shared" si="54"/>
        <v>1377466.5</v>
      </c>
      <c r="CH24" s="76">
        <f t="shared" si="71"/>
        <v>-30342.2</v>
      </c>
      <c r="CI24" s="37">
        <f t="shared" si="72"/>
        <v>-30342.2</v>
      </c>
      <c r="CJ24" s="59" t="str">
        <f t="shared" si="36"/>
        <v>-</v>
      </c>
      <c r="CK24" s="59" t="str">
        <f t="shared" si="37"/>
        <v>-</v>
      </c>
      <c r="CL24" s="141">
        <f t="shared" si="38"/>
        <v>0.08964348679260076</v>
      </c>
      <c r="CM24" s="141">
        <f t="shared" si="39"/>
        <v>0.08964348679260076</v>
      </c>
      <c r="CN24" s="141">
        <f t="shared" si="40"/>
        <v>-0.022027541141653898</v>
      </c>
      <c r="CO24" s="141">
        <f t="shared" si="41"/>
        <v>-0.022027541141653898</v>
      </c>
      <c r="CP24" s="141" t="str">
        <f t="shared" si="42"/>
        <v>-</v>
      </c>
      <c r="CQ24" s="141" t="str">
        <f t="shared" si="43"/>
        <v>-</v>
      </c>
      <c r="CR24" s="142">
        <f t="shared" si="44"/>
        <v>9.284962856603732</v>
      </c>
      <c r="CS24" s="76">
        <f t="shared" si="45"/>
        <v>1146515.5699999998</v>
      </c>
      <c r="CT24" s="80">
        <f t="shared" si="73"/>
        <v>1253985.6</v>
      </c>
      <c r="CU24" s="80">
        <f t="shared" si="74"/>
        <v>1377466.5</v>
      </c>
      <c r="CV24" s="80">
        <f t="shared" si="75"/>
        <v>123480.8999999999</v>
      </c>
      <c r="CW24" s="80">
        <f t="shared" si="76"/>
        <v>0</v>
      </c>
      <c r="CX24" s="80">
        <f t="shared" si="77"/>
        <v>123480.8999999999</v>
      </c>
      <c r="CY24" s="80">
        <f t="shared" si="78"/>
        <v>123480.8999999999</v>
      </c>
      <c r="CZ24" s="80">
        <f t="shared" si="79"/>
        <v>0</v>
      </c>
      <c r="DA24" s="80">
        <f t="shared" si="80"/>
        <v>0</v>
      </c>
      <c r="DB24" s="80">
        <f t="shared" si="81"/>
        <v>123480.8999999999</v>
      </c>
      <c r="DC24" s="80">
        <f t="shared" si="46"/>
        <v>123480.8999999999</v>
      </c>
      <c r="DD24" s="80">
        <f t="shared" si="82"/>
        <v>0</v>
      </c>
      <c r="DE24" s="80">
        <f t="shared" si="83"/>
        <v>123480.8999999999</v>
      </c>
      <c r="DF24" s="80">
        <f t="shared" si="84"/>
        <v>501465.99999999994</v>
      </c>
      <c r="DG24" s="80">
        <f t="shared" si="85"/>
        <v>309.78534720345846</v>
      </c>
      <c r="DH24" s="80">
        <f t="shared" si="86"/>
        <v>-8.19837881653607</v>
      </c>
      <c r="DI24" s="80">
        <f t="shared" si="87"/>
        <v>135.4947311537422</v>
      </c>
      <c r="DJ24" s="81">
        <f t="shared" si="88"/>
        <v>0</v>
      </c>
      <c r="DK24" s="76">
        <f t="shared" si="89"/>
        <v>33.36419886517155</v>
      </c>
      <c r="DL24" s="145">
        <f t="shared" si="49"/>
        <v>1126515.57</v>
      </c>
      <c r="DM24" s="67"/>
      <c r="DN24" s="68"/>
    </row>
    <row r="25" spans="1:118" ht="12.75">
      <c r="A25" s="52" t="s">
        <v>36</v>
      </c>
      <c r="B25" s="41">
        <v>1837</v>
      </c>
      <c r="C25" s="4">
        <v>5110413</v>
      </c>
      <c r="D25" s="34">
        <v>2781.93</v>
      </c>
      <c r="E25" s="34">
        <v>77.84</v>
      </c>
      <c r="F25" s="8">
        <v>4</v>
      </c>
      <c r="G25" s="131">
        <v>40478.3</v>
      </c>
      <c r="H25" s="43">
        <v>8431.1</v>
      </c>
      <c r="I25" s="43">
        <v>900.25</v>
      </c>
      <c r="J25" s="43">
        <v>0</v>
      </c>
      <c r="K25" s="43">
        <v>0</v>
      </c>
      <c r="L25" s="43">
        <v>0</v>
      </c>
      <c r="M25" s="43">
        <f t="shared" si="0"/>
        <v>0</v>
      </c>
      <c r="N25" s="43">
        <v>0</v>
      </c>
      <c r="O25" s="43">
        <v>0</v>
      </c>
      <c r="P25" s="43">
        <f>688394.35</f>
        <v>688394.35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f t="shared" si="57"/>
        <v>0</v>
      </c>
      <c r="X25" s="43">
        <v>0</v>
      </c>
      <c r="Y25" s="43">
        <f t="shared" si="58"/>
        <v>738204</v>
      </c>
      <c r="Z25" s="43">
        <v>240649.95</v>
      </c>
      <c r="AA25" s="43">
        <v>30083.85</v>
      </c>
      <c r="AB25" s="43">
        <v>0</v>
      </c>
      <c r="AC25" s="43">
        <v>70888.4</v>
      </c>
      <c r="AD25" s="43">
        <v>0</v>
      </c>
      <c r="AE25" s="43">
        <f t="shared" si="59"/>
        <v>341622.19999999995</v>
      </c>
      <c r="AF25" s="43">
        <v>0</v>
      </c>
      <c r="AG25" s="43">
        <v>3212.6</v>
      </c>
      <c r="AH25" s="43">
        <v>0</v>
      </c>
      <c r="AI25" s="43">
        <v>359834.25</v>
      </c>
      <c r="AJ25" s="43">
        <v>0</v>
      </c>
      <c r="AK25" s="43">
        <v>5429.75</v>
      </c>
      <c r="AL25" s="43">
        <v>0</v>
      </c>
      <c r="AM25" s="43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60"/>
        <v>0</v>
      </c>
      <c r="AT25" s="4">
        <v>0</v>
      </c>
      <c r="AU25" s="4">
        <f t="shared" si="61"/>
        <v>710098.8</v>
      </c>
      <c r="AV25" s="4">
        <v>0</v>
      </c>
      <c r="AW25" s="4">
        <v>28105.2</v>
      </c>
      <c r="AX25" s="143">
        <f t="shared" si="62"/>
        <v>-4.729372449219227E-11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f t="shared" si="63"/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f t="shared" si="64"/>
        <v>0</v>
      </c>
      <c r="BP25" s="43">
        <v>0</v>
      </c>
      <c r="BQ25" s="43">
        <v>0</v>
      </c>
      <c r="BR25" s="43">
        <v>0</v>
      </c>
      <c r="BS25" s="43">
        <f t="shared" si="65"/>
        <v>0</v>
      </c>
      <c r="BT25" s="4">
        <v>407992.1</v>
      </c>
      <c r="BU25" s="4"/>
      <c r="BV25" s="4"/>
      <c r="BW25" s="4">
        <v>108105.66</v>
      </c>
      <c r="BX25" s="4">
        <f t="shared" si="90"/>
        <v>516097.76</v>
      </c>
      <c r="BY25" s="4">
        <v>263698.4</v>
      </c>
      <c r="BZ25" s="4"/>
      <c r="CA25" s="4">
        <v>252399.36</v>
      </c>
      <c r="CB25" s="4">
        <f t="shared" si="66"/>
        <v>516097.76</v>
      </c>
      <c r="CC25" s="143">
        <f t="shared" si="67"/>
        <v>0</v>
      </c>
      <c r="CD25" s="74">
        <f t="shared" si="68"/>
        <v>-28105.2</v>
      </c>
      <c r="CE25" s="76">
        <f t="shared" si="69"/>
        <v>-28105.2</v>
      </c>
      <c r="CF25" s="76">
        <f t="shared" si="70"/>
        <v>0</v>
      </c>
      <c r="CG25" s="76">
        <f t="shared" si="54"/>
        <v>710098.8</v>
      </c>
      <c r="CH25" s="76">
        <f t="shared" si="71"/>
        <v>-2312.35</v>
      </c>
      <c r="CI25" s="37">
        <f t="shared" si="72"/>
        <v>-2312.35</v>
      </c>
      <c r="CJ25" s="59" t="str">
        <f t="shared" si="36"/>
        <v>-</v>
      </c>
      <c r="CK25" s="59" t="str">
        <f t="shared" si="37"/>
        <v>-</v>
      </c>
      <c r="CL25" s="141">
        <f t="shared" si="38"/>
        <v>-0.03957928108032291</v>
      </c>
      <c r="CM25" s="141">
        <f t="shared" si="39"/>
        <v>-0.03957928108032291</v>
      </c>
      <c r="CN25" s="141">
        <f t="shared" si="40"/>
        <v>-0.0032563778448858097</v>
      </c>
      <c r="CO25" s="141">
        <f t="shared" si="41"/>
        <v>-0.0032563778448858097</v>
      </c>
      <c r="CP25" s="141" t="str">
        <f t="shared" si="42"/>
        <v>-</v>
      </c>
      <c r="CQ25" s="141" t="str">
        <f t="shared" si="43"/>
        <v>-</v>
      </c>
      <c r="CR25" s="142">
        <f t="shared" si="44"/>
        <v>-5.134057042824813</v>
      </c>
      <c r="CS25" s="76">
        <f t="shared" si="45"/>
        <v>144293.69999999995</v>
      </c>
      <c r="CT25" s="80">
        <f t="shared" si="73"/>
        <v>738204</v>
      </c>
      <c r="CU25" s="80">
        <f t="shared" si="74"/>
        <v>710098.8</v>
      </c>
      <c r="CV25" s="80">
        <f t="shared" si="75"/>
        <v>-28105.199999999953</v>
      </c>
      <c r="CW25" s="80">
        <f t="shared" si="76"/>
        <v>0</v>
      </c>
      <c r="CX25" s="80">
        <f t="shared" si="77"/>
        <v>-28105.199999999953</v>
      </c>
      <c r="CY25" s="80">
        <f t="shared" si="78"/>
        <v>-28105.199999999953</v>
      </c>
      <c r="CZ25" s="80">
        <f t="shared" si="79"/>
        <v>0</v>
      </c>
      <c r="DA25" s="80">
        <f t="shared" si="80"/>
        <v>0</v>
      </c>
      <c r="DB25" s="80">
        <f t="shared" si="81"/>
        <v>-28105.199999999953</v>
      </c>
      <c r="DC25" s="80">
        <f t="shared" si="46"/>
        <v>-28105.199999999953</v>
      </c>
      <c r="DD25" s="80">
        <f t="shared" si="82"/>
        <v>0</v>
      </c>
      <c r="DE25" s="80">
        <f t="shared" si="83"/>
        <v>-28105.199999999953</v>
      </c>
      <c r="DF25" s="80">
        <f t="shared" si="84"/>
        <v>270733.8</v>
      </c>
      <c r="DG25" s="80">
        <f t="shared" si="85"/>
        <v>78.54855743059333</v>
      </c>
      <c r="DH25" s="80">
        <f t="shared" si="86"/>
        <v>-1.258764289602613</v>
      </c>
      <c r="DI25" s="80">
        <f t="shared" si="87"/>
        <v>147.37822536744693</v>
      </c>
      <c r="DJ25" s="81">
        <f t="shared" si="88"/>
        <v>0</v>
      </c>
      <c r="DK25" s="76">
        <f t="shared" si="89"/>
        <v>-15.29951007076753</v>
      </c>
      <c r="DL25" s="145">
        <f t="shared" si="49"/>
        <v>144293.69999999998</v>
      </c>
      <c r="DM25" s="64"/>
      <c r="DN25" s="65"/>
    </row>
    <row r="26" spans="1:118" ht="12.75">
      <c r="A26" s="51" t="s">
        <v>17</v>
      </c>
      <c r="B26" s="46">
        <v>447</v>
      </c>
      <c r="C26" s="38">
        <v>1269466</v>
      </c>
      <c r="D26" s="39">
        <v>2839.97</v>
      </c>
      <c r="E26" s="39">
        <v>79.46</v>
      </c>
      <c r="F26" s="126">
        <v>4</v>
      </c>
      <c r="G26" s="132">
        <v>4910.8</v>
      </c>
      <c r="H26" s="42">
        <v>2902.3</v>
      </c>
      <c r="I26" s="42">
        <v>0</v>
      </c>
      <c r="J26" s="42">
        <v>0</v>
      </c>
      <c r="K26" s="42">
        <v>0</v>
      </c>
      <c r="L26" s="42">
        <v>0</v>
      </c>
      <c r="M26" s="43">
        <f t="shared" si="0"/>
        <v>0</v>
      </c>
      <c r="N26" s="42">
        <v>0</v>
      </c>
      <c r="O26" s="42">
        <v>0</v>
      </c>
      <c r="P26" s="42">
        <v>132566.75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3">
        <f t="shared" si="57"/>
        <v>0</v>
      </c>
      <c r="X26" s="42">
        <v>0</v>
      </c>
      <c r="Y26" s="43">
        <f t="shared" si="58"/>
        <v>140379.85</v>
      </c>
      <c r="Z26" s="42">
        <v>69412.4</v>
      </c>
      <c r="AA26" s="42">
        <v>4201.45</v>
      </c>
      <c r="AB26" s="42">
        <v>0</v>
      </c>
      <c r="AC26" s="42">
        <v>17249.4</v>
      </c>
      <c r="AD26" s="42">
        <v>0</v>
      </c>
      <c r="AE26" s="43">
        <f t="shared" si="59"/>
        <v>90863.25</v>
      </c>
      <c r="AF26" s="42">
        <v>0</v>
      </c>
      <c r="AG26" s="42">
        <v>280.65</v>
      </c>
      <c r="AH26" s="42">
        <v>0</v>
      </c>
      <c r="AI26" s="42">
        <v>64810.3</v>
      </c>
      <c r="AJ26" s="42">
        <v>0</v>
      </c>
      <c r="AK26" s="42">
        <v>0</v>
      </c>
      <c r="AL26" s="42">
        <v>0</v>
      </c>
      <c r="AM26" s="42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60"/>
        <v>0</v>
      </c>
      <c r="AT26" s="38">
        <v>0</v>
      </c>
      <c r="AU26" s="4">
        <f t="shared" si="61"/>
        <v>155954.2</v>
      </c>
      <c r="AV26" s="38">
        <v>15574.35</v>
      </c>
      <c r="AW26" s="38">
        <v>0</v>
      </c>
      <c r="AX26" s="143">
        <f t="shared" si="62"/>
        <v>-5.4569682106375694E-12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63"/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3">
        <f t="shared" si="64"/>
        <v>0</v>
      </c>
      <c r="BP26" s="42">
        <v>0</v>
      </c>
      <c r="BQ26" s="42">
        <v>0</v>
      </c>
      <c r="BR26" s="42">
        <v>0</v>
      </c>
      <c r="BS26" s="43">
        <f t="shared" si="65"/>
        <v>0</v>
      </c>
      <c r="BT26" s="38">
        <v>206898.61</v>
      </c>
      <c r="BU26" s="38"/>
      <c r="BV26" s="38"/>
      <c r="BW26" s="38"/>
      <c r="BX26" s="4">
        <f t="shared" si="90"/>
        <v>206898.61</v>
      </c>
      <c r="BY26" s="38">
        <v>97347.9</v>
      </c>
      <c r="BZ26" s="38"/>
      <c r="CA26" s="38">
        <v>109550.71</v>
      </c>
      <c r="CB26" s="4">
        <f t="shared" si="66"/>
        <v>206898.61</v>
      </c>
      <c r="CC26" s="143">
        <f t="shared" si="67"/>
        <v>0</v>
      </c>
      <c r="CD26" s="74">
        <f t="shared" si="68"/>
        <v>15574.35</v>
      </c>
      <c r="CE26" s="76">
        <f t="shared" si="69"/>
        <v>15574.35</v>
      </c>
      <c r="CF26" s="76">
        <f t="shared" si="70"/>
        <v>0</v>
      </c>
      <c r="CG26" s="76">
        <f t="shared" si="54"/>
        <v>155954.2</v>
      </c>
      <c r="CH26" s="76">
        <f t="shared" si="71"/>
        <v>-280.65</v>
      </c>
      <c r="CI26" s="37">
        <f t="shared" si="72"/>
        <v>-280.65</v>
      </c>
      <c r="CJ26" s="59" t="str">
        <f t="shared" si="36"/>
        <v>-</v>
      </c>
      <c r="CK26" s="59" t="str">
        <f t="shared" si="37"/>
        <v>-</v>
      </c>
      <c r="CL26" s="141">
        <f t="shared" si="38"/>
        <v>0.0998648962323554</v>
      </c>
      <c r="CM26" s="141">
        <f t="shared" si="39"/>
        <v>0.0998648962323554</v>
      </c>
      <c r="CN26" s="141">
        <f t="shared" si="40"/>
        <v>-0.00179956679589264</v>
      </c>
      <c r="CO26" s="141">
        <f t="shared" si="41"/>
        <v>-0.00179956679589264</v>
      </c>
      <c r="CP26" s="141" t="str">
        <f t="shared" si="42"/>
        <v>-</v>
      </c>
      <c r="CQ26" s="141" t="str">
        <f t="shared" si="43"/>
        <v>-</v>
      </c>
      <c r="CR26" s="142">
        <f t="shared" si="44"/>
        <v>7.034047006777168</v>
      </c>
      <c r="CS26" s="76">
        <f t="shared" si="45"/>
        <v>109550.70999999999</v>
      </c>
      <c r="CT26" s="80">
        <f t="shared" si="73"/>
        <v>140379.85</v>
      </c>
      <c r="CU26" s="80">
        <f t="shared" si="74"/>
        <v>155954.2</v>
      </c>
      <c r="CV26" s="80">
        <f t="shared" si="75"/>
        <v>15574.350000000006</v>
      </c>
      <c r="CW26" s="80">
        <f t="shared" si="76"/>
        <v>0</v>
      </c>
      <c r="CX26" s="80">
        <f t="shared" si="77"/>
        <v>15574.350000000006</v>
      </c>
      <c r="CY26" s="80">
        <f t="shared" si="78"/>
        <v>15574.350000000006</v>
      </c>
      <c r="CZ26" s="80">
        <f t="shared" si="79"/>
        <v>0</v>
      </c>
      <c r="DA26" s="80">
        <f t="shared" si="80"/>
        <v>0</v>
      </c>
      <c r="DB26" s="80">
        <f t="shared" si="81"/>
        <v>15574.350000000006</v>
      </c>
      <c r="DC26" s="80">
        <f t="shared" si="46"/>
        <v>15574.350000000006</v>
      </c>
      <c r="DD26" s="80">
        <f t="shared" si="82"/>
        <v>0</v>
      </c>
      <c r="DE26" s="80">
        <f t="shared" si="83"/>
        <v>15574.350000000006</v>
      </c>
      <c r="DF26" s="80">
        <f t="shared" si="84"/>
        <v>73613.84999999999</v>
      </c>
      <c r="DG26" s="80">
        <f t="shared" si="85"/>
        <v>245.0798881431767</v>
      </c>
      <c r="DH26" s="80">
        <f t="shared" si="86"/>
        <v>-0.6278523489932886</v>
      </c>
      <c r="DI26" s="80">
        <f t="shared" si="87"/>
        <v>164.68422818791944</v>
      </c>
      <c r="DJ26" s="81">
        <f t="shared" si="88"/>
        <v>0</v>
      </c>
      <c r="DK26" s="76">
        <f t="shared" si="89"/>
        <v>34.84194630872484</v>
      </c>
      <c r="DL26" s="145">
        <f t="shared" si="49"/>
        <v>109550.71</v>
      </c>
      <c r="DM26" s="67"/>
      <c r="DN26" s="68"/>
    </row>
    <row r="27" spans="1:118" ht="12.75">
      <c r="A27" s="52" t="s">
        <v>18</v>
      </c>
      <c r="B27" s="41">
        <v>643</v>
      </c>
      <c r="C27" s="4">
        <v>1886492</v>
      </c>
      <c r="D27" s="34">
        <v>2933.89</v>
      </c>
      <c r="E27" s="34">
        <v>82.09</v>
      </c>
      <c r="F27" s="8">
        <v>3</v>
      </c>
      <c r="G27" s="131">
        <f>(G40/($B$11+$B$27)*$B$27)</f>
        <v>39929.93698314249</v>
      </c>
      <c r="H27" s="131">
        <f aca="true" t="shared" si="93" ref="H27:BU27">(H40/($B$11+$B$27)*$B$27)</f>
        <v>10089.81324745547</v>
      </c>
      <c r="I27" s="131">
        <f t="shared" si="93"/>
        <v>394.3794688295165</v>
      </c>
      <c r="J27" s="131">
        <f t="shared" si="93"/>
        <v>830.7206186386768</v>
      </c>
      <c r="K27" s="131">
        <f t="shared" si="93"/>
        <v>1231.5219068066158</v>
      </c>
      <c r="L27" s="131">
        <f t="shared" si="93"/>
        <v>0</v>
      </c>
      <c r="M27" s="43">
        <f t="shared" si="0"/>
        <v>1231.5219068066158</v>
      </c>
      <c r="N27" s="131">
        <f t="shared" si="93"/>
        <v>0</v>
      </c>
      <c r="O27" s="131">
        <f t="shared" si="93"/>
        <v>23.76993479643766</v>
      </c>
      <c r="P27" s="131">
        <f t="shared" si="93"/>
        <v>293186.27114026714</v>
      </c>
      <c r="Q27" s="131">
        <f t="shared" si="93"/>
        <v>0</v>
      </c>
      <c r="R27" s="131">
        <f t="shared" si="93"/>
        <v>25564.567430025443</v>
      </c>
      <c r="S27" s="131">
        <f t="shared" si="93"/>
        <v>0</v>
      </c>
      <c r="T27" s="131">
        <f t="shared" si="93"/>
        <v>0</v>
      </c>
      <c r="U27" s="131">
        <f t="shared" si="93"/>
        <v>0</v>
      </c>
      <c r="V27" s="131">
        <f t="shared" si="93"/>
        <v>0</v>
      </c>
      <c r="W27" s="43">
        <f t="shared" si="57"/>
        <v>25564.567430025443</v>
      </c>
      <c r="X27" s="131">
        <f t="shared" si="93"/>
        <v>13025.269815521628</v>
      </c>
      <c r="Y27" s="43">
        <f t="shared" si="58"/>
        <v>384276.2505454834</v>
      </c>
      <c r="Z27" s="131">
        <f t="shared" si="93"/>
        <v>132006.31499681933</v>
      </c>
      <c r="AA27" s="131">
        <f t="shared" si="93"/>
        <v>0</v>
      </c>
      <c r="AB27" s="131">
        <f t="shared" si="93"/>
        <v>0</v>
      </c>
      <c r="AC27" s="131">
        <f t="shared" si="93"/>
        <v>24812.866889312976</v>
      </c>
      <c r="AD27" s="131">
        <f t="shared" si="93"/>
        <v>0</v>
      </c>
      <c r="AE27" s="43">
        <f t="shared" si="59"/>
        <v>156819.1818861323</v>
      </c>
      <c r="AF27" s="131">
        <f t="shared" si="93"/>
        <v>0</v>
      </c>
      <c r="AG27" s="131">
        <f t="shared" si="93"/>
        <v>4937.852441157761</v>
      </c>
      <c r="AH27" s="131">
        <f t="shared" si="93"/>
        <v>0</v>
      </c>
      <c r="AI27" s="131">
        <f t="shared" si="93"/>
        <v>186737.86042461832</v>
      </c>
      <c r="AJ27" s="131">
        <f t="shared" si="93"/>
        <v>0</v>
      </c>
      <c r="AK27" s="131">
        <f t="shared" si="93"/>
        <v>2146.42153307888</v>
      </c>
      <c r="AL27" s="131">
        <f t="shared" si="93"/>
        <v>6206.8213263358775</v>
      </c>
      <c r="AM27" s="131">
        <f t="shared" si="93"/>
        <v>0</v>
      </c>
      <c r="AN27" s="131">
        <f t="shared" si="93"/>
        <v>0</v>
      </c>
      <c r="AO27" s="131">
        <f t="shared" si="93"/>
        <v>0</v>
      </c>
      <c r="AP27" s="131">
        <f t="shared" si="93"/>
        <v>0</v>
      </c>
      <c r="AQ27" s="131">
        <f t="shared" si="93"/>
        <v>0</v>
      </c>
      <c r="AR27" s="131">
        <f t="shared" si="93"/>
        <v>0</v>
      </c>
      <c r="AS27" s="4">
        <f t="shared" si="60"/>
        <v>0</v>
      </c>
      <c r="AT27" s="131">
        <f t="shared" si="93"/>
        <v>13025.269815521628</v>
      </c>
      <c r="AU27" s="4">
        <f t="shared" si="61"/>
        <v>369873.4074268448</v>
      </c>
      <c r="AV27" s="131">
        <f t="shared" si="93"/>
        <v>0</v>
      </c>
      <c r="AW27" s="131">
        <f t="shared" si="93"/>
        <v>14402.843118638675</v>
      </c>
      <c r="AX27" s="4">
        <f t="shared" si="62"/>
        <v>-1.1823431123048067E-10</v>
      </c>
      <c r="AY27" s="131">
        <f t="shared" si="93"/>
        <v>1061.9163406488549</v>
      </c>
      <c r="AZ27" s="131">
        <f t="shared" si="93"/>
        <v>0</v>
      </c>
      <c r="BA27" s="131">
        <f t="shared" si="93"/>
        <v>0</v>
      </c>
      <c r="BB27" s="131">
        <f t="shared" si="93"/>
        <v>0</v>
      </c>
      <c r="BC27" s="131">
        <f t="shared" si="93"/>
        <v>0</v>
      </c>
      <c r="BD27" s="131">
        <f t="shared" si="93"/>
        <v>0</v>
      </c>
      <c r="BE27" s="131">
        <f t="shared" si="93"/>
        <v>0</v>
      </c>
      <c r="BF27" s="43">
        <f t="shared" si="63"/>
        <v>0</v>
      </c>
      <c r="BG27" s="131">
        <f t="shared" si="93"/>
        <v>0</v>
      </c>
      <c r="BH27" s="131">
        <f t="shared" si="93"/>
        <v>0</v>
      </c>
      <c r="BI27" s="131">
        <f t="shared" si="93"/>
        <v>0</v>
      </c>
      <c r="BJ27" s="131">
        <f t="shared" si="93"/>
        <v>0</v>
      </c>
      <c r="BK27" s="131">
        <f t="shared" si="93"/>
        <v>0</v>
      </c>
      <c r="BL27" s="131">
        <f t="shared" si="93"/>
        <v>0</v>
      </c>
      <c r="BM27" s="131">
        <f t="shared" si="93"/>
        <v>0</v>
      </c>
      <c r="BN27" s="131">
        <f t="shared" si="93"/>
        <v>0</v>
      </c>
      <c r="BO27" s="43">
        <f t="shared" si="64"/>
        <v>0</v>
      </c>
      <c r="BP27" s="131">
        <f t="shared" si="93"/>
        <v>0</v>
      </c>
      <c r="BQ27" s="131">
        <f t="shared" si="93"/>
        <v>0</v>
      </c>
      <c r="BR27" s="131">
        <f t="shared" si="93"/>
        <v>0</v>
      </c>
      <c r="BS27" s="43">
        <f t="shared" si="65"/>
        <v>0</v>
      </c>
      <c r="BT27" s="131">
        <f t="shared" si="93"/>
        <v>281684.4480947837</v>
      </c>
      <c r="BU27" s="131">
        <f t="shared" si="93"/>
        <v>1847.2751908396945</v>
      </c>
      <c r="BV27" s="131">
        <f aca="true" t="shared" si="94" ref="BV27:CA27">(BV40/($B$11+$B$27)*$B$27)</f>
        <v>0</v>
      </c>
      <c r="BW27" s="131">
        <f t="shared" si="94"/>
        <v>0</v>
      </c>
      <c r="BX27" s="4">
        <f t="shared" si="90"/>
        <v>283531.7232856234</v>
      </c>
      <c r="BY27" s="131">
        <f t="shared" si="94"/>
        <v>156501.35909351145</v>
      </c>
      <c r="BZ27" s="131">
        <f t="shared" si="94"/>
        <v>0</v>
      </c>
      <c r="CA27" s="131">
        <f t="shared" si="94"/>
        <v>127030.36419211197</v>
      </c>
      <c r="CB27" s="4">
        <f t="shared" si="66"/>
        <v>283531.7232856234</v>
      </c>
      <c r="CC27" s="4">
        <f t="shared" si="67"/>
        <v>0</v>
      </c>
      <c r="CD27" s="74">
        <f t="shared" si="68"/>
        <v>-13171.321211832059</v>
      </c>
      <c r="CE27" s="76">
        <f t="shared" si="69"/>
        <v>12393.246218193384</v>
      </c>
      <c r="CF27" s="76">
        <f t="shared" si="70"/>
        <v>0</v>
      </c>
      <c r="CG27" s="76">
        <f t="shared" si="54"/>
        <v>356848.1376113232</v>
      </c>
      <c r="CH27" s="76">
        <f t="shared" si="71"/>
        <v>-3481.5566316793893</v>
      </c>
      <c r="CI27" s="37">
        <f t="shared" si="72"/>
        <v>-2250.0347248727735</v>
      </c>
      <c r="CJ27" s="59" t="str">
        <f t="shared" si="36"/>
        <v>-</v>
      </c>
      <c r="CK27" s="59" t="str">
        <f t="shared" si="37"/>
        <v>-</v>
      </c>
      <c r="CL27" s="141">
        <f t="shared" si="38"/>
        <v>-0.0369101581978219</v>
      </c>
      <c r="CM27" s="141">
        <f t="shared" si="39"/>
        <v>0.03472974890986269</v>
      </c>
      <c r="CN27" s="141">
        <f t="shared" si="40"/>
        <v>-0.009756409701292821</v>
      </c>
      <c r="CO27" s="141">
        <f t="shared" si="41"/>
        <v>-0.00630530045619433</v>
      </c>
      <c r="CP27" s="141">
        <f t="shared" si="42"/>
        <v>0.4000009964112588</v>
      </c>
      <c r="CQ27" s="141">
        <f t="shared" si="43"/>
        <v>0.4000009964112588</v>
      </c>
      <c r="CR27" s="142">
        <f t="shared" si="44"/>
        <v>10.100911964252148</v>
      </c>
      <c r="CS27" s="76">
        <f t="shared" si="45"/>
        <v>125183.08900127225</v>
      </c>
      <c r="CT27" s="80">
        <f t="shared" si="73"/>
        <v>383044.72863867675</v>
      </c>
      <c r="CU27" s="80">
        <f t="shared" si="74"/>
        <v>369873.4074268448</v>
      </c>
      <c r="CV27" s="80">
        <f t="shared" si="75"/>
        <v>-13171.321211831935</v>
      </c>
      <c r="CW27" s="80">
        <f t="shared" si="76"/>
        <v>0</v>
      </c>
      <c r="CX27" s="80">
        <f t="shared" si="77"/>
        <v>-13171.321211831935</v>
      </c>
      <c r="CY27" s="80">
        <f t="shared" si="78"/>
        <v>-14402.843118638551</v>
      </c>
      <c r="CZ27" s="80">
        <f t="shared" si="79"/>
        <v>0</v>
      </c>
      <c r="DA27" s="80">
        <f t="shared" si="80"/>
        <v>1231.5219068066158</v>
      </c>
      <c r="DB27" s="80">
        <f t="shared" si="81"/>
        <v>-13171.321211831935</v>
      </c>
      <c r="DC27" s="80">
        <f t="shared" si="46"/>
        <v>12393.246218193508</v>
      </c>
      <c r="DD27" s="80">
        <f t="shared" si="82"/>
        <v>-1231.5219068066158</v>
      </c>
      <c r="DE27" s="80">
        <f t="shared" si="83"/>
        <v>-14402.843118638551</v>
      </c>
      <c r="DF27" s="80">
        <f t="shared" si="84"/>
        <v>132006.31499681933</v>
      </c>
      <c r="DG27" s="80">
        <f t="shared" si="85"/>
        <v>194.68598600508903</v>
      </c>
      <c r="DH27" s="80">
        <f t="shared" si="86"/>
        <v>-5.414551526717557</v>
      </c>
      <c r="DI27" s="80">
        <f t="shared" si="87"/>
        <v>205.29753498727734</v>
      </c>
      <c r="DJ27" s="81">
        <f t="shared" si="88"/>
        <v>0</v>
      </c>
      <c r="DK27" s="76">
        <f t="shared" si="89"/>
        <v>-20.484169847328047</v>
      </c>
      <c r="DL27" s="145">
        <f t="shared" si="49"/>
        <v>125183.08900127228</v>
      </c>
      <c r="DM27" s="64"/>
      <c r="DN27" s="65"/>
    </row>
    <row r="28" spans="1:118" ht="12.75">
      <c r="A28" s="51" t="s">
        <v>19</v>
      </c>
      <c r="B28" s="46">
        <v>422</v>
      </c>
      <c r="C28" s="38">
        <v>980210</v>
      </c>
      <c r="D28" s="39">
        <v>2322.77</v>
      </c>
      <c r="E28" s="39">
        <v>64.99</v>
      </c>
      <c r="F28" s="126">
        <v>3</v>
      </c>
      <c r="G28" s="132">
        <f>(G42/($B$5+$B$28)*$B$28)</f>
        <v>9501.753019323673</v>
      </c>
      <c r="H28" s="132">
        <f aca="true" t="shared" si="95" ref="H28:BU28">(H42/($B$5+$B$28)*$B$28)</f>
        <v>1481.7398550724638</v>
      </c>
      <c r="I28" s="132">
        <f t="shared" si="95"/>
        <v>0</v>
      </c>
      <c r="J28" s="132">
        <f t="shared" si="95"/>
        <v>15289.855072463768</v>
      </c>
      <c r="K28" s="132">
        <f t="shared" si="95"/>
        <v>0</v>
      </c>
      <c r="L28" s="132">
        <f t="shared" si="95"/>
        <v>0</v>
      </c>
      <c r="M28" s="43">
        <f t="shared" si="0"/>
        <v>0</v>
      </c>
      <c r="N28" s="132">
        <f t="shared" si="95"/>
        <v>0</v>
      </c>
      <c r="O28" s="132">
        <f t="shared" si="95"/>
        <v>4.051811594202899</v>
      </c>
      <c r="P28" s="132">
        <f t="shared" si="95"/>
        <v>199435.90036231885</v>
      </c>
      <c r="Q28" s="132">
        <f t="shared" si="95"/>
        <v>0</v>
      </c>
      <c r="R28" s="132">
        <f t="shared" si="95"/>
        <v>0</v>
      </c>
      <c r="S28" s="132">
        <f t="shared" si="95"/>
        <v>0</v>
      </c>
      <c r="T28" s="132">
        <f t="shared" si="95"/>
        <v>0</v>
      </c>
      <c r="U28" s="132">
        <f t="shared" si="95"/>
        <v>0</v>
      </c>
      <c r="V28" s="132">
        <f t="shared" si="95"/>
        <v>0</v>
      </c>
      <c r="W28" s="43">
        <f t="shared" si="57"/>
        <v>0</v>
      </c>
      <c r="X28" s="132">
        <f t="shared" si="95"/>
        <v>0</v>
      </c>
      <c r="Y28" s="43">
        <f t="shared" si="58"/>
        <v>225713.30012077297</v>
      </c>
      <c r="Z28" s="132">
        <f t="shared" si="95"/>
        <v>65101.73103864734</v>
      </c>
      <c r="AA28" s="132">
        <f t="shared" si="95"/>
        <v>7247.0345410628015</v>
      </c>
      <c r="AB28" s="132">
        <f t="shared" si="95"/>
        <v>0</v>
      </c>
      <c r="AC28" s="132">
        <f t="shared" si="95"/>
        <v>16284.638526570048</v>
      </c>
      <c r="AD28" s="132">
        <f t="shared" si="95"/>
        <v>0</v>
      </c>
      <c r="AE28" s="43">
        <f t="shared" si="59"/>
        <v>88633.4041062802</v>
      </c>
      <c r="AF28" s="132">
        <f t="shared" si="95"/>
        <v>0</v>
      </c>
      <c r="AG28" s="132">
        <f t="shared" si="95"/>
        <v>1632.5742753623188</v>
      </c>
      <c r="AH28" s="132">
        <f t="shared" si="95"/>
        <v>0</v>
      </c>
      <c r="AI28" s="132">
        <f t="shared" si="95"/>
        <v>88403.57210144927</v>
      </c>
      <c r="AJ28" s="132">
        <f t="shared" si="95"/>
        <v>0</v>
      </c>
      <c r="AK28" s="132">
        <f t="shared" si="95"/>
        <v>2053.937198067633</v>
      </c>
      <c r="AL28" s="132">
        <f t="shared" si="95"/>
        <v>0</v>
      </c>
      <c r="AM28" s="132">
        <f t="shared" si="95"/>
        <v>0</v>
      </c>
      <c r="AN28" s="132">
        <f t="shared" si="95"/>
        <v>0</v>
      </c>
      <c r="AO28" s="132">
        <f t="shared" si="95"/>
        <v>0</v>
      </c>
      <c r="AP28" s="132">
        <f t="shared" si="95"/>
        <v>0</v>
      </c>
      <c r="AQ28" s="132">
        <f t="shared" si="95"/>
        <v>0</v>
      </c>
      <c r="AR28" s="132">
        <f t="shared" si="95"/>
        <v>0</v>
      </c>
      <c r="AS28" s="4">
        <f t="shared" si="60"/>
        <v>0</v>
      </c>
      <c r="AT28" s="132">
        <f t="shared" si="95"/>
        <v>0</v>
      </c>
      <c r="AU28" s="4">
        <f t="shared" si="61"/>
        <v>180723.4876811594</v>
      </c>
      <c r="AV28" s="132">
        <f t="shared" si="95"/>
        <v>0</v>
      </c>
      <c r="AW28" s="132">
        <f t="shared" si="95"/>
        <v>44989.81243961353</v>
      </c>
      <c r="AX28" s="4">
        <f t="shared" si="62"/>
        <v>0</v>
      </c>
      <c r="AY28" s="132">
        <f t="shared" si="95"/>
        <v>0</v>
      </c>
      <c r="AZ28" s="132">
        <f t="shared" si="95"/>
        <v>0</v>
      </c>
      <c r="BA28" s="132">
        <f t="shared" si="95"/>
        <v>0</v>
      </c>
      <c r="BB28" s="132">
        <f t="shared" si="95"/>
        <v>0</v>
      </c>
      <c r="BC28" s="132">
        <f t="shared" si="95"/>
        <v>0</v>
      </c>
      <c r="BD28" s="132">
        <f t="shared" si="95"/>
        <v>0</v>
      </c>
      <c r="BE28" s="132">
        <f t="shared" si="95"/>
        <v>0</v>
      </c>
      <c r="BF28" s="43">
        <f t="shared" si="63"/>
        <v>0</v>
      </c>
      <c r="BG28" s="132">
        <f t="shared" si="95"/>
        <v>0</v>
      </c>
      <c r="BH28" s="132">
        <f t="shared" si="95"/>
        <v>0</v>
      </c>
      <c r="BI28" s="132">
        <f t="shared" si="95"/>
        <v>0</v>
      </c>
      <c r="BJ28" s="132">
        <f t="shared" si="95"/>
        <v>0</v>
      </c>
      <c r="BK28" s="132">
        <f t="shared" si="95"/>
        <v>0</v>
      </c>
      <c r="BL28" s="132">
        <f t="shared" si="95"/>
        <v>0</v>
      </c>
      <c r="BM28" s="132">
        <f t="shared" si="95"/>
        <v>0</v>
      </c>
      <c r="BN28" s="132">
        <f t="shared" si="95"/>
        <v>0</v>
      </c>
      <c r="BO28" s="43">
        <f t="shared" si="64"/>
        <v>0</v>
      </c>
      <c r="BP28" s="132">
        <f t="shared" si="95"/>
        <v>0</v>
      </c>
      <c r="BQ28" s="132">
        <f t="shared" si="95"/>
        <v>0</v>
      </c>
      <c r="BR28" s="132">
        <f t="shared" si="95"/>
        <v>0</v>
      </c>
      <c r="BS28" s="43">
        <f t="shared" si="65"/>
        <v>0</v>
      </c>
      <c r="BT28" s="132">
        <f t="shared" si="95"/>
        <v>179807.727294686</v>
      </c>
      <c r="BU28" s="132">
        <f t="shared" si="95"/>
        <v>0</v>
      </c>
      <c r="BV28" s="132">
        <f aca="true" t="shared" si="96" ref="BV28:CA28">(BV42/($B$5+$B$28)*$B$28)</f>
        <v>0</v>
      </c>
      <c r="BW28" s="132">
        <f t="shared" si="96"/>
        <v>0</v>
      </c>
      <c r="BX28" s="4">
        <f t="shared" si="90"/>
        <v>179807.727294686</v>
      </c>
      <c r="BY28" s="132">
        <f t="shared" si="96"/>
        <v>72283.19758454105</v>
      </c>
      <c r="BZ28" s="132">
        <f t="shared" si="96"/>
        <v>0</v>
      </c>
      <c r="CA28" s="132">
        <f t="shared" si="96"/>
        <v>107524.52971014493</v>
      </c>
      <c r="CB28" s="4">
        <f t="shared" si="66"/>
        <v>179807.72729468596</v>
      </c>
      <c r="CC28" s="4">
        <f t="shared" si="67"/>
        <v>0</v>
      </c>
      <c r="CD28" s="74">
        <f t="shared" si="68"/>
        <v>-44989.81243961353</v>
      </c>
      <c r="CE28" s="76">
        <f t="shared" si="69"/>
        <v>-44989.81243961353</v>
      </c>
      <c r="CF28" s="76">
        <f t="shared" si="70"/>
        <v>0</v>
      </c>
      <c r="CG28" s="76">
        <f t="shared" si="54"/>
        <v>180723.4876811594</v>
      </c>
      <c r="CH28" s="76">
        <f t="shared" si="71"/>
        <v>-1632.5742753623188</v>
      </c>
      <c r="CI28" s="37">
        <f t="shared" si="72"/>
        <v>-1632.5742753623188</v>
      </c>
      <c r="CJ28" s="59" t="str">
        <f t="shared" si="36"/>
        <v>-</v>
      </c>
      <c r="CK28" s="59" t="str">
        <f t="shared" si="37"/>
        <v>-</v>
      </c>
      <c r="CL28" s="141">
        <f t="shared" si="38"/>
        <v>-0.24894280769407576</v>
      </c>
      <c r="CM28" s="141">
        <f t="shared" si="39"/>
        <v>-0.24894280769407576</v>
      </c>
      <c r="CN28" s="141">
        <f t="shared" si="40"/>
        <v>-0.009033547859825396</v>
      </c>
      <c r="CO28" s="141">
        <f t="shared" si="41"/>
        <v>-0.009033547859825396</v>
      </c>
      <c r="CP28" s="141" t="str">
        <f t="shared" si="42"/>
        <v>-</v>
      </c>
      <c r="CQ28" s="141" t="str">
        <f t="shared" si="43"/>
        <v>-</v>
      </c>
      <c r="CR28" s="142">
        <f t="shared" si="44"/>
        <v>-2.389975060564369</v>
      </c>
      <c r="CS28" s="76">
        <f t="shared" si="45"/>
        <v>107524.52971014494</v>
      </c>
      <c r="CT28" s="80">
        <f t="shared" si="73"/>
        <v>225713.30012077297</v>
      </c>
      <c r="CU28" s="80">
        <f t="shared" si="74"/>
        <v>180723.4876811594</v>
      </c>
      <c r="CV28" s="80">
        <f t="shared" si="75"/>
        <v>-44989.81243961357</v>
      </c>
      <c r="CW28" s="80">
        <f t="shared" si="76"/>
        <v>0</v>
      </c>
      <c r="CX28" s="80">
        <f t="shared" si="77"/>
        <v>-44989.81243961357</v>
      </c>
      <c r="CY28" s="80">
        <f t="shared" si="78"/>
        <v>-44989.81243961357</v>
      </c>
      <c r="CZ28" s="80">
        <f t="shared" si="79"/>
        <v>0</v>
      </c>
      <c r="DA28" s="80">
        <f t="shared" si="80"/>
        <v>0</v>
      </c>
      <c r="DB28" s="80">
        <f t="shared" si="81"/>
        <v>-44989.81243961357</v>
      </c>
      <c r="DC28" s="80">
        <f t="shared" si="46"/>
        <v>-44989.81243961357</v>
      </c>
      <c r="DD28" s="80">
        <f t="shared" si="82"/>
        <v>0</v>
      </c>
      <c r="DE28" s="80">
        <f t="shared" si="83"/>
        <v>-44989.81243961357</v>
      </c>
      <c r="DF28" s="80">
        <f t="shared" si="84"/>
        <v>72348.76557971015</v>
      </c>
      <c r="DG28" s="80">
        <f t="shared" si="85"/>
        <v>254.79746376811596</v>
      </c>
      <c r="DH28" s="80">
        <f t="shared" si="86"/>
        <v>-3.868659420289855</v>
      </c>
      <c r="DI28" s="80">
        <f t="shared" si="87"/>
        <v>171.44257246376813</v>
      </c>
      <c r="DJ28" s="81">
        <f t="shared" si="88"/>
        <v>0</v>
      </c>
      <c r="DK28" s="76">
        <f t="shared" si="89"/>
        <v>-106.61092995169092</v>
      </c>
      <c r="DL28" s="145">
        <f t="shared" si="49"/>
        <v>107524.52971014493</v>
      </c>
      <c r="DM28" s="67"/>
      <c r="DN28" s="68"/>
    </row>
    <row r="29" spans="1:118" ht="12.75">
      <c r="A29" s="52" t="s">
        <v>21</v>
      </c>
      <c r="B29" s="41">
        <v>2583</v>
      </c>
      <c r="C29" s="4">
        <v>9688597</v>
      </c>
      <c r="D29" s="34">
        <v>3750.91</v>
      </c>
      <c r="E29" s="34">
        <v>104.95</v>
      </c>
      <c r="F29" s="8">
        <v>3</v>
      </c>
      <c r="G29" s="131">
        <v>84715.05</v>
      </c>
      <c r="H29" s="43">
        <v>7214.85</v>
      </c>
      <c r="I29" s="43">
        <v>0</v>
      </c>
      <c r="J29" s="43">
        <v>0</v>
      </c>
      <c r="K29" s="43">
        <v>0</v>
      </c>
      <c r="L29" s="43">
        <v>0</v>
      </c>
      <c r="M29" s="43">
        <f t="shared" si="0"/>
        <v>0</v>
      </c>
      <c r="N29" s="43">
        <v>544706.3</v>
      </c>
      <c r="O29" s="43">
        <v>27473.55</v>
      </c>
      <c r="P29" s="43">
        <v>9000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f t="shared" si="57"/>
        <v>0</v>
      </c>
      <c r="X29" s="43">
        <v>0</v>
      </c>
      <c r="Y29" s="43">
        <f t="shared" si="58"/>
        <v>673109.7500000001</v>
      </c>
      <c r="Z29" s="43">
        <v>299719.15</v>
      </c>
      <c r="AA29" s="43">
        <v>184217.45</v>
      </c>
      <c r="AB29" s="43">
        <v>0</v>
      </c>
      <c r="AC29" s="43">
        <v>99675.95</v>
      </c>
      <c r="AD29" s="43">
        <v>0</v>
      </c>
      <c r="AE29" s="43">
        <f t="shared" si="59"/>
        <v>583612.55</v>
      </c>
      <c r="AF29" s="43">
        <v>0</v>
      </c>
      <c r="AG29" s="43">
        <v>2867.7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60"/>
        <v>0</v>
      </c>
      <c r="AT29" s="4">
        <v>0</v>
      </c>
      <c r="AU29" s="4">
        <f t="shared" si="61"/>
        <v>586480.25</v>
      </c>
      <c r="AV29" s="4">
        <v>0</v>
      </c>
      <c r="AW29" s="4">
        <v>86629.5</v>
      </c>
      <c r="AX29" s="143">
        <f t="shared" si="62"/>
        <v>1.1641532182693481E-10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f t="shared" si="63"/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f t="shared" si="64"/>
        <v>0</v>
      </c>
      <c r="BP29" s="43">
        <v>0</v>
      </c>
      <c r="BQ29" s="43">
        <v>0</v>
      </c>
      <c r="BR29" s="43">
        <v>0</v>
      </c>
      <c r="BS29" s="43">
        <f t="shared" si="65"/>
        <v>0</v>
      </c>
      <c r="BT29" s="4">
        <v>882356</v>
      </c>
      <c r="BU29" s="4"/>
      <c r="BV29" s="4"/>
      <c r="BW29" s="4"/>
      <c r="BX29" s="4">
        <f t="shared" si="90"/>
        <v>882356</v>
      </c>
      <c r="BY29" s="4">
        <v>372834.3</v>
      </c>
      <c r="BZ29" s="4">
        <v>0</v>
      </c>
      <c r="CA29" s="4">
        <v>509521.7</v>
      </c>
      <c r="CB29" s="4">
        <f t="shared" si="66"/>
        <v>882356</v>
      </c>
      <c r="CC29" s="143">
        <f t="shared" si="67"/>
        <v>0</v>
      </c>
      <c r="CD29" s="74">
        <f t="shared" si="68"/>
        <v>-86629.5</v>
      </c>
      <c r="CE29" s="76">
        <f t="shared" si="69"/>
        <v>-86629.5</v>
      </c>
      <c r="CF29" s="76">
        <f t="shared" si="70"/>
        <v>0</v>
      </c>
      <c r="CG29" s="76">
        <f t="shared" si="54"/>
        <v>586480.25</v>
      </c>
      <c r="CH29" s="76">
        <f t="shared" si="71"/>
        <v>-2867.7</v>
      </c>
      <c r="CI29" s="37">
        <f t="shared" si="72"/>
        <v>-2867.7</v>
      </c>
      <c r="CJ29" s="59" t="str">
        <f t="shared" si="36"/>
        <v>-</v>
      </c>
      <c r="CK29" s="59" t="str">
        <f t="shared" si="37"/>
        <v>-</v>
      </c>
      <c r="CL29" s="141">
        <f t="shared" si="38"/>
        <v>-0.14771085641843865</v>
      </c>
      <c r="CM29" s="141">
        <f t="shared" si="39"/>
        <v>-0.14771085641843865</v>
      </c>
      <c r="CN29" s="141">
        <f t="shared" si="40"/>
        <v>-0.0048896787231965605</v>
      </c>
      <c r="CO29" s="141">
        <f t="shared" si="41"/>
        <v>-0.0048896787231965605</v>
      </c>
      <c r="CP29" s="141" t="str">
        <f t="shared" si="42"/>
        <v>-</v>
      </c>
      <c r="CQ29" s="141" t="str">
        <f t="shared" si="43"/>
        <v>-</v>
      </c>
      <c r="CR29" s="142">
        <f t="shared" si="44"/>
        <v>-5.881618848082928</v>
      </c>
      <c r="CS29" s="76">
        <f t="shared" si="45"/>
        <v>509521.7</v>
      </c>
      <c r="CT29" s="80">
        <f t="shared" si="73"/>
        <v>673109.7500000001</v>
      </c>
      <c r="CU29" s="80">
        <f t="shared" si="74"/>
        <v>586480.25</v>
      </c>
      <c r="CV29" s="80">
        <f t="shared" si="75"/>
        <v>-86629.50000000012</v>
      </c>
      <c r="CW29" s="80">
        <f t="shared" si="76"/>
        <v>0</v>
      </c>
      <c r="CX29" s="80">
        <f t="shared" si="77"/>
        <v>-86629.50000000012</v>
      </c>
      <c r="CY29" s="80">
        <f t="shared" si="78"/>
        <v>-86629.50000000012</v>
      </c>
      <c r="CZ29" s="80">
        <f t="shared" si="79"/>
        <v>0</v>
      </c>
      <c r="DA29" s="80">
        <f t="shared" si="80"/>
        <v>0</v>
      </c>
      <c r="DB29" s="80">
        <f t="shared" si="81"/>
        <v>-86629.50000000012</v>
      </c>
      <c r="DC29" s="80">
        <f t="shared" si="46"/>
        <v>-86629.50000000012</v>
      </c>
      <c r="DD29" s="80">
        <f t="shared" si="82"/>
        <v>0</v>
      </c>
      <c r="DE29" s="80">
        <f t="shared" si="83"/>
        <v>-86629.50000000012</v>
      </c>
      <c r="DF29" s="80">
        <f t="shared" si="84"/>
        <v>483936.60000000003</v>
      </c>
      <c r="DG29" s="80">
        <f t="shared" si="85"/>
        <v>197.25965931087882</v>
      </c>
      <c r="DH29" s="80">
        <f t="shared" si="86"/>
        <v>-1.1102206736353077</v>
      </c>
      <c r="DI29" s="80">
        <f t="shared" si="87"/>
        <v>187.35447154471547</v>
      </c>
      <c r="DJ29" s="81">
        <f t="shared" si="88"/>
        <v>0</v>
      </c>
      <c r="DK29" s="76">
        <f t="shared" si="89"/>
        <v>-33.53832752613245</v>
      </c>
      <c r="DL29" s="145">
        <f t="shared" si="49"/>
        <v>509521.7</v>
      </c>
      <c r="DM29" s="64"/>
      <c r="DN29" s="65"/>
    </row>
    <row r="30" spans="1:118" ht="12.75">
      <c r="A30" s="51" t="s">
        <v>31</v>
      </c>
      <c r="B30" s="46">
        <v>397</v>
      </c>
      <c r="C30" s="38">
        <v>1074255</v>
      </c>
      <c r="D30" s="39">
        <v>2705.93</v>
      </c>
      <c r="E30" s="39">
        <v>75.71</v>
      </c>
      <c r="F30" s="126">
        <v>2</v>
      </c>
      <c r="G30" s="132">
        <v>8698.4</v>
      </c>
      <c r="H30" s="42">
        <v>4081</v>
      </c>
      <c r="I30" s="42">
        <v>0</v>
      </c>
      <c r="J30" s="42">
        <v>0</v>
      </c>
      <c r="K30" s="42">
        <v>0</v>
      </c>
      <c r="L30" s="42">
        <v>0</v>
      </c>
      <c r="M30" s="43">
        <f t="shared" si="0"/>
        <v>0</v>
      </c>
      <c r="N30" s="42">
        <v>0</v>
      </c>
      <c r="O30" s="42">
        <v>0</v>
      </c>
      <c r="P30" s="42">
        <v>67023.5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3">
        <f t="shared" si="57"/>
        <v>0</v>
      </c>
      <c r="X30" s="42">
        <v>0</v>
      </c>
      <c r="Y30" s="43">
        <f t="shared" si="58"/>
        <v>79802.9</v>
      </c>
      <c r="Z30" s="42">
        <v>44249</v>
      </c>
      <c r="AA30" s="42">
        <v>0</v>
      </c>
      <c r="AB30" s="42">
        <v>0</v>
      </c>
      <c r="AC30" s="42">
        <v>15319.9</v>
      </c>
      <c r="AD30" s="42">
        <v>0</v>
      </c>
      <c r="AE30" s="43">
        <f t="shared" si="59"/>
        <v>59568.9</v>
      </c>
      <c r="AF30" s="42">
        <v>0</v>
      </c>
      <c r="AG30" s="42">
        <v>1072.95</v>
      </c>
      <c r="AH30" s="42">
        <v>0</v>
      </c>
      <c r="AI30" s="42">
        <v>5790.95</v>
      </c>
      <c r="AJ30" s="42">
        <v>0</v>
      </c>
      <c r="AK30" s="42">
        <v>0</v>
      </c>
      <c r="AL30" s="42">
        <v>0</v>
      </c>
      <c r="AM30" s="42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4">
        <f t="shared" si="60"/>
        <v>0</v>
      </c>
      <c r="AT30" s="38">
        <v>0</v>
      </c>
      <c r="AU30" s="4">
        <f t="shared" si="61"/>
        <v>66432.79999999999</v>
      </c>
      <c r="AV30" s="38">
        <v>0</v>
      </c>
      <c r="AW30" s="38">
        <v>13370.1</v>
      </c>
      <c r="AX30" s="143">
        <f t="shared" si="62"/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63"/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3">
        <f t="shared" si="64"/>
        <v>0</v>
      </c>
      <c r="BP30" s="42">
        <v>0</v>
      </c>
      <c r="BQ30" s="42">
        <v>0</v>
      </c>
      <c r="BR30" s="42">
        <v>0</v>
      </c>
      <c r="BS30" s="43">
        <f t="shared" si="65"/>
        <v>0</v>
      </c>
      <c r="BT30" s="38">
        <v>189913.08</v>
      </c>
      <c r="BU30" s="38"/>
      <c r="BV30" s="38"/>
      <c r="BW30" s="38"/>
      <c r="BX30" s="4">
        <f t="shared" si="90"/>
        <v>189913.08</v>
      </c>
      <c r="BY30" s="38">
        <v>53594.95</v>
      </c>
      <c r="BZ30" s="38"/>
      <c r="CA30" s="38">
        <v>136318.13</v>
      </c>
      <c r="CB30" s="4">
        <f t="shared" si="66"/>
        <v>189913.08000000002</v>
      </c>
      <c r="CC30" s="143">
        <f t="shared" si="67"/>
        <v>0</v>
      </c>
      <c r="CD30" s="74">
        <f t="shared" si="68"/>
        <v>-13370.1</v>
      </c>
      <c r="CE30" s="76">
        <f t="shared" si="69"/>
        <v>-13370.1</v>
      </c>
      <c r="CF30" s="76">
        <f t="shared" si="70"/>
        <v>0</v>
      </c>
      <c r="CG30" s="76">
        <f t="shared" si="54"/>
        <v>66432.79999999999</v>
      </c>
      <c r="CH30" s="76">
        <f t="shared" si="71"/>
        <v>-1072.95</v>
      </c>
      <c r="CI30" s="37">
        <f t="shared" si="72"/>
        <v>-1072.95</v>
      </c>
      <c r="CJ30" s="59" t="str">
        <f t="shared" si="36"/>
        <v>-</v>
      </c>
      <c r="CK30" s="59" t="str">
        <f t="shared" si="37"/>
        <v>-</v>
      </c>
      <c r="CL30" s="141">
        <f t="shared" si="38"/>
        <v>-0.2012575113498152</v>
      </c>
      <c r="CM30" s="141">
        <f t="shared" si="39"/>
        <v>-0.2012575113498152</v>
      </c>
      <c r="CN30" s="141">
        <f t="shared" si="40"/>
        <v>-0.01615090738309992</v>
      </c>
      <c r="CO30" s="141">
        <f t="shared" si="41"/>
        <v>-0.01615090738309992</v>
      </c>
      <c r="CP30" s="141" t="str">
        <f t="shared" si="42"/>
        <v>-</v>
      </c>
      <c r="CQ30" s="141" t="str">
        <f t="shared" si="43"/>
        <v>-</v>
      </c>
      <c r="CR30" s="142">
        <f t="shared" si="44"/>
        <v>-10.195744983208801</v>
      </c>
      <c r="CS30" s="76">
        <f t="shared" si="45"/>
        <v>136318.13</v>
      </c>
      <c r="CT30" s="80">
        <f t="shared" si="73"/>
        <v>79802.9</v>
      </c>
      <c r="CU30" s="80">
        <f t="shared" si="74"/>
        <v>66432.79999999999</v>
      </c>
      <c r="CV30" s="80">
        <f t="shared" si="75"/>
        <v>-13370.100000000006</v>
      </c>
      <c r="CW30" s="80">
        <f t="shared" si="76"/>
        <v>0</v>
      </c>
      <c r="CX30" s="80">
        <f t="shared" si="77"/>
        <v>-13370.100000000006</v>
      </c>
      <c r="CY30" s="80">
        <f t="shared" si="78"/>
        <v>-13370.100000000006</v>
      </c>
      <c r="CZ30" s="80">
        <f t="shared" si="79"/>
        <v>0</v>
      </c>
      <c r="DA30" s="80">
        <f t="shared" si="80"/>
        <v>0</v>
      </c>
      <c r="DB30" s="80">
        <f t="shared" si="81"/>
        <v>-13370.100000000006</v>
      </c>
      <c r="DC30" s="80">
        <f t="shared" si="46"/>
        <v>-13370.100000000006</v>
      </c>
      <c r="DD30" s="80">
        <f t="shared" si="82"/>
        <v>0</v>
      </c>
      <c r="DE30" s="80">
        <f t="shared" si="83"/>
        <v>-13370.100000000006</v>
      </c>
      <c r="DF30" s="80">
        <f t="shared" si="84"/>
        <v>44249</v>
      </c>
      <c r="DG30" s="80">
        <f t="shared" si="85"/>
        <v>343.37060453400505</v>
      </c>
      <c r="DH30" s="80">
        <f t="shared" si="86"/>
        <v>-2.7026448362720403</v>
      </c>
      <c r="DI30" s="80">
        <f t="shared" si="87"/>
        <v>111.45843828715365</v>
      </c>
      <c r="DJ30" s="81">
        <f t="shared" si="88"/>
        <v>0</v>
      </c>
      <c r="DK30" s="76">
        <f t="shared" si="89"/>
        <v>-33.677833753148626</v>
      </c>
      <c r="DL30" s="145">
        <f t="shared" si="49"/>
        <v>136318.13</v>
      </c>
      <c r="DM30" s="67"/>
      <c r="DN30" s="68"/>
    </row>
    <row r="31" spans="1:118" ht="13.5" thickBot="1">
      <c r="A31" s="53" t="s">
        <v>20</v>
      </c>
      <c r="B31" s="47">
        <v>303</v>
      </c>
      <c r="C31" s="7">
        <v>1003415</v>
      </c>
      <c r="D31" s="35">
        <v>3311.6</v>
      </c>
      <c r="E31" s="35">
        <v>92.66</v>
      </c>
      <c r="F31" s="127">
        <v>4</v>
      </c>
      <c r="G31" s="131">
        <v>2811.65</v>
      </c>
      <c r="H31" s="43">
        <v>1014.15</v>
      </c>
      <c r="I31" s="43">
        <v>844.7</v>
      </c>
      <c r="J31" s="43">
        <v>0</v>
      </c>
      <c r="K31" s="43">
        <v>0</v>
      </c>
      <c r="L31" s="43">
        <v>0</v>
      </c>
      <c r="M31" s="43">
        <f t="shared" si="0"/>
        <v>0</v>
      </c>
      <c r="N31" s="43">
        <v>0</v>
      </c>
      <c r="O31" s="43">
        <v>1600</v>
      </c>
      <c r="P31" s="43">
        <v>114194.05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f t="shared" si="57"/>
        <v>0</v>
      </c>
      <c r="X31" s="43">
        <v>0</v>
      </c>
      <c r="Y31" s="43">
        <f t="shared" si="58"/>
        <v>120464.55</v>
      </c>
      <c r="Z31" s="43">
        <v>62686.75</v>
      </c>
      <c r="AA31" s="43">
        <v>2289.85</v>
      </c>
      <c r="AB31" s="43">
        <v>0</v>
      </c>
      <c r="AC31" s="43">
        <v>11692.55</v>
      </c>
      <c r="AD31" s="43">
        <v>0</v>
      </c>
      <c r="AE31" s="43">
        <f t="shared" si="59"/>
        <v>76669.15</v>
      </c>
      <c r="AF31" s="43">
        <v>0</v>
      </c>
      <c r="AG31" s="43">
        <v>3521.2</v>
      </c>
      <c r="AH31" s="43">
        <v>0</v>
      </c>
      <c r="AI31" s="43">
        <v>11.75</v>
      </c>
      <c r="AJ31" s="43">
        <v>0</v>
      </c>
      <c r="AK31" s="43">
        <v>40</v>
      </c>
      <c r="AL31" s="43">
        <v>0</v>
      </c>
      <c r="AM31" s="43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60"/>
        <v>0</v>
      </c>
      <c r="AT31" s="4">
        <v>0</v>
      </c>
      <c r="AU31" s="4">
        <f t="shared" si="61"/>
        <v>80242.1</v>
      </c>
      <c r="AV31" s="4">
        <v>0</v>
      </c>
      <c r="AW31" s="4">
        <v>40222.45</v>
      </c>
      <c r="AX31" s="143">
        <f t="shared" si="62"/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f t="shared" si="63"/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f t="shared" si="64"/>
        <v>0</v>
      </c>
      <c r="BP31" s="43">
        <v>0</v>
      </c>
      <c r="BQ31" s="43">
        <v>0</v>
      </c>
      <c r="BR31" s="43">
        <v>0</v>
      </c>
      <c r="BS31" s="43">
        <f t="shared" si="65"/>
        <v>0</v>
      </c>
      <c r="BT31" s="4">
        <v>212331.9</v>
      </c>
      <c r="BU31" s="4">
        <v>0</v>
      </c>
      <c r="BV31" s="4">
        <v>0</v>
      </c>
      <c r="BW31" s="4"/>
      <c r="BX31" s="4">
        <f t="shared" si="90"/>
        <v>212331.9</v>
      </c>
      <c r="BY31" s="4">
        <v>76937.85</v>
      </c>
      <c r="BZ31" s="4">
        <v>0</v>
      </c>
      <c r="CA31" s="4">
        <v>135394.05</v>
      </c>
      <c r="CB31" s="4">
        <f t="shared" si="66"/>
        <v>212331.9</v>
      </c>
      <c r="CC31" s="143">
        <f t="shared" si="67"/>
        <v>0</v>
      </c>
      <c r="CD31" s="74">
        <f t="shared" si="68"/>
        <v>-40222.45</v>
      </c>
      <c r="CE31" s="76">
        <f t="shared" si="69"/>
        <v>-40222.45</v>
      </c>
      <c r="CF31" s="76">
        <f t="shared" si="70"/>
        <v>0</v>
      </c>
      <c r="CG31" s="76">
        <f t="shared" si="54"/>
        <v>80242.1</v>
      </c>
      <c r="CH31" s="76">
        <f t="shared" si="71"/>
        <v>-2676.5</v>
      </c>
      <c r="CI31" s="37">
        <f t="shared" si="72"/>
        <v>-2676.5</v>
      </c>
      <c r="CJ31" s="59" t="str">
        <f t="shared" si="36"/>
        <v>-</v>
      </c>
      <c r="CK31" s="59" t="str">
        <f t="shared" si="37"/>
        <v>-</v>
      </c>
      <c r="CL31" s="141">
        <f t="shared" si="38"/>
        <v>-0.5012636758011069</v>
      </c>
      <c r="CM31" s="141">
        <f t="shared" si="39"/>
        <v>-0.5012636758011069</v>
      </c>
      <c r="CN31" s="141">
        <f t="shared" si="40"/>
        <v>-0.033355308497658956</v>
      </c>
      <c r="CO31" s="141">
        <f t="shared" si="41"/>
        <v>-0.033355308497658956</v>
      </c>
      <c r="CP31" s="141" t="str">
        <f t="shared" si="42"/>
        <v>-</v>
      </c>
      <c r="CQ31" s="141" t="str">
        <f t="shared" si="43"/>
        <v>-</v>
      </c>
      <c r="CR31" s="142">
        <f t="shared" si="44"/>
        <v>-3.3661313520185865</v>
      </c>
      <c r="CS31" s="76">
        <f t="shared" si="45"/>
        <v>135394.05</v>
      </c>
      <c r="CT31" s="80">
        <f t="shared" si="73"/>
        <v>120464.55</v>
      </c>
      <c r="CU31" s="80">
        <f t="shared" si="74"/>
        <v>80242.1</v>
      </c>
      <c r="CV31" s="80">
        <f t="shared" si="75"/>
        <v>-40222.45</v>
      </c>
      <c r="CW31" s="80">
        <f t="shared" si="76"/>
        <v>0</v>
      </c>
      <c r="CX31" s="80">
        <f t="shared" si="77"/>
        <v>-40222.45</v>
      </c>
      <c r="CY31" s="80">
        <f t="shared" si="78"/>
        <v>-40222.45</v>
      </c>
      <c r="CZ31" s="80">
        <f t="shared" si="79"/>
        <v>0</v>
      </c>
      <c r="DA31" s="80">
        <f t="shared" si="80"/>
        <v>0</v>
      </c>
      <c r="DB31" s="80">
        <f t="shared" si="81"/>
        <v>-40222.45</v>
      </c>
      <c r="DC31" s="80">
        <f t="shared" si="46"/>
        <v>-40222.45</v>
      </c>
      <c r="DD31" s="80">
        <f t="shared" si="82"/>
        <v>0</v>
      </c>
      <c r="DE31" s="80">
        <f t="shared" si="83"/>
        <v>-40222.45</v>
      </c>
      <c r="DF31" s="80">
        <f t="shared" si="84"/>
        <v>64976.6</v>
      </c>
      <c r="DG31" s="80">
        <f t="shared" si="85"/>
        <v>446.84504950495045</v>
      </c>
      <c r="DH31" s="80">
        <f t="shared" si="86"/>
        <v>-8.833333333333334</v>
      </c>
      <c r="DI31" s="80">
        <f t="shared" si="87"/>
        <v>214.44422442244223</v>
      </c>
      <c r="DJ31" s="81">
        <f t="shared" si="88"/>
        <v>0</v>
      </c>
      <c r="DK31" s="76">
        <f t="shared" si="89"/>
        <v>-132.7473597359736</v>
      </c>
      <c r="DL31" s="145">
        <f t="shared" si="49"/>
        <v>135394.05</v>
      </c>
      <c r="DM31" s="71"/>
      <c r="DN31" s="72"/>
    </row>
    <row r="32" spans="1:118" ht="12" customHeight="1">
      <c r="A32" s="60" t="s">
        <v>70</v>
      </c>
      <c r="B32" s="62">
        <f aca="true" t="shared" si="97" ref="B32:BM32">SUM(B3:B31)</f>
        <v>38210</v>
      </c>
      <c r="C32" s="62">
        <f t="shared" si="97"/>
        <v>136563571</v>
      </c>
      <c r="D32" s="62">
        <f t="shared" si="97"/>
        <v>91036.89</v>
      </c>
      <c r="E32" s="62">
        <f t="shared" si="97"/>
        <v>2547.1899999999996</v>
      </c>
      <c r="F32" s="62">
        <f t="shared" si="97"/>
        <v>91</v>
      </c>
      <c r="G32" s="118">
        <f t="shared" si="97"/>
        <v>1121896.8499999999</v>
      </c>
      <c r="H32" s="119">
        <f t="shared" si="97"/>
        <v>619730.05</v>
      </c>
      <c r="I32" s="119">
        <f t="shared" si="97"/>
        <v>60081.45</v>
      </c>
      <c r="J32" s="119">
        <f t="shared" si="97"/>
        <v>41138.7</v>
      </c>
      <c r="K32" s="119">
        <f t="shared" si="97"/>
        <v>32043.25</v>
      </c>
      <c r="L32" s="119">
        <f t="shared" si="97"/>
        <v>50000</v>
      </c>
      <c r="M32" s="119">
        <f t="shared" si="97"/>
        <v>82043.25</v>
      </c>
      <c r="N32" s="119">
        <f t="shared" si="97"/>
        <v>544706.3</v>
      </c>
      <c r="O32" s="119">
        <f t="shared" si="97"/>
        <v>183052.8</v>
      </c>
      <c r="P32" s="119">
        <f t="shared" si="97"/>
        <v>12282737.209999999</v>
      </c>
      <c r="Q32" s="119">
        <f t="shared" si="97"/>
        <v>0</v>
      </c>
      <c r="R32" s="119">
        <f t="shared" si="97"/>
        <v>249999.99999999997</v>
      </c>
      <c r="S32" s="119">
        <f t="shared" si="97"/>
        <v>0</v>
      </c>
      <c r="T32" s="119">
        <f t="shared" si="97"/>
        <v>0</v>
      </c>
      <c r="U32" s="119">
        <f t="shared" si="97"/>
        <v>0</v>
      </c>
      <c r="V32" s="119">
        <f t="shared" si="97"/>
        <v>0</v>
      </c>
      <c r="W32" s="119">
        <f t="shared" si="97"/>
        <v>249999.99999999997</v>
      </c>
      <c r="X32" s="119">
        <f t="shared" si="97"/>
        <v>195906.19999999998</v>
      </c>
      <c r="Y32" s="119">
        <f t="shared" si="97"/>
        <v>15381292.81</v>
      </c>
      <c r="Z32" s="119">
        <f t="shared" si="97"/>
        <v>5695306.6000000015</v>
      </c>
      <c r="AA32" s="119">
        <f t="shared" si="97"/>
        <v>563589.2999999999</v>
      </c>
      <c r="AB32" s="119">
        <f t="shared" si="97"/>
        <v>26473.35</v>
      </c>
      <c r="AC32" s="119">
        <f t="shared" si="97"/>
        <v>1354790.2499999998</v>
      </c>
      <c r="AD32" s="119">
        <f t="shared" si="97"/>
        <v>0</v>
      </c>
      <c r="AE32" s="119">
        <f t="shared" si="97"/>
        <v>7640159.5</v>
      </c>
      <c r="AF32" s="119">
        <f t="shared" si="97"/>
        <v>0</v>
      </c>
      <c r="AG32" s="119">
        <f t="shared" si="97"/>
        <v>245221.95000000004</v>
      </c>
      <c r="AH32" s="119">
        <f t="shared" si="97"/>
        <v>12195.45</v>
      </c>
      <c r="AI32" s="119">
        <f t="shared" si="97"/>
        <v>6201217.149999999</v>
      </c>
      <c r="AJ32" s="119">
        <f t="shared" si="97"/>
        <v>-200</v>
      </c>
      <c r="AK32" s="119">
        <f t="shared" si="97"/>
        <v>146699.6</v>
      </c>
      <c r="AL32" s="119">
        <f t="shared" si="97"/>
        <v>61946.99999999999</v>
      </c>
      <c r="AM32" s="119">
        <f t="shared" si="97"/>
        <v>0</v>
      </c>
      <c r="AN32" s="119">
        <f t="shared" si="97"/>
        <v>0</v>
      </c>
      <c r="AO32" s="119">
        <f t="shared" si="97"/>
        <v>0</v>
      </c>
      <c r="AP32" s="119">
        <f t="shared" si="97"/>
        <v>0</v>
      </c>
      <c r="AQ32" s="119">
        <f t="shared" si="97"/>
        <v>0</v>
      </c>
      <c r="AR32" s="119">
        <f t="shared" si="97"/>
        <v>0</v>
      </c>
      <c r="AS32" s="119">
        <f t="shared" si="97"/>
        <v>0</v>
      </c>
      <c r="AT32" s="119">
        <f t="shared" si="97"/>
        <v>195906.19999999998</v>
      </c>
      <c r="AU32" s="119">
        <f t="shared" si="97"/>
        <v>14490951.400000002</v>
      </c>
      <c r="AV32" s="119">
        <f t="shared" si="97"/>
        <v>485921.2499999999</v>
      </c>
      <c r="AW32" s="119">
        <f t="shared" si="97"/>
        <v>1376262.66</v>
      </c>
      <c r="AX32" s="119">
        <f t="shared" si="97"/>
        <v>3.7897507354500704E-10</v>
      </c>
      <c r="AY32" s="119">
        <f t="shared" si="97"/>
        <v>11773.05</v>
      </c>
      <c r="AZ32" s="119">
        <f t="shared" si="97"/>
        <v>0</v>
      </c>
      <c r="BA32" s="119">
        <f t="shared" si="97"/>
        <v>0</v>
      </c>
      <c r="BB32" s="119">
        <f t="shared" si="97"/>
        <v>0</v>
      </c>
      <c r="BC32" s="119">
        <f t="shared" si="97"/>
        <v>200000</v>
      </c>
      <c r="BD32" s="119">
        <f t="shared" si="97"/>
        <v>0</v>
      </c>
      <c r="BE32" s="119">
        <f t="shared" si="97"/>
        <v>0</v>
      </c>
      <c r="BF32" s="119">
        <f t="shared" si="97"/>
        <v>200000</v>
      </c>
      <c r="BG32" s="119">
        <f t="shared" si="97"/>
        <v>0</v>
      </c>
      <c r="BH32" s="119">
        <f t="shared" si="97"/>
        <v>0</v>
      </c>
      <c r="BI32" s="119">
        <f t="shared" si="97"/>
        <v>0</v>
      </c>
      <c r="BJ32" s="119">
        <f t="shared" si="97"/>
        <v>0</v>
      </c>
      <c r="BK32" s="119">
        <f t="shared" si="97"/>
        <v>0</v>
      </c>
      <c r="BL32" s="119">
        <f t="shared" si="97"/>
        <v>0</v>
      </c>
      <c r="BM32" s="119">
        <f t="shared" si="97"/>
        <v>0</v>
      </c>
      <c r="BN32" s="119">
        <f aca="true" t="shared" si="98" ref="BN32:DL32">SUM(BN3:BN31)</f>
        <v>0</v>
      </c>
      <c r="BO32" s="119">
        <f t="shared" si="98"/>
        <v>0</v>
      </c>
      <c r="BP32" s="119">
        <f t="shared" si="98"/>
        <v>0</v>
      </c>
      <c r="BQ32" s="119">
        <f t="shared" si="98"/>
        <v>0</v>
      </c>
      <c r="BR32" s="119">
        <f t="shared" si="98"/>
        <v>200000</v>
      </c>
      <c r="BS32" s="119">
        <f t="shared" si="98"/>
        <v>0</v>
      </c>
      <c r="BT32" s="119">
        <f t="shared" si="98"/>
        <v>15413074.159999998</v>
      </c>
      <c r="BU32" s="119">
        <f t="shared" si="98"/>
        <v>198067.8</v>
      </c>
      <c r="BV32" s="119">
        <f t="shared" si="98"/>
        <v>0</v>
      </c>
      <c r="BW32" s="119">
        <f t="shared" si="98"/>
        <v>170335.41</v>
      </c>
      <c r="BX32" s="119">
        <f t="shared" si="98"/>
        <v>15781477.369999997</v>
      </c>
      <c r="BY32" s="119">
        <f t="shared" si="98"/>
        <v>6133522.68</v>
      </c>
      <c r="BZ32" s="119">
        <f t="shared" si="98"/>
        <v>20000</v>
      </c>
      <c r="CA32" s="119">
        <f t="shared" si="98"/>
        <v>9627954.690000001</v>
      </c>
      <c r="CB32" s="119">
        <f t="shared" si="98"/>
        <v>15781477.369999997</v>
      </c>
      <c r="CC32" s="119">
        <f t="shared" si="98"/>
        <v>0</v>
      </c>
      <c r="CD32" s="119">
        <f t="shared" si="98"/>
        <v>-808298.1599999999</v>
      </c>
      <c r="CE32" s="119">
        <f t="shared" si="98"/>
        <v>-558298.16</v>
      </c>
      <c r="CF32" s="119">
        <f t="shared" si="98"/>
        <v>200000</v>
      </c>
      <c r="CG32" s="119">
        <f t="shared" si="98"/>
        <v>14295045.200000003</v>
      </c>
      <c r="CH32" s="119">
        <f t="shared" si="98"/>
        <v>-161172.00000000006</v>
      </c>
      <c r="CI32" s="119">
        <f t="shared" si="98"/>
        <v>-129128.74999999999</v>
      </c>
      <c r="CJ32" s="120">
        <f t="shared" si="98"/>
        <v>0.35130875</v>
      </c>
      <c r="CK32" s="120">
        <f t="shared" si="98"/>
        <v>0.35130875</v>
      </c>
      <c r="CL32" s="120">
        <f t="shared" si="98"/>
        <v>-2.698974880213403</v>
      </c>
      <c r="CM32" s="120">
        <f t="shared" si="98"/>
        <v>-2.5556950659980338</v>
      </c>
      <c r="CN32" s="120">
        <f t="shared" si="98"/>
        <v>-0.5085115592381194</v>
      </c>
      <c r="CO32" s="120">
        <f t="shared" si="98"/>
        <v>-0.45802495189149167</v>
      </c>
      <c r="CP32" s="120">
        <f t="shared" si="98"/>
        <v>1.1500019928225176</v>
      </c>
      <c r="CQ32" s="120">
        <f t="shared" si="98"/>
        <v>0.9000019928225176</v>
      </c>
      <c r="CR32" s="119">
        <f t="shared" si="98"/>
        <v>1198.7026646725456</v>
      </c>
      <c r="CS32" s="119">
        <f t="shared" si="98"/>
        <v>9279551.48</v>
      </c>
      <c r="CT32" s="119">
        <f t="shared" si="98"/>
        <v>15299249.559999999</v>
      </c>
      <c r="CU32" s="119">
        <f t="shared" si="98"/>
        <v>14490951.400000002</v>
      </c>
      <c r="CV32" s="119">
        <f t="shared" si="98"/>
        <v>-808298.1600000004</v>
      </c>
      <c r="CW32" s="119">
        <f t="shared" si="98"/>
        <v>0</v>
      </c>
      <c r="CX32" s="119">
        <f t="shared" si="98"/>
        <v>-808298.1600000004</v>
      </c>
      <c r="CY32" s="119">
        <f t="shared" si="98"/>
        <v>-890341.4100000004</v>
      </c>
      <c r="CZ32" s="119">
        <f t="shared" si="98"/>
        <v>200000</v>
      </c>
      <c r="DA32" s="119">
        <f t="shared" si="98"/>
        <v>82043.25</v>
      </c>
      <c r="DB32" s="119">
        <f t="shared" si="98"/>
        <v>-1008298.1600000006</v>
      </c>
      <c r="DC32" s="119">
        <f t="shared" si="98"/>
        <v>-758298.1600000004</v>
      </c>
      <c r="DD32" s="119">
        <f t="shared" si="98"/>
        <v>-82043.25</v>
      </c>
      <c r="DE32" s="119">
        <f t="shared" si="98"/>
        <v>-890341.4100000004</v>
      </c>
      <c r="DF32" s="119">
        <f t="shared" si="98"/>
        <v>6285369.249999998</v>
      </c>
      <c r="DG32" s="119">
        <f t="shared" si="98"/>
        <v>9001.611323637942</v>
      </c>
      <c r="DH32" s="119">
        <f t="shared" si="98"/>
        <v>-160.4731899336968</v>
      </c>
      <c r="DI32" s="119">
        <f t="shared" si="98"/>
        <v>4449.902900494718</v>
      </c>
      <c r="DJ32" s="119">
        <f t="shared" si="98"/>
        <v>174.67248908296943</v>
      </c>
      <c r="DK32" s="119">
        <f t="shared" si="98"/>
        <v>-924.3214757662595</v>
      </c>
      <c r="DL32" s="119">
        <f t="shared" si="98"/>
        <v>9259551.48</v>
      </c>
      <c r="DM32" s="13">
        <f>SUM(DM3:DM31)</f>
        <v>0</v>
      </c>
      <c r="DN32" s="26">
        <f>SUM(DN3:DN31)</f>
        <v>0</v>
      </c>
    </row>
    <row r="33" spans="1:118" ht="12.75">
      <c r="A33" s="31" t="s">
        <v>47</v>
      </c>
      <c r="B33" s="24">
        <f aca="true" t="shared" si="99" ref="B33:BM33">MIN(B3:B31)</f>
        <v>176</v>
      </c>
      <c r="C33" s="24">
        <f t="shared" si="99"/>
        <v>360586</v>
      </c>
      <c r="D33" s="25">
        <f t="shared" si="99"/>
        <v>2048.79</v>
      </c>
      <c r="E33" s="25">
        <f t="shared" si="99"/>
        <v>57.32</v>
      </c>
      <c r="F33" s="116">
        <f t="shared" si="99"/>
        <v>0</v>
      </c>
      <c r="G33" s="123">
        <f t="shared" si="99"/>
        <v>0</v>
      </c>
      <c r="H33" s="24">
        <f t="shared" si="99"/>
        <v>0</v>
      </c>
      <c r="I33" s="24">
        <f t="shared" si="99"/>
        <v>0</v>
      </c>
      <c r="J33" s="24">
        <f t="shared" si="99"/>
        <v>0</v>
      </c>
      <c r="K33" s="24">
        <f t="shared" si="99"/>
        <v>0</v>
      </c>
      <c r="L33" s="24">
        <f t="shared" si="99"/>
        <v>0</v>
      </c>
      <c r="M33" s="24">
        <f t="shared" si="99"/>
        <v>0</v>
      </c>
      <c r="N33" s="24">
        <f t="shared" si="99"/>
        <v>0</v>
      </c>
      <c r="O33" s="24">
        <f t="shared" si="99"/>
        <v>0</v>
      </c>
      <c r="P33" s="24">
        <f t="shared" si="99"/>
        <v>0</v>
      </c>
      <c r="Q33" s="24">
        <f t="shared" si="99"/>
        <v>0</v>
      </c>
      <c r="R33" s="24">
        <f t="shared" si="99"/>
        <v>0</v>
      </c>
      <c r="S33" s="24">
        <f t="shared" si="99"/>
        <v>0</v>
      </c>
      <c r="T33" s="24">
        <f t="shared" si="99"/>
        <v>0</v>
      </c>
      <c r="U33" s="24">
        <f t="shared" si="99"/>
        <v>0</v>
      </c>
      <c r="V33" s="24">
        <f t="shared" si="99"/>
        <v>0</v>
      </c>
      <c r="W33" s="24">
        <f t="shared" si="99"/>
        <v>0</v>
      </c>
      <c r="X33" s="24">
        <f t="shared" si="99"/>
        <v>0</v>
      </c>
      <c r="Y33" s="24">
        <f t="shared" si="99"/>
        <v>0</v>
      </c>
      <c r="Z33" s="24">
        <f t="shared" si="99"/>
        <v>0</v>
      </c>
      <c r="AA33" s="24">
        <f t="shared" si="99"/>
        <v>0</v>
      </c>
      <c r="AB33" s="24">
        <f t="shared" si="99"/>
        <v>0</v>
      </c>
      <c r="AC33" s="24">
        <f>MIN(AC3:AC31)</f>
        <v>0</v>
      </c>
      <c r="AD33" s="24">
        <f t="shared" si="99"/>
        <v>0</v>
      </c>
      <c r="AE33" s="24">
        <f t="shared" si="99"/>
        <v>0</v>
      </c>
      <c r="AF33" s="24">
        <f t="shared" si="99"/>
        <v>0</v>
      </c>
      <c r="AG33" s="24">
        <f t="shared" si="99"/>
        <v>0</v>
      </c>
      <c r="AH33" s="24">
        <f t="shared" si="99"/>
        <v>0</v>
      </c>
      <c r="AI33" s="24">
        <f t="shared" si="99"/>
        <v>0</v>
      </c>
      <c r="AJ33" s="24">
        <f t="shared" si="99"/>
        <v>-200</v>
      </c>
      <c r="AK33" s="24">
        <f t="shared" si="99"/>
        <v>0</v>
      </c>
      <c r="AL33" s="24">
        <f t="shared" si="99"/>
        <v>0</v>
      </c>
      <c r="AM33" s="24">
        <f t="shared" si="99"/>
        <v>0</v>
      </c>
      <c r="AN33" s="24">
        <f t="shared" si="99"/>
        <v>0</v>
      </c>
      <c r="AO33" s="24">
        <f t="shared" si="99"/>
        <v>0</v>
      </c>
      <c r="AP33" s="24">
        <f t="shared" si="99"/>
        <v>0</v>
      </c>
      <c r="AQ33" s="24">
        <f t="shared" si="99"/>
        <v>0</v>
      </c>
      <c r="AR33" s="24">
        <f t="shared" si="99"/>
        <v>0</v>
      </c>
      <c r="AS33" s="24">
        <f t="shared" si="99"/>
        <v>0</v>
      </c>
      <c r="AT33" s="24">
        <f t="shared" si="99"/>
        <v>0</v>
      </c>
      <c r="AU33" s="24">
        <f t="shared" si="99"/>
        <v>0</v>
      </c>
      <c r="AV33" s="24">
        <f t="shared" si="99"/>
        <v>0</v>
      </c>
      <c r="AW33" s="24">
        <f t="shared" si="99"/>
        <v>0</v>
      </c>
      <c r="AX33" s="24">
        <f t="shared" si="99"/>
        <v>-1.1823431123048067E-10</v>
      </c>
      <c r="AY33" s="24">
        <f t="shared" si="99"/>
        <v>0</v>
      </c>
      <c r="AZ33" s="24">
        <f t="shared" si="99"/>
        <v>0</v>
      </c>
      <c r="BA33" s="24">
        <f t="shared" si="99"/>
        <v>0</v>
      </c>
      <c r="BB33" s="24">
        <f t="shared" si="99"/>
        <v>0</v>
      </c>
      <c r="BC33" s="24">
        <f t="shared" si="99"/>
        <v>0</v>
      </c>
      <c r="BD33" s="24">
        <f t="shared" si="99"/>
        <v>0</v>
      </c>
      <c r="BE33" s="24">
        <f t="shared" si="99"/>
        <v>0</v>
      </c>
      <c r="BF33" s="24">
        <f t="shared" si="99"/>
        <v>0</v>
      </c>
      <c r="BG33" s="24">
        <f t="shared" si="99"/>
        <v>0</v>
      </c>
      <c r="BH33" s="24">
        <f t="shared" si="99"/>
        <v>0</v>
      </c>
      <c r="BI33" s="24">
        <f t="shared" si="99"/>
        <v>0</v>
      </c>
      <c r="BJ33" s="24">
        <f t="shared" si="99"/>
        <v>0</v>
      </c>
      <c r="BK33" s="24">
        <f t="shared" si="99"/>
        <v>0</v>
      </c>
      <c r="BL33" s="24">
        <f t="shared" si="99"/>
        <v>0</v>
      </c>
      <c r="BM33" s="24">
        <f t="shared" si="99"/>
        <v>0</v>
      </c>
      <c r="BN33" s="24">
        <f aca="true" t="shared" si="100" ref="BN33:DL33">MIN(BN3:BN31)</f>
        <v>0</v>
      </c>
      <c r="BO33" s="24">
        <f t="shared" si="100"/>
        <v>0</v>
      </c>
      <c r="BP33" s="24">
        <f t="shared" si="100"/>
        <v>0</v>
      </c>
      <c r="BQ33" s="24">
        <f t="shared" si="100"/>
        <v>0</v>
      </c>
      <c r="BR33" s="24">
        <f t="shared" si="100"/>
        <v>0</v>
      </c>
      <c r="BS33" s="24">
        <f t="shared" si="100"/>
        <v>0</v>
      </c>
      <c r="BT33" s="24">
        <f t="shared" si="100"/>
        <v>56338.520000000004</v>
      </c>
      <c r="BU33" s="24">
        <f t="shared" si="100"/>
        <v>0</v>
      </c>
      <c r="BV33" s="24">
        <f t="shared" si="100"/>
        <v>0</v>
      </c>
      <c r="BW33" s="24">
        <f t="shared" si="100"/>
        <v>0</v>
      </c>
      <c r="BX33" s="24">
        <f t="shared" si="100"/>
        <v>0</v>
      </c>
      <c r="BY33" s="24">
        <f t="shared" si="100"/>
        <v>27533.7819391635</v>
      </c>
      <c r="BZ33" s="24">
        <f t="shared" si="100"/>
        <v>0</v>
      </c>
      <c r="CA33" s="24">
        <f t="shared" si="100"/>
        <v>0</v>
      </c>
      <c r="CB33" s="24">
        <f t="shared" si="100"/>
        <v>0</v>
      </c>
      <c r="CC33" s="24">
        <f t="shared" si="100"/>
        <v>0</v>
      </c>
      <c r="CD33" s="24">
        <f t="shared" si="100"/>
        <v>-449377.05</v>
      </c>
      <c r="CE33" s="24">
        <f t="shared" si="100"/>
        <v>-449377.05</v>
      </c>
      <c r="CF33" s="24">
        <f t="shared" si="100"/>
        <v>0</v>
      </c>
      <c r="CG33" s="24">
        <f t="shared" si="100"/>
        <v>0</v>
      </c>
      <c r="CH33" s="24">
        <f t="shared" si="100"/>
        <v>-36504.7</v>
      </c>
      <c r="CI33" s="24">
        <f t="shared" si="100"/>
        <v>-36504.7</v>
      </c>
      <c r="CJ33" s="92">
        <f t="shared" si="100"/>
        <v>0.35130875</v>
      </c>
      <c r="CK33" s="92">
        <f t="shared" si="100"/>
        <v>0.35130875</v>
      </c>
      <c r="CL33" s="92">
        <f t="shared" si="100"/>
        <v>-0.815600157941602</v>
      </c>
      <c r="CM33" s="92">
        <f t="shared" si="100"/>
        <v>-0.815600157941602</v>
      </c>
      <c r="CN33" s="92">
        <f t="shared" si="100"/>
        <v>-0.11507758934978973</v>
      </c>
      <c r="CO33" s="92">
        <f t="shared" si="100"/>
        <v>-0.11507758934978973</v>
      </c>
      <c r="CP33" s="92">
        <f t="shared" si="100"/>
        <v>0</v>
      </c>
      <c r="CQ33" s="92">
        <f t="shared" si="100"/>
        <v>0</v>
      </c>
      <c r="CR33" s="24">
        <f t="shared" si="100"/>
        <v>-70.59937903987218</v>
      </c>
      <c r="CS33" s="24">
        <f t="shared" si="100"/>
        <v>-107229.75</v>
      </c>
      <c r="CT33" s="24">
        <f t="shared" si="100"/>
        <v>0</v>
      </c>
      <c r="CU33" s="24">
        <f t="shared" si="100"/>
        <v>0</v>
      </c>
      <c r="CV33" s="24">
        <f t="shared" si="100"/>
        <v>-449377.0499999998</v>
      </c>
      <c r="CW33" s="24">
        <f t="shared" si="100"/>
        <v>0</v>
      </c>
      <c r="CX33" s="24">
        <f t="shared" si="100"/>
        <v>-449377.0499999998</v>
      </c>
      <c r="CY33" s="24">
        <f t="shared" si="100"/>
        <v>-449377.0499999998</v>
      </c>
      <c r="CZ33" s="24">
        <f t="shared" si="100"/>
        <v>0</v>
      </c>
      <c r="DA33" s="24">
        <f t="shared" si="100"/>
        <v>0</v>
      </c>
      <c r="DB33" s="24">
        <f t="shared" si="100"/>
        <v>-449377.0499999998</v>
      </c>
      <c r="DC33" s="24">
        <f>MIN(DC3:DC31)</f>
        <v>-449377.0499999998</v>
      </c>
      <c r="DD33" s="24">
        <f t="shared" si="100"/>
        <v>-70000</v>
      </c>
      <c r="DE33" s="24">
        <f t="shared" si="100"/>
        <v>-449377.0499999998</v>
      </c>
      <c r="DF33" s="24">
        <f t="shared" si="100"/>
        <v>0</v>
      </c>
      <c r="DG33" s="24">
        <f t="shared" si="100"/>
        <v>-289.8101351351351</v>
      </c>
      <c r="DH33" s="24">
        <f t="shared" si="100"/>
        <v>-33.831974050046334</v>
      </c>
      <c r="DI33" s="24">
        <f t="shared" si="100"/>
        <v>0</v>
      </c>
      <c r="DJ33" s="24">
        <f t="shared" si="100"/>
        <v>0</v>
      </c>
      <c r="DK33" s="24">
        <f t="shared" si="100"/>
        <v>-201.41915422885572</v>
      </c>
      <c r="DL33" s="24">
        <f t="shared" si="100"/>
        <v>-107229.75</v>
      </c>
      <c r="DM33" s="13">
        <f>MIN(DM3:DM31)</f>
        <v>0</v>
      </c>
      <c r="DN33" s="26">
        <f>MIN(DN3:DN31)</f>
        <v>0</v>
      </c>
    </row>
    <row r="34" spans="1:118" ht="12.75">
      <c r="A34" s="31" t="s">
        <v>48</v>
      </c>
      <c r="B34" s="24">
        <f aca="true" t="shared" si="101" ref="B34:BM34">MAX(B3:B31)</f>
        <v>5645</v>
      </c>
      <c r="C34" s="24">
        <f t="shared" si="101"/>
        <v>23826845</v>
      </c>
      <c r="D34" s="25">
        <f t="shared" si="101"/>
        <v>4646.95</v>
      </c>
      <c r="E34" s="25">
        <f t="shared" si="101"/>
        <v>130.02</v>
      </c>
      <c r="F34" s="116">
        <f t="shared" si="101"/>
        <v>6</v>
      </c>
      <c r="G34" s="123">
        <f t="shared" si="101"/>
        <v>350551.3130168575</v>
      </c>
      <c r="H34" s="24">
        <f t="shared" si="101"/>
        <v>330280.9</v>
      </c>
      <c r="I34" s="24">
        <f t="shared" si="101"/>
        <v>45140.95</v>
      </c>
      <c r="J34" s="24">
        <f t="shared" si="101"/>
        <v>15289.855072463768</v>
      </c>
      <c r="K34" s="24">
        <f t="shared" si="101"/>
        <v>20000</v>
      </c>
      <c r="L34" s="24">
        <f t="shared" si="101"/>
        <v>50000</v>
      </c>
      <c r="M34" s="24">
        <f t="shared" si="101"/>
        <v>70000</v>
      </c>
      <c r="N34" s="24">
        <f t="shared" si="101"/>
        <v>544706.3</v>
      </c>
      <c r="O34" s="24">
        <f t="shared" si="101"/>
        <v>126466.85</v>
      </c>
      <c r="P34" s="24">
        <f t="shared" si="101"/>
        <v>2573929.2388597326</v>
      </c>
      <c r="Q34" s="24">
        <f t="shared" si="101"/>
        <v>0</v>
      </c>
      <c r="R34" s="24">
        <f t="shared" si="101"/>
        <v>224435.43256997454</v>
      </c>
      <c r="S34" s="24">
        <f t="shared" si="101"/>
        <v>0</v>
      </c>
      <c r="T34" s="24">
        <f t="shared" si="101"/>
        <v>0</v>
      </c>
      <c r="U34" s="24">
        <f t="shared" si="101"/>
        <v>0</v>
      </c>
      <c r="V34" s="24">
        <f t="shared" si="101"/>
        <v>0</v>
      </c>
      <c r="W34" s="24">
        <f t="shared" si="101"/>
        <v>224435.43256997454</v>
      </c>
      <c r="X34" s="24">
        <f t="shared" si="101"/>
        <v>114350.93018447836</v>
      </c>
      <c r="Y34" s="24">
        <f t="shared" si="101"/>
        <v>3373622.759454516</v>
      </c>
      <c r="Z34" s="24">
        <f t="shared" si="101"/>
        <v>1158904.5850031807</v>
      </c>
      <c r="AA34" s="24">
        <f t="shared" si="101"/>
        <v>184217.45</v>
      </c>
      <c r="AB34" s="24">
        <f t="shared" si="101"/>
        <v>26473.35</v>
      </c>
      <c r="AC34" s="24">
        <f>MAX(AC3:AC31)</f>
        <v>217836.13311068702</v>
      </c>
      <c r="AD34" s="24">
        <f t="shared" si="101"/>
        <v>0</v>
      </c>
      <c r="AE34" s="24">
        <f t="shared" si="101"/>
        <v>1376740.7181138676</v>
      </c>
      <c r="AF34" s="24">
        <f t="shared" si="101"/>
        <v>0</v>
      </c>
      <c r="AG34" s="24">
        <f t="shared" si="101"/>
        <v>43350.19755884224</v>
      </c>
      <c r="AH34" s="24">
        <f t="shared" si="101"/>
        <v>9651.4</v>
      </c>
      <c r="AI34" s="24">
        <f t="shared" si="101"/>
        <v>1639401.5895753817</v>
      </c>
      <c r="AJ34" s="24">
        <f t="shared" si="101"/>
        <v>0</v>
      </c>
      <c r="AK34" s="24">
        <f t="shared" si="101"/>
        <v>81410.65</v>
      </c>
      <c r="AL34" s="24">
        <f t="shared" si="101"/>
        <v>54490.678673664115</v>
      </c>
      <c r="AM34" s="24">
        <f t="shared" si="101"/>
        <v>0</v>
      </c>
      <c r="AN34" s="24">
        <f t="shared" si="101"/>
        <v>0</v>
      </c>
      <c r="AO34" s="24">
        <f t="shared" si="101"/>
        <v>0</v>
      </c>
      <c r="AP34" s="24">
        <f t="shared" si="101"/>
        <v>0</v>
      </c>
      <c r="AQ34" s="24">
        <f t="shared" si="101"/>
        <v>0</v>
      </c>
      <c r="AR34" s="24">
        <f t="shared" si="101"/>
        <v>0</v>
      </c>
      <c r="AS34" s="24">
        <f t="shared" si="101"/>
        <v>0</v>
      </c>
      <c r="AT34" s="24">
        <f t="shared" si="101"/>
        <v>114350.93018447836</v>
      </c>
      <c r="AU34" s="24">
        <f t="shared" si="101"/>
        <v>3247177.8925731545</v>
      </c>
      <c r="AV34" s="24">
        <f t="shared" si="101"/>
        <v>265516.05</v>
      </c>
      <c r="AW34" s="24">
        <f t="shared" si="101"/>
        <v>449377.05</v>
      </c>
      <c r="AX34" s="24">
        <f t="shared" si="101"/>
        <v>3.92901711165905E-10</v>
      </c>
      <c r="AY34" s="24">
        <f t="shared" si="101"/>
        <v>9322.733659351145</v>
      </c>
      <c r="AZ34" s="24">
        <f t="shared" si="101"/>
        <v>0</v>
      </c>
      <c r="BA34" s="24">
        <f t="shared" si="101"/>
        <v>0</v>
      </c>
      <c r="BB34" s="24">
        <f t="shared" si="101"/>
        <v>0</v>
      </c>
      <c r="BC34" s="24">
        <f t="shared" si="101"/>
        <v>200000</v>
      </c>
      <c r="BD34" s="24">
        <f t="shared" si="101"/>
        <v>0</v>
      </c>
      <c r="BE34" s="24">
        <f t="shared" si="101"/>
        <v>0</v>
      </c>
      <c r="BF34" s="24">
        <f t="shared" si="101"/>
        <v>200000</v>
      </c>
      <c r="BG34" s="24">
        <f t="shared" si="101"/>
        <v>0</v>
      </c>
      <c r="BH34" s="24">
        <f t="shared" si="101"/>
        <v>0</v>
      </c>
      <c r="BI34" s="24">
        <f t="shared" si="101"/>
        <v>0</v>
      </c>
      <c r="BJ34" s="24">
        <f t="shared" si="101"/>
        <v>0</v>
      </c>
      <c r="BK34" s="24">
        <f t="shared" si="101"/>
        <v>0</v>
      </c>
      <c r="BL34" s="24">
        <f t="shared" si="101"/>
        <v>0</v>
      </c>
      <c r="BM34" s="24">
        <f t="shared" si="101"/>
        <v>0</v>
      </c>
      <c r="BN34" s="24">
        <f aca="true" t="shared" si="102" ref="BN34:DL34">MAX(BN3:BN31)</f>
        <v>0</v>
      </c>
      <c r="BO34" s="24">
        <f t="shared" si="102"/>
        <v>0</v>
      </c>
      <c r="BP34" s="24">
        <f t="shared" si="102"/>
        <v>0</v>
      </c>
      <c r="BQ34" s="24">
        <f t="shared" si="102"/>
        <v>0</v>
      </c>
      <c r="BR34" s="24">
        <f t="shared" si="102"/>
        <v>200000</v>
      </c>
      <c r="BS34" s="24">
        <f t="shared" si="102"/>
        <v>0</v>
      </c>
      <c r="BT34" s="24">
        <f t="shared" si="102"/>
        <v>2472952.891905216</v>
      </c>
      <c r="BU34" s="24">
        <f t="shared" si="102"/>
        <v>130000</v>
      </c>
      <c r="BV34" s="24">
        <f t="shared" si="102"/>
        <v>0</v>
      </c>
      <c r="BW34" s="24">
        <f t="shared" si="102"/>
        <v>108105.66</v>
      </c>
      <c r="BX34" s="24">
        <f t="shared" si="102"/>
        <v>2489170.4167143763</v>
      </c>
      <c r="BY34" s="24">
        <f t="shared" si="102"/>
        <v>1373950.5009064886</v>
      </c>
      <c r="BZ34" s="24">
        <f t="shared" si="102"/>
        <v>20000</v>
      </c>
      <c r="CA34" s="24">
        <f t="shared" si="102"/>
        <v>1319741</v>
      </c>
      <c r="CB34" s="24">
        <f t="shared" si="102"/>
        <v>2489170.416714377</v>
      </c>
      <c r="CC34" s="24">
        <f t="shared" si="102"/>
        <v>0</v>
      </c>
      <c r="CD34" s="24">
        <f t="shared" si="102"/>
        <v>265516.05</v>
      </c>
      <c r="CE34" s="24">
        <f t="shared" si="102"/>
        <v>265516.05</v>
      </c>
      <c r="CF34" s="24">
        <f t="shared" si="102"/>
        <v>200000</v>
      </c>
      <c r="CG34" s="24">
        <f t="shared" si="102"/>
        <v>3132826.962388676</v>
      </c>
      <c r="CH34" s="24">
        <f t="shared" si="102"/>
        <v>11707.799999999996</v>
      </c>
      <c r="CI34" s="24">
        <f t="shared" si="102"/>
        <v>17555.9</v>
      </c>
      <c r="CJ34" s="92">
        <f t="shared" si="102"/>
        <v>0.35130875</v>
      </c>
      <c r="CK34" s="92">
        <f t="shared" si="102"/>
        <v>0.35130875</v>
      </c>
      <c r="CL34" s="92">
        <f t="shared" si="102"/>
        <v>0.20357463977004234</v>
      </c>
      <c r="CM34" s="92">
        <f t="shared" si="102"/>
        <v>0.20357463977004234</v>
      </c>
      <c r="CN34" s="92">
        <f t="shared" si="102"/>
        <v>0.0596498077815582</v>
      </c>
      <c r="CO34" s="92">
        <f t="shared" si="102"/>
        <v>0.0596498077815582</v>
      </c>
      <c r="CP34" s="92">
        <f t="shared" si="102"/>
        <v>0.4000009964112588</v>
      </c>
      <c r="CQ34" s="92">
        <f t="shared" si="102"/>
        <v>0.4000009964112588</v>
      </c>
      <c r="CR34" s="24">
        <f t="shared" si="102"/>
        <v>430.0673564626138</v>
      </c>
      <c r="CS34" s="24">
        <f t="shared" si="102"/>
        <v>1319741</v>
      </c>
      <c r="CT34" s="24">
        <f t="shared" si="102"/>
        <v>3362811.031361323</v>
      </c>
      <c r="CU34" s="24">
        <f t="shared" si="102"/>
        <v>3247177.8925731545</v>
      </c>
      <c r="CV34" s="24">
        <f t="shared" si="102"/>
        <v>265516.05000000005</v>
      </c>
      <c r="CW34" s="24">
        <f t="shared" si="102"/>
        <v>0</v>
      </c>
      <c r="CX34" s="24">
        <f t="shared" si="102"/>
        <v>265516.05000000005</v>
      </c>
      <c r="CY34" s="24">
        <f t="shared" si="102"/>
        <v>265516.05000000005</v>
      </c>
      <c r="CZ34" s="24">
        <f t="shared" si="102"/>
        <v>200000</v>
      </c>
      <c r="DA34" s="24">
        <f t="shared" si="102"/>
        <v>70000</v>
      </c>
      <c r="DB34" s="24">
        <f t="shared" si="102"/>
        <v>265516.05000000005</v>
      </c>
      <c r="DC34" s="24">
        <f>MAX(DC3:DC31)</f>
        <v>265516.05000000005</v>
      </c>
      <c r="DD34" s="24">
        <f t="shared" si="102"/>
        <v>0</v>
      </c>
      <c r="DE34" s="24">
        <f t="shared" si="102"/>
        <v>265516.05000000005</v>
      </c>
      <c r="DF34" s="24">
        <f t="shared" si="102"/>
        <v>1158904.5850031807</v>
      </c>
      <c r="DG34" s="24">
        <f t="shared" si="102"/>
        <v>1223.114921223355</v>
      </c>
      <c r="DH34" s="24">
        <f t="shared" si="102"/>
        <v>15.319054054054055</v>
      </c>
      <c r="DI34" s="24">
        <f t="shared" si="102"/>
        <v>256.4081659388646</v>
      </c>
      <c r="DJ34" s="24">
        <f t="shared" si="102"/>
        <v>174.67248908296943</v>
      </c>
      <c r="DK34" s="24">
        <f t="shared" si="102"/>
        <v>90.41022727272734</v>
      </c>
      <c r="DL34" s="24">
        <f t="shared" si="102"/>
        <v>1319741</v>
      </c>
      <c r="DM34" s="13">
        <f>MAX(DM3:DM31)</f>
        <v>0</v>
      </c>
      <c r="DN34" s="26">
        <f>MAX(DN3:DN31)</f>
        <v>0</v>
      </c>
    </row>
    <row r="35" spans="1:118" ht="13.5" thickBot="1">
      <c r="A35" s="32" t="s">
        <v>49</v>
      </c>
      <c r="B35" s="27">
        <f aca="true" t="shared" si="103" ref="B35:BM35">MEDIAN(B3:B31)</f>
        <v>627</v>
      </c>
      <c r="C35" s="27">
        <f t="shared" si="103"/>
        <v>1623908</v>
      </c>
      <c r="D35" s="28">
        <f t="shared" si="103"/>
        <v>2933.89</v>
      </c>
      <c r="E35" s="28">
        <f t="shared" si="103"/>
        <v>82.09</v>
      </c>
      <c r="F35" s="117">
        <f t="shared" si="103"/>
        <v>3</v>
      </c>
      <c r="G35" s="124">
        <f t="shared" si="103"/>
        <v>12228.854230038023</v>
      </c>
      <c r="H35" s="27">
        <f t="shared" si="103"/>
        <v>4131.25</v>
      </c>
      <c r="I35" s="27">
        <f t="shared" si="103"/>
        <v>0</v>
      </c>
      <c r="J35" s="27">
        <f t="shared" si="103"/>
        <v>0</v>
      </c>
      <c r="K35" s="27">
        <f t="shared" si="103"/>
        <v>0</v>
      </c>
      <c r="L35" s="27">
        <f t="shared" si="103"/>
        <v>0</v>
      </c>
      <c r="M35" s="27">
        <f t="shared" si="103"/>
        <v>0</v>
      </c>
      <c r="N35" s="27">
        <f t="shared" si="103"/>
        <v>0</v>
      </c>
      <c r="O35" s="27">
        <f t="shared" si="103"/>
        <v>0</v>
      </c>
      <c r="P35" s="27">
        <f t="shared" si="103"/>
        <v>151437.6</v>
      </c>
      <c r="Q35" s="27">
        <f t="shared" si="103"/>
        <v>0</v>
      </c>
      <c r="R35" s="27">
        <f t="shared" si="103"/>
        <v>0</v>
      </c>
      <c r="S35" s="27">
        <f t="shared" si="103"/>
        <v>0</v>
      </c>
      <c r="T35" s="27">
        <f t="shared" si="103"/>
        <v>0</v>
      </c>
      <c r="U35" s="27">
        <f t="shared" si="103"/>
        <v>0</v>
      </c>
      <c r="V35" s="27">
        <f t="shared" si="103"/>
        <v>0</v>
      </c>
      <c r="W35" s="27">
        <f t="shared" si="103"/>
        <v>0</v>
      </c>
      <c r="X35" s="27">
        <f t="shared" si="103"/>
        <v>0</v>
      </c>
      <c r="Y35" s="27">
        <f t="shared" si="103"/>
        <v>208534.62732889733</v>
      </c>
      <c r="Z35" s="27">
        <f t="shared" si="103"/>
        <v>69677.95</v>
      </c>
      <c r="AA35" s="27">
        <f t="shared" si="103"/>
        <v>5300</v>
      </c>
      <c r="AB35" s="27">
        <f t="shared" si="103"/>
        <v>0</v>
      </c>
      <c r="AC35" s="27">
        <f>MEDIAN(AC3:AC31)</f>
        <v>20529.45</v>
      </c>
      <c r="AD35" s="27">
        <f t="shared" si="103"/>
        <v>0</v>
      </c>
      <c r="AE35" s="27">
        <f t="shared" si="103"/>
        <v>108330.40000000001</v>
      </c>
      <c r="AF35" s="27">
        <f t="shared" si="103"/>
        <v>0</v>
      </c>
      <c r="AG35" s="27">
        <f t="shared" si="103"/>
        <v>3212.6</v>
      </c>
      <c r="AH35" s="27">
        <f t="shared" si="103"/>
        <v>0</v>
      </c>
      <c r="AI35" s="27">
        <f t="shared" si="103"/>
        <v>64810.3</v>
      </c>
      <c r="AJ35" s="27">
        <f t="shared" si="103"/>
        <v>0</v>
      </c>
      <c r="AK35" s="27">
        <f t="shared" si="103"/>
        <v>0</v>
      </c>
      <c r="AL35" s="27">
        <f t="shared" si="103"/>
        <v>0</v>
      </c>
      <c r="AM35" s="27">
        <f t="shared" si="103"/>
        <v>0</v>
      </c>
      <c r="AN35" s="27">
        <f t="shared" si="103"/>
        <v>0</v>
      </c>
      <c r="AO35" s="27">
        <f t="shared" si="103"/>
        <v>0</v>
      </c>
      <c r="AP35" s="27">
        <f t="shared" si="103"/>
        <v>0</v>
      </c>
      <c r="AQ35" s="27">
        <f t="shared" si="103"/>
        <v>0</v>
      </c>
      <c r="AR35" s="27">
        <f t="shared" si="103"/>
        <v>0</v>
      </c>
      <c r="AS35" s="27">
        <f t="shared" si="103"/>
        <v>0</v>
      </c>
      <c r="AT35" s="27">
        <f t="shared" si="103"/>
        <v>0</v>
      </c>
      <c r="AU35" s="27">
        <f t="shared" si="103"/>
        <v>173871.4123188406</v>
      </c>
      <c r="AV35" s="27">
        <f t="shared" si="103"/>
        <v>0</v>
      </c>
      <c r="AW35" s="27">
        <f t="shared" si="103"/>
        <v>13370.1</v>
      </c>
      <c r="AX35" s="27">
        <f t="shared" si="103"/>
        <v>0</v>
      </c>
      <c r="AY35" s="27">
        <f t="shared" si="103"/>
        <v>0</v>
      </c>
      <c r="AZ35" s="27">
        <f t="shared" si="103"/>
        <v>0</v>
      </c>
      <c r="BA35" s="27">
        <f t="shared" si="103"/>
        <v>0</v>
      </c>
      <c r="BB35" s="27">
        <f t="shared" si="103"/>
        <v>0</v>
      </c>
      <c r="BC35" s="27">
        <f t="shared" si="103"/>
        <v>0</v>
      </c>
      <c r="BD35" s="27">
        <f t="shared" si="103"/>
        <v>0</v>
      </c>
      <c r="BE35" s="27">
        <f t="shared" si="103"/>
        <v>0</v>
      </c>
      <c r="BF35" s="27">
        <f t="shared" si="103"/>
        <v>0</v>
      </c>
      <c r="BG35" s="27">
        <f t="shared" si="103"/>
        <v>0</v>
      </c>
      <c r="BH35" s="27">
        <f t="shared" si="103"/>
        <v>0</v>
      </c>
      <c r="BI35" s="27">
        <f t="shared" si="103"/>
        <v>0</v>
      </c>
      <c r="BJ35" s="27">
        <f t="shared" si="103"/>
        <v>0</v>
      </c>
      <c r="BK35" s="27">
        <f t="shared" si="103"/>
        <v>0</v>
      </c>
      <c r="BL35" s="27">
        <f t="shared" si="103"/>
        <v>0</v>
      </c>
      <c r="BM35" s="27">
        <f t="shared" si="103"/>
        <v>0</v>
      </c>
      <c r="BN35" s="27">
        <f aca="true" t="shared" si="104" ref="BN35:DL35">MEDIAN(BN3:BN31)</f>
        <v>0</v>
      </c>
      <c r="BO35" s="27">
        <f t="shared" si="104"/>
        <v>0</v>
      </c>
      <c r="BP35" s="27">
        <f t="shared" si="104"/>
        <v>0</v>
      </c>
      <c r="BQ35" s="27">
        <f t="shared" si="104"/>
        <v>0</v>
      </c>
      <c r="BR35" s="27">
        <f t="shared" si="104"/>
        <v>0</v>
      </c>
      <c r="BS35" s="27">
        <f t="shared" si="104"/>
        <v>0</v>
      </c>
      <c r="BT35" s="27">
        <f t="shared" si="104"/>
        <v>301699.2</v>
      </c>
      <c r="BU35" s="27">
        <f t="shared" si="104"/>
        <v>0.2019961977186312</v>
      </c>
      <c r="BV35" s="27">
        <f t="shared" si="104"/>
        <v>0</v>
      </c>
      <c r="BW35" s="27">
        <f t="shared" si="104"/>
        <v>0</v>
      </c>
      <c r="BX35" s="27">
        <f t="shared" si="104"/>
        <v>283531.7232856234</v>
      </c>
      <c r="BY35" s="27">
        <f t="shared" si="104"/>
        <v>96870.95</v>
      </c>
      <c r="BZ35" s="27">
        <f t="shared" si="104"/>
        <v>0</v>
      </c>
      <c r="CA35" s="27">
        <f t="shared" si="104"/>
        <v>228092.76384030416</v>
      </c>
      <c r="CB35" s="27">
        <f t="shared" si="104"/>
        <v>283531.7232856234</v>
      </c>
      <c r="CC35" s="27">
        <f t="shared" si="104"/>
        <v>0</v>
      </c>
      <c r="CD35" s="27">
        <f t="shared" si="104"/>
        <v>-13171.321211832059</v>
      </c>
      <c r="CE35" s="27">
        <f t="shared" si="104"/>
        <v>0</v>
      </c>
      <c r="CF35" s="27">
        <f t="shared" si="104"/>
        <v>0</v>
      </c>
      <c r="CG35" s="27">
        <f t="shared" si="104"/>
        <v>173871.4123188406</v>
      </c>
      <c r="CH35" s="27">
        <f t="shared" si="104"/>
        <v>-2312.35</v>
      </c>
      <c r="CI35" s="27">
        <f t="shared" si="104"/>
        <v>-1632.5742753623188</v>
      </c>
      <c r="CJ35" s="93">
        <f t="shared" si="104"/>
        <v>0.35130875</v>
      </c>
      <c r="CK35" s="93">
        <f t="shared" si="104"/>
        <v>0.35130875</v>
      </c>
      <c r="CL35" s="93">
        <f t="shared" si="104"/>
        <v>-0.03824471963907241</v>
      </c>
      <c r="CM35" s="93">
        <f t="shared" si="104"/>
        <v>-0.029033753535998616</v>
      </c>
      <c r="CN35" s="93">
        <f t="shared" si="104"/>
        <v>-0.007924522052130078</v>
      </c>
      <c r="CO35" s="93">
        <f t="shared" si="104"/>
        <v>-0.006305300456194333</v>
      </c>
      <c r="CP35" s="93">
        <f t="shared" si="104"/>
        <v>0</v>
      </c>
      <c r="CQ35" s="93">
        <f t="shared" si="104"/>
        <v>0</v>
      </c>
      <c r="CR35" s="27">
        <f t="shared" si="104"/>
        <v>-0.8190483737235538</v>
      </c>
      <c r="CS35" s="27">
        <f t="shared" si="104"/>
        <v>175207.82622623577</v>
      </c>
      <c r="CT35" s="27">
        <f t="shared" si="104"/>
        <v>208534.62732889733</v>
      </c>
      <c r="CU35" s="27">
        <f t="shared" si="104"/>
        <v>173871.4123188406</v>
      </c>
      <c r="CV35" s="27">
        <f t="shared" si="104"/>
        <v>-13171.321211831935</v>
      </c>
      <c r="CW35" s="27">
        <f t="shared" si="104"/>
        <v>0</v>
      </c>
      <c r="CX35" s="27">
        <f t="shared" si="104"/>
        <v>-13171.321211831935</v>
      </c>
      <c r="CY35" s="27">
        <f t="shared" si="104"/>
        <v>-13370.100000000006</v>
      </c>
      <c r="CZ35" s="27">
        <f t="shared" si="104"/>
        <v>0</v>
      </c>
      <c r="DA35" s="27">
        <f t="shared" si="104"/>
        <v>0</v>
      </c>
      <c r="DB35" s="27">
        <f t="shared" si="104"/>
        <v>-13370.100000000006</v>
      </c>
      <c r="DC35" s="27">
        <f>MEDIAN(DC3:DC31)</f>
        <v>-2753.8000000000175</v>
      </c>
      <c r="DD35" s="27">
        <f t="shared" si="104"/>
        <v>0</v>
      </c>
      <c r="DE35" s="27">
        <f t="shared" si="104"/>
        <v>-13370.100000000006</v>
      </c>
      <c r="DF35" s="27">
        <f t="shared" si="104"/>
        <v>91351.15000000001</v>
      </c>
      <c r="DG35" s="27">
        <f t="shared" si="104"/>
        <v>219.09816593886464</v>
      </c>
      <c r="DH35" s="27">
        <f t="shared" si="104"/>
        <v>-1.5352173913043479</v>
      </c>
      <c r="DI35" s="27">
        <f t="shared" si="104"/>
        <v>161.2395351758794</v>
      </c>
      <c r="DJ35" s="27">
        <f t="shared" si="104"/>
        <v>0</v>
      </c>
      <c r="DK35" s="27">
        <f t="shared" si="104"/>
        <v>-20.484169847328047</v>
      </c>
      <c r="DL35" s="27">
        <f t="shared" si="104"/>
        <v>175207.82622623572</v>
      </c>
      <c r="DM35" s="29" t="e">
        <f>MEDIAN(DM3:DM31)</f>
        <v>#NUM!</v>
      </c>
      <c r="DN35" s="30" t="e">
        <f>MEDIAN(DN3:DN31)</f>
        <v>#NUM!</v>
      </c>
    </row>
    <row r="37" spans="1:119" s="9" customFormat="1" ht="12.75">
      <c r="A37" s="3" t="s">
        <v>235</v>
      </c>
      <c r="B37" s="17">
        <f>SUM(B3:B31)</f>
        <v>38210</v>
      </c>
      <c r="C37" s="17">
        <f>SUM(C3:C31)</f>
        <v>136563571</v>
      </c>
      <c r="D37" s="17">
        <f>D35</f>
        <v>2933.89</v>
      </c>
      <c r="E37" s="144">
        <f>E35</f>
        <v>82.09</v>
      </c>
      <c r="F37" s="17">
        <f>SUM(F3:F31)</f>
        <v>91</v>
      </c>
      <c r="G37" s="17">
        <f aca="true" t="shared" si="105" ref="G37:BN37">SUM(G3:G31)</f>
        <v>1121896.8499999999</v>
      </c>
      <c r="H37" s="17">
        <f t="shared" si="105"/>
        <v>619730.05</v>
      </c>
      <c r="I37" s="17">
        <f t="shared" si="105"/>
        <v>60081.45</v>
      </c>
      <c r="J37" s="17">
        <f t="shared" si="105"/>
        <v>41138.7</v>
      </c>
      <c r="K37" s="17">
        <f t="shared" si="105"/>
        <v>32043.25</v>
      </c>
      <c r="L37" s="17">
        <f t="shared" si="105"/>
        <v>50000</v>
      </c>
      <c r="M37" s="17">
        <f t="shared" si="105"/>
        <v>82043.25</v>
      </c>
      <c r="N37" s="17">
        <f t="shared" si="105"/>
        <v>544706.3</v>
      </c>
      <c r="O37" s="17">
        <f t="shared" si="105"/>
        <v>183052.8</v>
      </c>
      <c r="P37" s="17">
        <f t="shared" si="105"/>
        <v>12282737.209999999</v>
      </c>
      <c r="Q37" s="17">
        <f t="shared" si="105"/>
        <v>0</v>
      </c>
      <c r="R37" s="17">
        <f t="shared" si="105"/>
        <v>249999.99999999997</v>
      </c>
      <c r="S37" s="17">
        <f t="shared" si="105"/>
        <v>0</v>
      </c>
      <c r="T37" s="17">
        <f t="shared" si="105"/>
        <v>0</v>
      </c>
      <c r="U37" s="17">
        <f t="shared" si="105"/>
        <v>0</v>
      </c>
      <c r="V37" s="17">
        <f t="shared" si="105"/>
        <v>0</v>
      </c>
      <c r="W37" s="17">
        <f t="shared" si="105"/>
        <v>249999.99999999997</v>
      </c>
      <c r="X37" s="17">
        <f t="shared" si="105"/>
        <v>195906.19999999998</v>
      </c>
      <c r="Y37" s="17">
        <f t="shared" si="105"/>
        <v>15381292.81</v>
      </c>
      <c r="Z37" s="17">
        <f t="shared" si="105"/>
        <v>5695306.6000000015</v>
      </c>
      <c r="AA37" s="17">
        <f t="shared" si="105"/>
        <v>563589.2999999999</v>
      </c>
      <c r="AB37" s="17">
        <f t="shared" si="105"/>
        <v>26473.35</v>
      </c>
      <c r="AC37" s="17">
        <f t="shared" si="105"/>
        <v>1354790.2499999998</v>
      </c>
      <c r="AD37" s="17">
        <f t="shared" si="105"/>
        <v>0</v>
      </c>
      <c r="AE37" s="17">
        <f t="shared" si="105"/>
        <v>7640159.5</v>
      </c>
      <c r="AF37" s="17">
        <f t="shared" si="105"/>
        <v>0</v>
      </c>
      <c r="AG37" s="17">
        <f t="shared" si="105"/>
        <v>245221.95000000004</v>
      </c>
      <c r="AH37" s="17">
        <f t="shared" si="105"/>
        <v>12195.45</v>
      </c>
      <c r="AI37" s="17">
        <f t="shared" si="105"/>
        <v>6201217.149999999</v>
      </c>
      <c r="AJ37" s="17">
        <f t="shared" si="105"/>
        <v>-200</v>
      </c>
      <c r="AK37" s="17">
        <f t="shared" si="105"/>
        <v>146699.6</v>
      </c>
      <c r="AL37" s="17">
        <f t="shared" si="105"/>
        <v>61946.99999999999</v>
      </c>
      <c r="AM37" s="17">
        <f t="shared" si="105"/>
        <v>0</v>
      </c>
      <c r="AN37" s="17">
        <f t="shared" si="105"/>
        <v>0</v>
      </c>
      <c r="AO37" s="17">
        <f t="shared" si="105"/>
        <v>0</v>
      </c>
      <c r="AP37" s="17">
        <f t="shared" si="105"/>
        <v>0</v>
      </c>
      <c r="AQ37" s="17">
        <f t="shared" si="105"/>
        <v>0</v>
      </c>
      <c r="AR37" s="17">
        <f t="shared" si="105"/>
        <v>0</v>
      </c>
      <c r="AS37" s="17">
        <f t="shared" si="105"/>
        <v>0</v>
      </c>
      <c r="AT37" s="17">
        <f t="shared" si="105"/>
        <v>195906.19999999998</v>
      </c>
      <c r="AU37" s="17">
        <f t="shared" si="105"/>
        <v>14490951.400000002</v>
      </c>
      <c r="AV37" s="17">
        <f t="shared" si="105"/>
        <v>485921.2499999999</v>
      </c>
      <c r="AW37" s="17">
        <f t="shared" si="105"/>
        <v>1376262.66</v>
      </c>
      <c r="AX37" s="4">
        <f>Y37-AU37+AV37-AW37</f>
        <v>0</v>
      </c>
      <c r="AY37" s="17">
        <f t="shared" si="105"/>
        <v>11773.05</v>
      </c>
      <c r="AZ37" s="17">
        <f t="shared" si="105"/>
        <v>0</v>
      </c>
      <c r="BA37" s="17">
        <f t="shared" si="105"/>
        <v>0</v>
      </c>
      <c r="BB37" s="17">
        <f t="shared" si="105"/>
        <v>0</v>
      </c>
      <c r="BC37" s="17">
        <f t="shared" si="105"/>
        <v>200000</v>
      </c>
      <c r="BD37" s="17">
        <f t="shared" si="105"/>
        <v>0</v>
      </c>
      <c r="BE37" s="17">
        <f t="shared" si="105"/>
        <v>0</v>
      </c>
      <c r="BF37" s="17">
        <f t="shared" si="105"/>
        <v>200000</v>
      </c>
      <c r="BG37" s="17">
        <f t="shared" si="105"/>
        <v>0</v>
      </c>
      <c r="BH37" s="17">
        <f t="shared" si="105"/>
        <v>0</v>
      </c>
      <c r="BI37" s="17">
        <f t="shared" si="105"/>
        <v>0</v>
      </c>
      <c r="BJ37" s="17">
        <f t="shared" si="105"/>
        <v>0</v>
      </c>
      <c r="BK37" s="17">
        <f t="shared" si="105"/>
        <v>0</v>
      </c>
      <c r="BL37" s="17">
        <f t="shared" si="105"/>
        <v>0</v>
      </c>
      <c r="BM37" s="17">
        <f t="shared" si="105"/>
        <v>0</v>
      </c>
      <c r="BN37" s="17">
        <f t="shared" si="105"/>
        <v>0</v>
      </c>
      <c r="BO37" s="17">
        <f>SUM(BO3:BO31)</f>
        <v>0</v>
      </c>
      <c r="BP37" s="17">
        <f>SUM(BP3:BP31)</f>
        <v>0</v>
      </c>
      <c r="BQ37" s="17">
        <f>SUM(BQ3:BQ31)</f>
        <v>0</v>
      </c>
      <c r="BR37" s="17">
        <f>SUM(BR3:BR31)</f>
        <v>200000</v>
      </c>
      <c r="BS37" s="43">
        <f>+BF37-BO37+BP37+BQ37-BR37</f>
        <v>0</v>
      </c>
      <c r="BT37" s="17">
        <f aca="true" t="shared" si="106" ref="BT37:CB37">SUM(BT3:BT31)</f>
        <v>15413074.159999998</v>
      </c>
      <c r="BU37" s="17">
        <f t="shared" si="106"/>
        <v>198067.8</v>
      </c>
      <c r="BV37" s="17">
        <f t="shared" si="106"/>
        <v>0</v>
      </c>
      <c r="BW37" s="17">
        <f t="shared" si="106"/>
        <v>170335.41</v>
      </c>
      <c r="BX37" s="17">
        <f t="shared" si="106"/>
        <v>15781477.369999997</v>
      </c>
      <c r="BY37" s="17">
        <f t="shared" si="106"/>
        <v>6133522.68</v>
      </c>
      <c r="BZ37" s="17">
        <f t="shared" si="106"/>
        <v>20000</v>
      </c>
      <c r="CA37" s="17">
        <f t="shared" si="106"/>
        <v>9627954.690000001</v>
      </c>
      <c r="CB37" s="17">
        <f t="shared" si="106"/>
        <v>15781477.369999997</v>
      </c>
      <c r="CC37" s="4">
        <f>BX37-CB37</f>
        <v>0</v>
      </c>
      <c r="CD37" s="74">
        <f>K37+L37+AV37-AW37</f>
        <v>-808298.16</v>
      </c>
      <c r="CE37" s="76">
        <f>CD37+W37-AS37</f>
        <v>-558298.16</v>
      </c>
      <c r="CF37" s="76">
        <f>BR37-BP37</f>
        <v>200000</v>
      </c>
      <c r="CG37" s="76">
        <f>AU37-AM37-AT37-AS37</f>
        <v>14295045.200000003</v>
      </c>
      <c r="CH37" s="76">
        <f>I37-AG37+AY37+AH37+BQ37</f>
        <v>-161172.00000000006</v>
      </c>
      <c r="CI37" s="37">
        <f>CH37+K37</f>
        <v>-129128.75000000006</v>
      </c>
      <c r="CJ37" s="59">
        <f>CD37/CF37</f>
        <v>-4.0414908</v>
      </c>
      <c r="CK37" s="140">
        <f>CE37/CF37</f>
        <v>-2.7914908</v>
      </c>
      <c r="CL37" s="64">
        <f>CD37/CG37*1</f>
        <v>-0.056543938734800216</v>
      </c>
      <c r="CM37" s="64">
        <f>CE37/CG37</f>
        <v>-0.03905536164376731</v>
      </c>
      <c r="CN37" s="64">
        <f>CH37/CG37</f>
        <v>-0.011274675787663828</v>
      </c>
      <c r="CO37" s="64">
        <f>CI37/CG37</f>
        <v>-0.009033112396174867</v>
      </c>
      <c r="CP37" s="64">
        <f>(K37+L37)/(BU37+K37+L37)</f>
        <v>0.2928954427181648</v>
      </c>
      <c r="CQ37" s="64">
        <f>(K37)/(BU37+K37+L37)</f>
        <v>0.11439480877316337</v>
      </c>
      <c r="CR37" s="75">
        <f>CS37/CE37</f>
        <v>-16.621139285144693</v>
      </c>
      <c r="CS37" s="76">
        <f>BT37-BY37</f>
        <v>9279551.479999999</v>
      </c>
      <c r="CT37" s="80">
        <f>Y37-K37-L37-V37</f>
        <v>15299249.56</v>
      </c>
      <c r="CU37" s="80">
        <f>AU37-AR37</f>
        <v>14490951.400000002</v>
      </c>
      <c r="CV37" s="80">
        <f>CU37-CT37</f>
        <v>-808298.1599999983</v>
      </c>
      <c r="CW37" s="80">
        <f>-V37+AR37</f>
        <v>0</v>
      </c>
      <c r="CX37" s="80">
        <f>CV37+CW37</f>
        <v>-808298.1599999983</v>
      </c>
      <c r="CY37" s="80">
        <f>CX37-K37-L37</f>
        <v>-890341.4099999983</v>
      </c>
      <c r="CZ37" s="80">
        <f>BR37-BP37</f>
        <v>200000</v>
      </c>
      <c r="DA37" s="80">
        <f>K37+L37</f>
        <v>82043.25</v>
      </c>
      <c r="DB37" s="80">
        <f>-CZ37+DA37+CY37</f>
        <v>-1008298.1599999983</v>
      </c>
      <c r="DC37" s="80">
        <f aca="true" t="shared" si="107" ref="DC37:DC42">-CZ37+DA37+CY37+W37-AS37</f>
        <v>-758298.1599999983</v>
      </c>
      <c r="DD37" s="80">
        <f>-BP37-DA37</f>
        <v>-82043.25</v>
      </c>
      <c r="DE37" s="80">
        <f>DB37+DD37+BR37</f>
        <v>-890341.4099999983</v>
      </c>
      <c r="DF37" s="80">
        <f>Z37+AA37+AB37</f>
        <v>6285369.250000001</v>
      </c>
      <c r="DG37" s="80">
        <f>CS37/B37</f>
        <v>242.8566207799005</v>
      </c>
      <c r="DH37" s="80">
        <f>CH37/B37</f>
        <v>-4.21805809997383</v>
      </c>
      <c r="DI37" s="80">
        <f>DF37/B37</f>
        <v>164.49540041873857</v>
      </c>
      <c r="DJ37" s="81">
        <f>CZ37/B37</f>
        <v>5.234231876472128</v>
      </c>
      <c r="DK37" s="76">
        <f>DB37/B37</f>
        <v>-26.388331850300922</v>
      </c>
      <c r="DL37" s="145">
        <f>CA37-BW37-BU37</f>
        <v>9259551.48</v>
      </c>
      <c r="DM37" s="67"/>
      <c r="DN37" s="67"/>
      <c r="DO37" s="68"/>
    </row>
    <row r="38" ht="12.75">
      <c r="DC38" s="80">
        <f t="shared" si="107"/>
        <v>0</v>
      </c>
    </row>
    <row r="39" ht="12.75">
      <c r="DC39" s="80">
        <f t="shared" si="107"/>
        <v>0</v>
      </c>
    </row>
    <row r="40" spans="1:118" ht="12.75">
      <c r="A40" s="3" t="s">
        <v>215</v>
      </c>
      <c r="B40" s="136">
        <f>B11+B27</f>
        <v>6288</v>
      </c>
      <c r="G40" s="131">
        <v>390481.25</v>
      </c>
      <c r="H40" s="43">
        <v>98669.9</v>
      </c>
      <c r="I40" s="43">
        <v>3856.7</v>
      </c>
      <c r="J40" s="43">
        <v>8123.75</v>
      </c>
      <c r="K40" s="43">
        <v>12043.25</v>
      </c>
      <c r="L40" s="43">
        <v>0</v>
      </c>
      <c r="M40" s="43">
        <f>SUM(K40:L40)</f>
        <v>12043.25</v>
      </c>
      <c r="N40" s="43">
        <v>0</v>
      </c>
      <c r="O40" s="43">
        <v>232.45</v>
      </c>
      <c r="P40" s="43">
        <v>2867115.51</v>
      </c>
      <c r="Q40" s="43">
        <v>0</v>
      </c>
      <c r="R40" s="43">
        <v>250000</v>
      </c>
      <c r="S40" s="43">
        <v>0</v>
      </c>
      <c r="T40" s="43">
        <v>0</v>
      </c>
      <c r="U40" s="43">
        <v>0</v>
      </c>
      <c r="V40" s="43">
        <v>0</v>
      </c>
      <c r="W40" s="43">
        <f>SUM(R40:V40)</f>
        <v>250000</v>
      </c>
      <c r="X40" s="43">
        <v>127376.2</v>
      </c>
      <c r="Y40" s="43">
        <f>SUM(G40:X40)-M40-W40</f>
        <v>3757899.01</v>
      </c>
      <c r="Z40" s="43">
        <v>1290910.9</v>
      </c>
      <c r="AA40" s="43">
        <v>0</v>
      </c>
      <c r="AB40" s="43">
        <v>0</v>
      </c>
      <c r="AC40" s="43">
        <v>242649</v>
      </c>
      <c r="AD40" s="43">
        <v>0</v>
      </c>
      <c r="AE40" s="43">
        <f>SUM(Z40:AD40)</f>
        <v>1533559.9</v>
      </c>
      <c r="AF40" s="43">
        <v>0</v>
      </c>
      <c r="AG40" s="43">
        <v>48288.05</v>
      </c>
      <c r="AH40" s="43">
        <v>0</v>
      </c>
      <c r="AI40" s="43">
        <v>1826139.45</v>
      </c>
      <c r="AJ40" s="43">
        <v>0</v>
      </c>
      <c r="AK40" s="43">
        <v>20990.2</v>
      </c>
      <c r="AL40" s="43">
        <v>60697.5</v>
      </c>
      <c r="AM40" s="43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127376.2</v>
      </c>
      <c r="AU40" s="4">
        <f>SUM(Z40:AT40)-AE40-AH40-AS40</f>
        <v>3617051.3000000003</v>
      </c>
      <c r="AV40" s="4">
        <v>0</v>
      </c>
      <c r="AW40" s="4">
        <v>140847.71</v>
      </c>
      <c r="AX40" s="143">
        <f>Y40-AU40+AV40-AW40</f>
        <v>-4.94765117764473E-10</v>
      </c>
      <c r="AY40" s="43">
        <v>10384.65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f>SUM(AZ40:BE40)</f>
        <v>0</v>
      </c>
      <c r="BG40" s="43">
        <v>0</v>
      </c>
      <c r="BH40" s="43">
        <v>0</v>
      </c>
      <c r="BI40" s="43"/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f>SUM(BG40:BN40)</f>
        <v>0</v>
      </c>
      <c r="BP40" s="43">
        <v>0</v>
      </c>
      <c r="BQ40" s="43">
        <v>0</v>
      </c>
      <c r="BR40" s="43">
        <v>0</v>
      </c>
      <c r="BS40" s="43">
        <f>+BF40-BO40+BP40+BQ40-BR40</f>
        <v>0</v>
      </c>
      <c r="BT40" s="4">
        <v>2754637.34</v>
      </c>
      <c r="BU40" s="4">
        <v>18064.8</v>
      </c>
      <c r="BV40" s="4">
        <v>0</v>
      </c>
      <c r="BW40" s="4">
        <v>0</v>
      </c>
      <c r="BX40" s="4">
        <f>SUM(BT40:BW40)</f>
        <v>2772702.1399999997</v>
      </c>
      <c r="BY40" s="4">
        <v>1530451.86</v>
      </c>
      <c r="BZ40" s="4">
        <v>0</v>
      </c>
      <c r="CA40" s="4">
        <v>1242250.28</v>
      </c>
      <c r="CB40" s="4">
        <f>SUM(BY40:CA40)</f>
        <v>2772702.14</v>
      </c>
      <c r="CC40" s="143">
        <f>BX40-CB40</f>
        <v>0</v>
      </c>
      <c r="CD40" s="74">
        <f>K40+L40+AV40-AW40</f>
        <v>-128804.45999999999</v>
      </c>
      <c r="CE40" s="76">
        <f>CD40+W40-AS40</f>
        <v>121195.54000000001</v>
      </c>
      <c r="CF40" s="76">
        <f>BR40-BP40</f>
        <v>0</v>
      </c>
      <c r="CG40" s="76">
        <f>AU40-AM40-AT40-AS40</f>
        <v>3489675.1</v>
      </c>
      <c r="CH40" s="76">
        <f>I40-AG40+AY40+AH40+BQ40</f>
        <v>-34046.700000000004</v>
      </c>
      <c r="CI40" s="37">
        <f>CH40+K40</f>
        <v>-22003.450000000004</v>
      </c>
      <c r="CJ40" s="59" t="str">
        <f>IF(CF40=0,"-",(CD40/CF40))</f>
        <v>-</v>
      </c>
      <c r="CK40" s="59" t="str">
        <f>IF(CF40=0,"-",(CE40/CF40))</f>
        <v>-</v>
      </c>
      <c r="CL40" s="141">
        <f>IF(CG40=0,"-",(CD40/CG40*1))</f>
        <v>-0.03691015819782191</v>
      </c>
      <c r="CM40" s="141">
        <f>IF(CE40=0,"-",(CE40/CG40))</f>
        <v>0.0347297489098627</v>
      </c>
      <c r="CN40" s="141">
        <f>IF(CG40=0,"-",(CH40/CG40))</f>
        <v>-0.009756409701292823</v>
      </c>
      <c r="CO40" s="141">
        <f>IF(CG40=0,"-",(CI40/CG40))</f>
        <v>-0.006305300456194333</v>
      </c>
      <c r="CP40" s="141">
        <f>IF(BU40+K40+L40=0,"-",((K40+L40)/(BU40+K40+L40)))</f>
        <v>0.4000009964112588</v>
      </c>
      <c r="CQ40" s="141">
        <f>IF(BU40+K40+L40=0,"-",((K40)/(BU40+K40+L40)))</f>
        <v>0.4000009964112588</v>
      </c>
      <c r="CR40" s="142">
        <f>IF(CE40=0,"-",(CS40/CE40))</f>
        <v>10.100911964252147</v>
      </c>
      <c r="CS40" s="76">
        <f>BT40-BY40</f>
        <v>1224185.4799999997</v>
      </c>
      <c r="CT40" s="80">
        <f>Y40-K40-L40-V40</f>
        <v>3745855.76</v>
      </c>
      <c r="CU40" s="80">
        <f>AU40-AR40</f>
        <v>3617051.3000000003</v>
      </c>
      <c r="CV40" s="80">
        <f>CU40-CT40</f>
        <v>-128804.4599999995</v>
      </c>
      <c r="CW40" s="80">
        <f>-V40+AR40</f>
        <v>0</v>
      </c>
      <c r="CX40" s="80">
        <f>CV40+CW40</f>
        <v>-128804.4599999995</v>
      </c>
      <c r="CY40" s="80">
        <f>CX40-K40-L40</f>
        <v>-140847.7099999995</v>
      </c>
      <c r="CZ40" s="80">
        <f>BR40-BP40</f>
        <v>0</v>
      </c>
      <c r="DA40" s="80">
        <f>K40+L40</f>
        <v>12043.25</v>
      </c>
      <c r="DB40" s="80">
        <f>-CZ40+DA40+CY40</f>
        <v>-128804.4599999995</v>
      </c>
      <c r="DC40" s="80">
        <f t="shared" si="107"/>
        <v>121195.5400000005</v>
      </c>
      <c r="DD40" s="80">
        <f>-BP40-DA40</f>
        <v>-12043.25</v>
      </c>
      <c r="DE40" s="80">
        <f>DB40+DD40+BR40</f>
        <v>-140847.7099999995</v>
      </c>
      <c r="DF40" s="80">
        <f>Z40+AA40+AB40</f>
        <v>1290910.9</v>
      </c>
      <c r="DG40" s="80">
        <f>CS40/B40</f>
        <v>194.685986005089</v>
      </c>
      <c r="DH40" s="80">
        <f>CH40/B40</f>
        <v>-5.414551526717558</v>
      </c>
      <c r="DI40" s="80">
        <f>DF40/B40</f>
        <v>205.29753498727734</v>
      </c>
      <c r="DJ40" s="81">
        <f>CZ40/B40</f>
        <v>0</v>
      </c>
      <c r="DK40" s="76">
        <f>DB40/B40</f>
        <v>-20.484169847328165</v>
      </c>
      <c r="DL40" s="145">
        <f>CA40-BW40-BU40</f>
        <v>1224185.48</v>
      </c>
      <c r="DM40" s="64"/>
      <c r="DN40" s="65"/>
    </row>
    <row r="41" spans="1:118" ht="12.75">
      <c r="A41" s="3" t="s">
        <v>216</v>
      </c>
      <c r="B41" s="136">
        <f>B12+B14+B23</f>
        <v>1052</v>
      </c>
      <c r="G41" s="131">
        <v>20517.95</v>
      </c>
      <c r="H41" s="43">
        <v>4531.8</v>
      </c>
      <c r="I41" s="43">
        <v>0</v>
      </c>
      <c r="J41" s="43">
        <v>0</v>
      </c>
      <c r="K41" s="43">
        <v>0</v>
      </c>
      <c r="L41" s="43">
        <v>0</v>
      </c>
      <c r="M41" s="43">
        <f>SUM(K41:L41)</f>
        <v>0</v>
      </c>
      <c r="N41" s="43">
        <v>0</v>
      </c>
      <c r="O41" s="43">
        <v>0</v>
      </c>
      <c r="P41" s="43">
        <v>324836.1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f>SUM(R41:V41)</f>
        <v>0</v>
      </c>
      <c r="X41" s="43">
        <v>0</v>
      </c>
      <c r="Y41" s="43">
        <f>SUM(G41:X41)-M41-W41</f>
        <v>349885.85</v>
      </c>
      <c r="Z41" s="43">
        <v>98060.55</v>
      </c>
      <c r="AA41" s="43">
        <v>66625.45</v>
      </c>
      <c r="AB41" s="43">
        <v>0</v>
      </c>
      <c r="AC41" s="43">
        <v>40595.85</v>
      </c>
      <c r="AD41" s="43">
        <v>0</v>
      </c>
      <c r="AE41" s="43">
        <f>SUM(Z41:AD41)</f>
        <v>205281.85</v>
      </c>
      <c r="AF41" s="43">
        <v>0</v>
      </c>
      <c r="AG41" s="43">
        <v>24269.5</v>
      </c>
      <c r="AH41" s="43">
        <v>0</v>
      </c>
      <c r="AI41" s="43">
        <v>122675.8</v>
      </c>
      <c r="AJ41" s="43">
        <v>0</v>
      </c>
      <c r="AK41" s="43">
        <v>0</v>
      </c>
      <c r="AL41" s="43">
        <v>26.55</v>
      </c>
      <c r="AM41" s="43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352253.70000000007</v>
      </c>
      <c r="AV41" s="4">
        <v>2367.85</v>
      </c>
      <c r="AW41" s="4">
        <v>0</v>
      </c>
      <c r="AX41" s="143">
        <f>Y41-AU41+AV41-AW41</f>
        <v>-9.322320693172514E-11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f>SUM(AZ41:BE41)</f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f>SUM(BG41:BN41)</f>
        <v>0</v>
      </c>
      <c r="BP41" s="43">
        <v>0</v>
      </c>
      <c r="BQ41" s="43">
        <v>0</v>
      </c>
      <c r="BR41" s="43">
        <v>0</v>
      </c>
      <c r="BS41" s="43">
        <f>+BF41-BO41+BP41+BQ41-BR41</f>
        <v>0</v>
      </c>
      <c r="BT41" s="4">
        <v>1178365.59</v>
      </c>
      <c r="BU41" s="4">
        <v>1</v>
      </c>
      <c r="BV41" s="4">
        <v>0</v>
      </c>
      <c r="BW41" s="4">
        <v>0</v>
      </c>
      <c r="BX41" s="4">
        <f>SUM(BT41:BW41)</f>
        <v>1178366.59</v>
      </c>
      <c r="BY41" s="4">
        <v>160030.6</v>
      </c>
      <c r="BZ41" s="4"/>
      <c r="CA41" s="4">
        <v>1018335.99</v>
      </c>
      <c r="CB41" s="4">
        <f>SUM(BY41:CA41)</f>
        <v>1178366.59</v>
      </c>
      <c r="CC41" s="143">
        <f>BX41-CB41</f>
        <v>0</v>
      </c>
      <c r="CD41" s="74">
        <f>K41+L41+AV41-AW41</f>
        <v>2367.85</v>
      </c>
      <c r="CE41" s="76">
        <f>CD41+W41-AS41</f>
        <v>2367.85</v>
      </c>
      <c r="CF41" s="76">
        <f>BR41-BP41</f>
        <v>0</v>
      </c>
      <c r="CG41" s="76">
        <f>AU41-AM41-AT41-AS41</f>
        <v>352253.70000000007</v>
      </c>
      <c r="CH41" s="76">
        <f>I41-AG41+AY41+AH41+BQ41</f>
        <v>-24269.5</v>
      </c>
      <c r="CI41" s="37">
        <f>CH41+K41</f>
        <v>-24269.5</v>
      </c>
      <c r="CJ41" s="59" t="str">
        <f>IF(CF41=0,"-",(CD41/CF41))</f>
        <v>-</v>
      </c>
      <c r="CK41" s="59" t="str">
        <f>IF(CF41=0,"-",(CE41/CF41))</f>
        <v>-</v>
      </c>
      <c r="CL41" s="141">
        <f>IF(CG41=0,"-",(CD41/CG41*1))</f>
        <v>0.006722001784509288</v>
      </c>
      <c r="CM41" s="141">
        <f>IF(CE41=0,"-",(CE41/CG41))</f>
        <v>0.006722001784509288</v>
      </c>
      <c r="CN41" s="141">
        <f>IF(CG41=0,"-",(CH41/CG41))</f>
        <v>-0.06889778588557052</v>
      </c>
      <c r="CO41" s="141">
        <f>IF(CG41=0,"-",(CI41/CG41))</f>
        <v>-0.06889778588557052</v>
      </c>
      <c r="CP41" s="141">
        <f>IF(BU41+K41+L41=0,"-",((K41+L41)/(BU41+K41+L41)))</f>
        <v>0</v>
      </c>
      <c r="CQ41" s="141">
        <f>IF(BU41+K41+L41=0,"-",((K41)/(BU41+K41+L41)))</f>
        <v>0</v>
      </c>
      <c r="CR41" s="142">
        <f>IF(CE41=0,"-",(CS41/CE41))</f>
        <v>430.0673564626138</v>
      </c>
      <c r="CS41" s="76">
        <f>BT41-BY41</f>
        <v>1018334.9900000001</v>
      </c>
      <c r="CT41" s="80">
        <f>Y41-K41-L41-V41</f>
        <v>349885.85</v>
      </c>
      <c r="CU41" s="80">
        <f>AU41-AR41</f>
        <v>352253.70000000007</v>
      </c>
      <c r="CV41" s="80">
        <f>CU41-CT41</f>
        <v>2367.850000000093</v>
      </c>
      <c r="CW41" s="80">
        <f>-V41+AR41</f>
        <v>0</v>
      </c>
      <c r="CX41" s="80">
        <f>CV41+CW41</f>
        <v>2367.850000000093</v>
      </c>
      <c r="CY41" s="80">
        <f>CX41-K41-L41</f>
        <v>2367.850000000093</v>
      </c>
      <c r="CZ41" s="80">
        <f>BR41-BP41</f>
        <v>0</v>
      </c>
      <c r="DA41" s="80">
        <f>K41+L41</f>
        <v>0</v>
      </c>
      <c r="DB41" s="80">
        <f>-CZ41+DA41+CY41</f>
        <v>2367.850000000093</v>
      </c>
      <c r="DC41" s="80">
        <f t="shared" si="107"/>
        <v>2367.850000000093</v>
      </c>
      <c r="DD41" s="80">
        <f>-BP41-DA41</f>
        <v>0</v>
      </c>
      <c r="DE41" s="80">
        <f>DB41+DD41+BR41</f>
        <v>2367.850000000093</v>
      </c>
      <c r="DF41" s="80">
        <f>Z41+AA41+AB41</f>
        <v>164686</v>
      </c>
      <c r="DG41" s="80">
        <f>CS41/B41</f>
        <v>967.9990399239545</v>
      </c>
      <c r="DH41" s="80">
        <f>CH41/B41</f>
        <v>-23.06986692015209</v>
      </c>
      <c r="DI41" s="80">
        <f>DF41/B41</f>
        <v>156.54562737642587</v>
      </c>
      <c r="DJ41" s="81">
        <f>CZ41/B41</f>
        <v>0</v>
      </c>
      <c r="DK41" s="76">
        <f>DB41/B41</f>
        <v>2.250807984790963</v>
      </c>
      <c r="DL41" s="145">
        <f>CA41-BW41-BU41</f>
        <v>1018334.99</v>
      </c>
      <c r="DM41" s="64"/>
      <c r="DN41" s="65"/>
    </row>
    <row r="42" spans="1:118" ht="12.75">
      <c r="A42" s="3" t="s">
        <v>217</v>
      </c>
      <c r="B42" s="136">
        <f>B5+B28</f>
        <v>828</v>
      </c>
      <c r="G42" s="131">
        <v>18643.25</v>
      </c>
      <c r="H42" s="43">
        <v>2907.3</v>
      </c>
      <c r="I42" s="43">
        <v>0</v>
      </c>
      <c r="J42" s="43">
        <v>30000</v>
      </c>
      <c r="K42" s="43">
        <v>0</v>
      </c>
      <c r="L42" s="43">
        <v>0</v>
      </c>
      <c r="M42" s="43">
        <f>SUM(K42:L42)</f>
        <v>0</v>
      </c>
      <c r="N42" s="43">
        <v>0</v>
      </c>
      <c r="O42" s="43">
        <v>7.95</v>
      </c>
      <c r="P42" s="43">
        <v>391310.25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f>SUM(R42:V42)</f>
        <v>0</v>
      </c>
      <c r="X42" s="43">
        <v>0</v>
      </c>
      <c r="Y42" s="43">
        <f>SUM(G42:X42)-M42-W42</f>
        <v>442868.75</v>
      </c>
      <c r="Z42" s="43">
        <v>127735.15</v>
      </c>
      <c r="AA42" s="43">
        <v>14219.3</v>
      </c>
      <c r="AB42" s="43">
        <v>0</v>
      </c>
      <c r="AC42" s="43">
        <v>31951.85</v>
      </c>
      <c r="AD42" s="43">
        <v>0</v>
      </c>
      <c r="AE42" s="43">
        <f>SUM(Z42:AD42)</f>
        <v>173906.3</v>
      </c>
      <c r="AF42" s="43">
        <v>0</v>
      </c>
      <c r="AG42" s="43">
        <v>3203.25</v>
      </c>
      <c r="AH42" s="43">
        <v>0</v>
      </c>
      <c r="AI42" s="43">
        <v>173455.35</v>
      </c>
      <c r="AJ42" s="43">
        <v>0</v>
      </c>
      <c r="AK42" s="43">
        <v>4030</v>
      </c>
      <c r="AL42" s="43">
        <v>0</v>
      </c>
      <c r="AM42" s="43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0</v>
      </c>
      <c r="AU42" s="4">
        <f>SUM(Z42:AT42)-AE42-AH42-AS42</f>
        <v>354594.89999999997</v>
      </c>
      <c r="AV42" s="4">
        <v>0</v>
      </c>
      <c r="AW42" s="4">
        <v>88273.85</v>
      </c>
      <c r="AX42" s="143">
        <f>Y42-AU42+AV42-AW42</f>
        <v>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f>SUM(AZ42:BE42)</f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f>SUM(BG42:BN42)</f>
        <v>0</v>
      </c>
      <c r="BP42" s="43">
        <v>0</v>
      </c>
      <c r="BQ42" s="43">
        <v>0</v>
      </c>
      <c r="BR42" s="43">
        <v>0</v>
      </c>
      <c r="BS42" s="43">
        <f>+BF42-BO42+BP42+BQ42-BR42</f>
        <v>0</v>
      </c>
      <c r="BT42" s="4">
        <f>114201+238597.1</f>
        <v>352798.1</v>
      </c>
      <c r="BU42" s="4">
        <v>0</v>
      </c>
      <c r="BV42" s="4"/>
      <c r="BW42" s="4"/>
      <c r="BX42" s="4">
        <f>SUM(BT42:BW42)</f>
        <v>352798.1</v>
      </c>
      <c r="BY42" s="4">
        <v>141825.8</v>
      </c>
      <c r="BZ42" s="4"/>
      <c r="CA42" s="4">
        <v>210972.3</v>
      </c>
      <c r="CB42" s="4">
        <f>SUM(BY42:CA42)</f>
        <v>352798.1</v>
      </c>
      <c r="CC42" s="143">
        <f>BX42-CB42</f>
        <v>0</v>
      </c>
      <c r="CD42" s="74">
        <f>K42+L42+AV42-AW42</f>
        <v>-88273.85</v>
      </c>
      <c r="CE42" s="76">
        <f>CD42+W42-AS42</f>
        <v>-88273.85</v>
      </c>
      <c r="CF42" s="76">
        <f>BR42-BP42</f>
        <v>0</v>
      </c>
      <c r="CG42" s="76">
        <f>AU42-AM42-AT42-AS42</f>
        <v>354594.89999999997</v>
      </c>
      <c r="CH42" s="76">
        <f>I42-AG42+AY42+AH42+BQ42</f>
        <v>-3203.25</v>
      </c>
      <c r="CI42" s="37">
        <f>CH42+K42</f>
        <v>-3203.25</v>
      </c>
      <c r="CJ42" s="59" t="str">
        <f>IF(CF42=0,"-",(CD42/CF42))</f>
        <v>-</v>
      </c>
      <c r="CK42" s="59" t="str">
        <f>IF(CF42=0,"-",(CE42/CF42))</f>
        <v>-</v>
      </c>
      <c r="CL42" s="141">
        <f>IF(CG42=0,"-",(CD42/CG42*1))</f>
        <v>-0.24894280769407573</v>
      </c>
      <c r="CM42" s="141">
        <f>IF(CE42=0,"-",(CE42/CG42))</f>
        <v>-0.24894280769407573</v>
      </c>
      <c r="CN42" s="141">
        <f>IF(CG42=0,"-",(CH42/CG42))</f>
        <v>-0.009033547859825396</v>
      </c>
      <c r="CO42" s="141">
        <f>IF(CG42=0,"-",(CI42/CG42))</f>
        <v>-0.009033547859825396</v>
      </c>
      <c r="CP42" s="141" t="str">
        <f>IF(BU42+K42+L42=0,"-",((K42+L42)/(BU42+K42+L42)))</f>
        <v>-</v>
      </c>
      <c r="CQ42" s="141" t="str">
        <f>IF(BU42+K42+L42=0,"-",((K42)/(BU42+K42+L42)))</f>
        <v>-</v>
      </c>
      <c r="CR42" s="142">
        <f>IF(CE42=0,"-",(CS42/CE42))</f>
        <v>-2.3899750605643684</v>
      </c>
      <c r="CS42" s="76">
        <f>BT42-BY42</f>
        <v>210972.3</v>
      </c>
      <c r="CT42" s="80">
        <f>Y42-K42-L42-V42</f>
        <v>442868.75</v>
      </c>
      <c r="CU42" s="80">
        <f>AU42-AR42</f>
        <v>354594.89999999997</v>
      </c>
      <c r="CV42" s="80">
        <f>CU42-CT42</f>
        <v>-88273.85000000003</v>
      </c>
      <c r="CW42" s="80">
        <f>-V42+AR42</f>
        <v>0</v>
      </c>
      <c r="CX42" s="80">
        <f>CV42+CW42</f>
        <v>-88273.85000000003</v>
      </c>
      <c r="CY42" s="80">
        <f>CX42-K42-L42</f>
        <v>-88273.85000000003</v>
      </c>
      <c r="CZ42" s="80">
        <f>BR42-BP42</f>
        <v>0</v>
      </c>
      <c r="DA42" s="80">
        <f>K42+L42</f>
        <v>0</v>
      </c>
      <c r="DB42" s="80">
        <f>-CZ42+DA42+CY42</f>
        <v>-88273.85000000003</v>
      </c>
      <c r="DC42" s="80">
        <f t="shared" si="107"/>
        <v>-88273.85000000003</v>
      </c>
      <c r="DD42" s="80">
        <f>-BP42-DA42</f>
        <v>0</v>
      </c>
      <c r="DE42" s="80">
        <f>DB42+DD42+BR42</f>
        <v>-88273.85000000003</v>
      </c>
      <c r="DF42" s="80">
        <f>Z42+AA42+AB42</f>
        <v>141954.44999999998</v>
      </c>
      <c r="DG42" s="80">
        <f>CS42/B42</f>
        <v>254.79746376811593</v>
      </c>
      <c r="DH42" s="80">
        <f>CH42/B42</f>
        <v>-3.868659420289855</v>
      </c>
      <c r="DI42" s="80">
        <f>DF42/B42</f>
        <v>171.4425724637681</v>
      </c>
      <c r="DJ42" s="81">
        <f>CZ42/B42</f>
        <v>0</v>
      </c>
      <c r="DK42" s="76">
        <f>DB42/B42</f>
        <v>-106.61092995169086</v>
      </c>
      <c r="DL42" s="145">
        <f>CA42-BW42-BU42</f>
        <v>210972.3</v>
      </c>
      <c r="DM42" s="64"/>
      <c r="DN42" s="65"/>
    </row>
    <row r="60" spans="1:116" ht="12.75">
      <c r="A60" s="3" t="s">
        <v>242</v>
      </c>
      <c r="B60" s="62">
        <f>B10+B20+B26</f>
        <v>1419</v>
      </c>
      <c r="C60" s="62">
        <f aca="true" t="shared" si="108" ref="C60:BN60">C10+C20+C26</f>
        <v>4332447</v>
      </c>
      <c r="D60" s="62">
        <f>(D10+D20+D26)/3</f>
        <v>3071.933333333333</v>
      </c>
      <c r="E60" s="62">
        <f>(E10+E20+E26)/3</f>
        <v>85.95333333333332</v>
      </c>
      <c r="F60" s="62">
        <f>(F10+F20+F26)/3</f>
        <v>4</v>
      </c>
      <c r="G60" s="62">
        <f t="shared" si="108"/>
        <v>15597.099999999999</v>
      </c>
      <c r="H60" s="62">
        <f t="shared" si="108"/>
        <v>11398.3</v>
      </c>
      <c r="I60" s="62">
        <f t="shared" si="108"/>
        <v>87</v>
      </c>
      <c r="J60" s="62">
        <f t="shared" si="108"/>
        <v>0</v>
      </c>
      <c r="K60" s="62">
        <f t="shared" si="108"/>
        <v>0</v>
      </c>
      <c r="L60" s="62">
        <f t="shared" si="108"/>
        <v>0</v>
      </c>
      <c r="M60" s="62">
        <f t="shared" si="108"/>
        <v>0</v>
      </c>
      <c r="N60" s="62">
        <f t="shared" si="108"/>
        <v>0</v>
      </c>
      <c r="O60" s="62">
        <f t="shared" si="108"/>
        <v>2055.7000000000003</v>
      </c>
      <c r="P60" s="62">
        <f t="shared" si="108"/>
        <v>377271.25</v>
      </c>
      <c r="Q60" s="62">
        <f t="shared" si="108"/>
        <v>0</v>
      </c>
      <c r="R60" s="62">
        <f t="shared" si="108"/>
        <v>0</v>
      </c>
      <c r="S60" s="62">
        <f t="shared" si="108"/>
        <v>0</v>
      </c>
      <c r="T60" s="62">
        <f t="shared" si="108"/>
        <v>0</v>
      </c>
      <c r="U60" s="62">
        <f t="shared" si="108"/>
        <v>0</v>
      </c>
      <c r="V60" s="62">
        <f t="shared" si="108"/>
        <v>0</v>
      </c>
      <c r="W60" s="62">
        <f t="shared" si="108"/>
        <v>0</v>
      </c>
      <c r="X60" s="62">
        <f t="shared" si="108"/>
        <v>0</v>
      </c>
      <c r="Y60" s="62">
        <f t="shared" si="108"/>
        <v>406409.35</v>
      </c>
      <c r="Z60" s="62">
        <f t="shared" si="108"/>
        <v>215291.15</v>
      </c>
      <c r="AA60" s="62">
        <f t="shared" si="108"/>
        <v>34259.6</v>
      </c>
      <c r="AB60" s="62">
        <f t="shared" si="108"/>
        <v>0</v>
      </c>
      <c r="AC60" s="62">
        <f t="shared" si="108"/>
        <v>54758.1</v>
      </c>
      <c r="AD60" s="62">
        <f t="shared" si="108"/>
        <v>0</v>
      </c>
      <c r="AE60" s="62">
        <f t="shared" si="108"/>
        <v>304308.85</v>
      </c>
      <c r="AF60" s="62">
        <f t="shared" si="108"/>
        <v>0</v>
      </c>
      <c r="AG60" s="62">
        <f t="shared" si="108"/>
        <v>12866.5</v>
      </c>
      <c r="AH60" s="62">
        <f t="shared" si="108"/>
        <v>0</v>
      </c>
      <c r="AI60" s="62">
        <f t="shared" si="108"/>
        <v>168027.65</v>
      </c>
      <c r="AJ60" s="62">
        <f t="shared" si="108"/>
        <v>0</v>
      </c>
      <c r="AK60" s="62">
        <f t="shared" si="108"/>
        <v>1612</v>
      </c>
      <c r="AL60" s="62">
        <f t="shared" si="108"/>
        <v>0</v>
      </c>
      <c r="AM60" s="62">
        <f t="shared" si="108"/>
        <v>0</v>
      </c>
      <c r="AN60" s="62">
        <f t="shared" si="108"/>
        <v>0</v>
      </c>
      <c r="AO60" s="62">
        <f t="shared" si="108"/>
        <v>0</v>
      </c>
      <c r="AP60" s="62">
        <f t="shared" si="108"/>
        <v>0</v>
      </c>
      <c r="AQ60" s="62">
        <f t="shared" si="108"/>
        <v>0</v>
      </c>
      <c r="AR60" s="62">
        <f t="shared" si="108"/>
        <v>0</v>
      </c>
      <c r="AS60" s="62">
        <f t="shared" si="108"/>
        <v>0</v>
      </c>
      <c r="AT60" s="62">
        <f t="shared" si="108"/>
        <v>0</v>
      </c>
      <c r="AU60" s="62">
        <f t="shared" si="108"/>
        <v>486815.00000000006</v>
      </c>
      <c r="AV60" s="62">
        <f t="shared" si="108"/>
        <v>80405.65000000001</v>
      </c>
      <c r="AW60" s="62">
        <f t="shared" si="108"/>
        <v>0</v>
      </c>
      <c r="AX60" s="62">
        <f t="shared" si="108"/>
        <v>-6.730260793119669E-11</v>
      </c>
      <c r="AY60" s="62">
        <f t="shared" si="108"/>
        <v>1388.4</v>
      </c>
      <c r="AZ60" s="62">
        <f t="shared" si="108"/>
        <v>0</v>
      </c>
      <c r="BA60" s="62">
        <f t="shared" si="108"/>
        <v>0</v>
      </c>
      <c r="BB60" s="62">
        <f t="shared" si="108"/>
        <v>0</v>
      </c>
      <c r="BC60" s="62">
        <f t="shared" si="108"/>
        <v>0</v>
      </c>
      <c r="BD60" s="62">
        <f t="shared" si="108"/>
        <v>0</v>
      </c>
      <c r="BE60" s="62">
        <f t="shared" si="108"/>
        <v>0</v>
      </c>
      <c r="BF60" s="62">
        <f t="shared" si="108"/>
        <v>0</v>
      </c>
      <c r="BG60" s="62">
        <f t="shared" si="108"/>
        <v>0</v>
      </c>
      <c r="BH60" s="62">
        <f t="shared" si="108"/>
        <v>0</v>
      </c>
      <c r="BI60" s="62">
        <f t="shared" si="108"/>
        <v>0</v>
      </c>
      <c r="BJ60" s="62">
        <f t="shared" si="108"/>
        <v>0</v>
      </c>
      <c r="BK60" s="62">
        <f t="shared" si="108"/>
        <v>0</v>
      </c>
      <c r="BL60" s="62">
        <f t="shared" si="108"/>
        <v>0</v>
      </c>
      <c r="BM60" s="62">
        <f t="shared" si="108"/>
        <v>0</v>
      </c>
      <c r="BN60" s="62">
        <f t="shared" si="108"/>
        <v>0</v>
      </c>
      <c r="BO60" s="62">
        <f aca="true" t="shared" si="109" ref="BO60:CI60">BO10+BO20+BO26</f>
        <v>0</v>
      </c>
      <c r="BP60" s="62">
        <f t="shared" si="109"/>
        <v>0</v>
      </c>
      <c r="BQ60" s="62">
        <f t="shared" si="109"/>
        <v>0</v>
      </c>
      <c r="BR60" s="62">
        <f t="shared" si="109"/>
        <v>0</v>
      </c>
      <c r="BS60" s="62">
        <f t="shared" si="109"/>
        <v>0</v>
      </c>
      <c r="BT60" s="62">
        <f t="shared" si="109"/>
        <v>832319.11</v>
      </c>
      <c r="BU60" s="62">
        <f t="shared" si="109"/>
        <v>0</v>
      </c>
      <c r="BV60" s="62">
        <f t="shared" si="109"/>
        <v>0</v>
      </c>
      <c r="BW60" s="62">
        <f t="shared" si="109"/>
        <v>0</v>
      </c>
      <c r="BX60" s="62">
        <f t="shared" si="109"/>
        <v>832319.11</v>
      </c>
      <c r="BY60" s="62">
        <f t="shared" si="109"/>
        <v>247712.65</v>
      </c>
      <c r="BZ60" s="62">
        <f t="shared" si="109"/>
        <v>0</v>
      </c>
      <c r="CA60" s="62">
        <f t="shared" si="109"/>
        <v>584606.46</v>
      </c>
      <c r="CB60" s="62">
        <f t="shared" si="109"/>
        <v>832319.11</v>
      </c>
      <c r="CC60" s="62">
        <f t="shared" si="109"/>
        <v>0</v>
      </c>
      <c r="CD60" s="62">
        <f t="shared" si="109"/>
        <v>80405.65000000001</v>
      </c>
      <c r="CE60" s="62">
        <f t="shared" si="109"/>
        <v>80405.65000000001</v>
      </c>
      <c r="CF60" s="62">
        <f t="shared" si="109"/>
        <v>0</v>
      </c>
      <c r="CG60" s="62">
        <f t="shared" si="109"/>
        <v>486815.00000000006</v>
      </c>
      <c r="CH60" s="62">
        <f t="shared" si="109"/>
        <v>-11391.1</v>
      </c>
      <c r="CI60" s="62">
        <f t="shared" si="109"/>
        <v>-11391.1</v>
      </c>
      <c r="CJ60" s="153" t="e">
        <f aca="true" t="shared" si="110" ref="CJ60:CJ65">CD60/CF60</f>
        <v>#DIV/0!</v>
      </c>
      <c r="CK60" s="153" t="e">
        <f aca="true" t="shared" si="111" ref="CK60:CK65">CE60/CF60</f>
        <v>#DIV/0!</v>
      </c>
      <c r="CL60" s="154">
        <f aca="true" t="shared" si="112" ref="CL60:CL65">CD60/CG60*1</f>
        <v>0.16516674712159649</v>
      </c>
      <c r="CM60" s="154">
        <f aca="true" t="shared" si="113" ref="CM60:CM65">CE60/CG60</f>
        <v>0.16516674712159649</v>
      </c>
      <c r="CN60" s="154">
        <f aca="true" t="shared" si="114" ref="CN60:CN65">CH60/CG60</f>
        <v>-0.023399237903515707</v>
      </c>
      <c r="CO60" s="154">
        <f aca="true" t="shared" si="115" ref="CO60:CO65">CI60/CG60</f>
        <v>-0.023399237903515707</v>
      </c>
      <c r="CP60" s="154" t="e">
        <f aca="true" t="shared" si="116" ref="CP60:CP65">(K60+L60)/(BU60+K60+L60)</f>
        <v>#DIV/0!</v>
      </c>
      <c r="CQ60" s="154" t="e">
        <f aca="true" t="shared" si="117" ref="CQ60:CQ65">(K60)/(BU60+K60+L60)</f>
        <v>#DIV/0!</v>
      </c>
      <c r="CR60" s="155">
        <f aca="true" t="shared" si="118" ref="CR60:CR65">CS60/CE60</f>
        <v>7.270713687408781</v>
      </c>
      <c r="CS60" s="156">
        <f aca="true" t="shared" si="119" ref="CS60:CS65">BT60-BY60</f>
        <v>584606.46</v>
      </c>
      <c r="CT60" s="156">
        <f aca="true" t="shared" si="120" ref="CT60:CT65">Y60-K60-L60-V60</f>
        <v>406409.35</v>
      </c>
      <c r="CU60" s="156">
        <f aca="true" t="shared" si="121" ref="CU60:CU65">AU60-AR60</f>
        <v>486815.00000000006</v>
      </c>
      <c r="CV60" s="156">
        <f aca="true" t="shared" si="122" ref="CV60:CV65">CU60-CT60</f>
        <v>80405.65000000008</v>
      </c>
      <c r="CW60" s="156">
        <f aca="true" t="shared" si="123" ref="CW60:CW65">-V60+AR60</f>
        <v>0</v>
      </c>
      <c r="CX60" s="156">
        <f aca="true" t="shared" si="124" ref="CX60:CX65">CV60+CW60</f>
        <v>80405.65000000008</v>
      </c>
      <c r="CY60" s="156">
        <f aca="true" t="shared" si="125" ref="CY60:CY65">CX60-K60-L60</f>
        <v>80405.65000000008</v>
      </c>
      <c r="CZ60" s="156">
        <f aca="true" t="shared" si="126" ref="CZ60:CZ65">BR60-BP60</f>
        <v>0</v>
      </c>
      <c r="DA60" s="156">
        <f aca="true" t="shared" si="127" ref="DA60:DA65">K60+L60</f>
        <v>0</v>
      </c>
      <c r="DB60" s="156">
        <f aca="true" t="shared" si="128" ref="DB60:DB65">-CZ60+DA60+CY60</f>
        <v>80405.65000000008</v>
      </c>
      <c r="DC60" s="156">
        <f aca="true" t="shared" si="129" ref="DC60:DC65">-CZ60+DA60+CY60+W60-AS60</f>
        <v>80405.65000000008</v>
      </c>
      <c r="DD60" s="156">
        <f aca="true" t="shared" si="130" ref="DD60:DD65">-BP60-DA60</f>
        <v>0</v>
      </c>
      <c r="DE60" s="156">
        <f aca="true" t="shared" si="131" ref="DE60:DE65">DB60+DD60+BR60</f>
        <v>80405.65000000008</v>
      </c>
      <c r="DF60" s="156">
        <f aca="true" t="shared" si="132" ref="DF60:DF65">Z60+AA60+AB60</f>
        <v>249550.75</v>
      </c>
      <c r="DG60" s="156">
        <f aca="true" t="shared" si="133" ref="DG60:DG65">CS60/B60</f>
        <v>411.98482029598307</v>
      </c>
      <c r="DH60" s="156">
        <f aca="true" t="shared" si="134" ref="DH60:DH65">CH60/B60</f>
        <v>-8.027554615926709</v>
      </c>
      <c r="DI60" s="156">
        <f aca="true" t="shared" si="135" ref="DI60:DI65">DF60/B60</f>
        <v>175.8638125440451</v>
      </c>
      <c r="DJ60" s="157">
        <f aca="true" t="shared" si="136" ref="DJ60:DJ65">CZ60/B60</f>
        <v>0</v>
      </c>
      <c r="DK60" s="156">
        <f aca="true" t="shared" si="137" ref="DK60:DK65">DB60/B60</f>
        <v>56.66360112755467</v>
      </c>
      <c r="DL60" s="158">
        <f aca="true" t="shared" si="138" ref="DL60:DL65">CA60-BW60-BU60</f>
        <v>584606.46</v>
      </c>
    </row>
    <row r="61" spans="1:116" ht="12.75">
      <c r="A61" s="3" t="s">
        <v>243</v>
      </c>
      <c r="B61" s="62">
        <f>B4+B19+B21+B24+B25</f>
        <v>14473</v>
      </c>
      <c r="C61" s="62">
        <f aca="true" t="shared" si="139" ref="C61:BN61">C4+C19+C21+C24+C25</f>
        <v>52814562</v>
      </c>
      <c r="D61" s="62">
        <f>(D4+D19+D21+D24+D25)/5</f>
        <v>3521.642</v>
      </c>
      <c r="E61" s="62">
        <f>(E4+E19+E21+E24+E25)/5</f>
        <v>98.53600000000002</v>
      </c>
      <c r="F61" s="62">
        <f>(F4+F19+F21+F24+F25)/5</f>
        <v>2.4</v>
      </c>
      <c r="G61" s="62">
        <f t="shared" si="139"/>
        <v>361028.25</v>
      </c>
      <c r="H61" s="62">
        <f t="shared" si="139"/>
        <v>92923.95000000001</v>
      </c>
      <c r="I61" s="62">
        <f t="shared" si="139"/>
        <v>46041.2</v>
      </c>
      <c r="J61" s="62">
        <f t="shared" si="139"/>
        <v>0</v>
      </c>
      <c r="K61" s="62">
        <f t="shared" si="139"/>
        <v>0</v>
      </c>
      <c r="L61" s="62">
        <f t="shared" si="139"/>
        <v>0</v>
      </c>
      <c r="M61" s="62">
        <f t="shared" si="139"/>
        <v>0</v>
      </c>
      <c r="N61" s="62">
        <f t="shared" si="139"/>
        <v>0</v>
      </c>
      <c r="O61" s="62">
        <f t="shared" si="139"/>
        <v>0</v>
      </c>
      <c r="P61" s="62">
        <f t="shared" si="139"/>
        <v>5297261.05</v>
      </c>
      <c r="Q61" s="62">
        <f t="shared" si="139"/>
        <v>0</v>
      </c>
      <c r="R61" s="62">
        <f t="shared" si="139"/>
        <v>0</v>
      </c>
      <c r="S61" s="62">
        <f t="shared" si="139"/>
        <v>0</v>
      </c>
      <c r="T61" s="62">
        <f t="shared" si="139"/>
        <v>0</v>
      </c>
      <c r="U61" s="62">
        <f t="shared" si="139"/>
        <v>0</v>
      </c>
      <c r="V61" s="62">
        <f t="shared" si="139"/>
        <v>0</v>
      </c>
      <c r="W61" s="62">
        <f t="shared" si="139"/>
        <v>0</v>
      </c>
      <c r="X61" s="62">
        <f t="shared" si="139"/>
        <v>68530</v>
      </c>
      <c r="Y61" s="62">
        <f t="shared" si="139"/>
        <v>5865784.449999999</v>
      </c>
      <c r="Z61" s="62">
        <f t="shared" si="139"/>
        <v>1925044.25</v>
      </c>
      <c r="AA61" s="62">
        <f t="shared" si="139"/>
        <v>183223.30000000002</v>
      </c>
      <c r="AB61" s="62">
        <f t="shared" si="139"/>
        <v>0</v>
      </c>
      <c r="AC61" s="62">
        <f t="shared" si="139"/>
        <v>482442.44999999995</v>
      </c>
      <c r="AD61" s="62">
        <f t="shared" si="139"/>
        <v>0</v>
      </c>
      <c r="AE61" s="62">
        <f t="shared" si="139"/>
        <v>2590710</v>
      </c>
      <c r="AF61" s="62">
        <f t="shared" si="139"/>
        <v>0</v>
      </c>
      <c r="AG61" s="62">
        <f t="shared" si="139"/>
        <v>70745.55</v>
      </c>
      <c r="AH61" s="62">
        <f t="shared" si="139"/>
        <v>72</v>
      </c>
      <c r="AI61" s="62">
        <f t="shared" si="139"/>
        <v>2938494.25</v>
      </c>
      <c r="AJ61" s="62">
        <f t="shared" si="139"/>
        <v>-200</v>
      </c>
      <c r="AK61" s="62">
        <f t="shared" si="139"/>
        <v>107796.4</v>
      </c>
      <c r="AL61" s="62">
        <f t="shared" si="139"/>
        <v>1222.95</v>
      </c>
      <c r="AM61" s="62">
        <f t="shared" si="139"/>
        <v>0</v>
      </c>
      <c r="AN61" s="62">
        <f t="shared" si="139"/>
        <v>0</v>
      </c>
      <c r="AO61" s="62">
        <f t="shared" si="139"/>
        <v>0</v>
      </c>
      <c r="AP61" s="62">
        <f t="shared" si="139"/>
        <v>0</v>
      </c>
      <c r="AQ61" s="62">
        <f t="shared" si="139"/>
        <v>0</v>
      </c>
      <c r="AR61" s="62">
        <f t="shared" si="139"/>
        <v>0</v>
      </c>
      <c r="AS61" s="62">
        <f t="shared" si="139"/>
        <v>0</v>
      </c>
      <c r="AT61" s="62">
        <f t="shared" si="139"/>
        <v>68530</v>
      </c>
      <c r="AU61" s="62">
        <f t="shared" si="139"/>
        <v>5777299.149999999</v>
      </c>
      <c r="AV61" s="62">
        <f t="shared" si="139"/>
        <v>388996.94999999995</v>
      </c>
      <c r="AW61" s="62">
        <f t="shared" si="139"/>
        <v>477482.25</v>
      </c>
      <c r="AX61" s="62">
        <f t="shared" si="139"/>
        <v>-1.8189894035458565E-11</v>
      </c>
      <c r="AY61" s="62">
        <f t="shared" si="139"/>
        <v>0</v>
      </c>
      <c r="AZ61" s="62">
        <f t="shared" si="139"/>
        <v>0</v>
      </c>
      <c r="BA61" s="62">
        <f t="shared" si="139"/>
        <v>0</v>
      </c>
      <c r="BB61" s="62">
        <f t="shared" si="139"/>
        <v>0</v>
      </c>
      <c r="BC61" s="62">
        <f t="shared" si="139"/>
        <v>0</v>
      </c>
      <c r="BD61" s="62">
        <f t="shared" si="139"/>
        <v>0</v>
      </c>
      <c r="BE61" s="62">
        <f t="shared" si="139"/>
        <v>0</v>
      </c>
      <c r="BF61" s="62">
        <f t="shared" si="139"/>
        <v>0</v>
      </c>
      <c r="BG61" s="62">
        <f t="shared" si="139"/>
        <v>0</v>
      </c>
      <c r="BH61" s="62">
        <f t="shared" si="139"/>
        <v>0</v>
      </c>
      <c r="BI61" s="62">
        <f t="shared" si="139"/>
        <v>0</v>
      </c>
      <c r="BJ61" s="62">
        <f t="shared" si="139"/>
        <v>0</v>
      </c>
      <c r="BK61" s="62">
        <f t="shared" si="139"/>
        <v>0</v>
      </c>
      <c r="BL61" s="62">
        <f t="shared" si="139"/>
        <v>0</v>
      </c>
      <c r="BM61" s="62">
        <f t="shared" si="139"/>
        <v>0</v>
      </c>
      <c r="BN61" s="62">
        <f t="shared" si="139"/>
        <v>0</v>
      </c>
      <c r="BO61" s="62">
        <f aca="true" t="shared" si="140" ref="BO61:CI61">BO4+BO19+BO21+BO24+BO25</f>
        <v>0</v>
      </c>
      <c r="BP61" s="62">
        <f t="shared" si="140"/>
        <v>0</v>
      </c>
      <c r="BQ61" s="62">
        <f t="shared" si="140"/>
        <v>0</v>
      </c>
      <c r="BR61" s="62">
        <f t="shared" si="140"/>
        <v>0</v>
      </c>
      <c r="BS61" s="62">
        <f t="shared" si="140"/>
        <v>0</v>
      </c>
      <c r="BT61" s="62">
        <f t="shared" si="140"/>
        <v>4970375.9399999995</v>
      </c>
      <c r="BU61" s="62">
        <f t="shared" si="140"/>
        <v>0</v>
      </c>
      <c r="BV61" s="62">
        <f t="shared" si="140"/>
        <v>0</v>
      </c>
      <c r="BW61" s="62">
        <f t="shared" si="140"/>
        <v>108105.66</v>
      </c>
      <c r="BX61" s="62">
        <f t="shared" si="140"/>
        <v>5078481.6</v>
      </c>
      <c r="BY61" s="62">
        <f t="shared" si="140"/>
        <v>2243757.73</v>
      </c>
      <c r="BZ61" s="62">
        <f t="shared" si="140"/>
        <v>20000</v>
      </c>
      <c r="CA61" s="62">
        <f t="shared" si="140"/>
        <v>2814723.8699999996</v>
      </c>
      <c r="CB61" s="62">
        <f t="shared" si="140"/>
        <v>5078481.6</v>
      </c>
      <c r="CC61" s="62">
        <f t="shared" si="140"/>
        <v>0</v>
      </c>
      <c r="CD61" s="62">
        <f t="shared" si="140"/>
        <v>-88485.3</v>
      </c>
      <c r="CE61" s="62">
        <f t="shared" si="140"/>
        <v>-88485.3</v>
      </c>
      <c r="CF61" s="62">
        <f t="shared" si="140"/>
        <v>0</v>
      </c>
      <c r="CG61" s="62">
        <f t="shared" si="140"/>
        <v>5708769.149999999</v>
      </c>
      <c r="CH61" s="62">
        <f t="shared" si="140"/>
        <v>-24632.350000000006</v>
      </c>
      <c r="CI61" s="62">
        <f t="shared" si="140"/>
        <v>-24632.350000000006</v>
      </c>
      <c r="CJ61" s="153" t="e">
        <f t="shared" si="110"/>
        <v>#DIV/0!</v>
      </c>
      <c r="CK61" s="153" t="e">
        <f t="shared" si="111"/>
        <v>#DIV/0!</v>
      </c>
      <c r="CL61" s="154">
        <f t="shared" si="112"/>
        <v>-0.015499891075469396</v>
      </c>
      <c r="CM61" s="154">
        <f t="shared" si="113"/>
        <v>-0.015499891075469396</v>
      </c>
      <c r="CN61" s="154">
        <f t="shared" si="114"/>
        <v>-0.004314826778378314</v>
      </c>
      <c r="CO61" s="154">
        <f t="shared" si="115"/>
        <v>-0.004314826778378314</v>
      </c>
      <c r="CP61" s="154" t="e">
        <f t="shared" si="116"/>
        <v>#DIV/0!</v>
      </c>
      <c r="CQ61" s="154" t="e">
        <f t="shared" si="117"/>
        <v>#DIV/0!</v>
      </c>
      <c r="CR61" s="155">
        <f t="shared" si="118"/>
        <v>-30.81436362876093</v>
      </c>
      <c r="CS61" s="156">
        <f t="shared" si="119"/>
        <v>2726618.2099999995</v>
      </c>
      <c r="CT61" s="156">
        <f t="shared" si="120"/>
        <v>5865784.449999999</v>
      </c>
      <c r="CU61" s="156">
        <f t="shared" si="121"/>
        <v>5777299.149999999</v>
      </c>
      <c r="CV61" s="156">
        <f t="shared" si="122"/>
        <v>-88485.29999999981</v>
      </c>
      <c r="CW61" s="156">
        <f t="shared" si="123"/>
        <v>0</v>
      </c>
      <c r="CX61" s="156">
        <f t="shared" si="124"/>
        <v>-88485.29999999981</v>
      </c>
      <c r="CY61" s="156">
        <f t="shared" si="125"/>
        <v>-88485.29999999981</v>
      </c>
      <c r="CZ61" s="156">
        <f t="shared" si="126"/>
        <v>0</v>
      </c>
      <c r="DA61" s="156">
        <f t="shared" si="127"/>
        <v>0</v>
      </c>
      <c r="DB61" s="156">
        <f t="shared" si="128"/>
        <v>-88485.29999999981</v>
      </c>
      <c r="DC61" s="156">
        <f t="shared" si="129"/>
        <v>-88485.29999999981</v>
      </c>
      <c r="DD61" s="156">
        <f t="shared" si="130"/>
        <v>0</v>
      </c>
      <c r="DE61" s="156">
        <f t="shared" si="131"/>
        <v>-88485.29999999981</v>
      </c>
      <c r="DF61" s="156">
        <f t="shared" si="132"/>
        <v>2108267.55</v>
      </c>
      <c r="DG61" s="156">
        <f t="shared" si="133"/>
        <v>188.3934367442824</v>
      </c>
      <c r="DH61" s="156">
        <f t="shared" si="134"/>
        <v>-1.7019519104539491</v>
      </c>
      <c r="DI61" s="156">
        <f t="shared" si="135"/>
        <v>145.6690078076418</v>
      </c>
      <c r="DJ61" s="157">
        <f t="shared" si="136"/>
        <v>0</v>
      </c>
      <c r="DK61" s="156">
        <f t="shared" si="137"/>
        <v>-6.11381883507219</v>
      </c>
      <c r="DL61" s="158">
        <f t="shared" si="138"/>
        <v>2706618.2099999995</v>
      </c>
    </row>
    <row r="62" spans="1:116" ht="12.75">
      <c r="A62" s="3" t="s">
        <v>244</v>
      </c>
      <c r="B62" s="62">
        <f>B9+B11+B22+B27</f>
        <v>11838</v>
      </c>
      <c r="C62" s="62">
        <f aca="true" t="shared" si="141" ref="C62:BN62">C9+C11+C22+C27</f>
        <v>46223234</v>
      </c>
      <c r="D62" s="62">
        <f>(D9+D11+D22+D27)/4</f>
        <v>3638.7675</v>
      </c>
      <c r="E62" s="62">
        <f>(E9+E11+E22+E27)/4</f>
        <v>101.8125</v>
      </c>
      <c r="F62" s="62">
        <f>(F9+F11+F22+F27)/4</f>
        <v>2.5</v>
      </c>
      <c r="G62" s="62">
        <f t="shared" si="141"/>
        <v>483748.55</v>
      </c>
      <c r="H62" s="62">
        <f t="shared" si="141"/>
        <v>122923.95</v>
      </c>
      <c r="I62" s="62">
        <f t="shared" si="141"/>
        <v>3856.7</v>
      </c>
      <c r="J62" s="62">
        <f t="shared" si="141"/>
        <v>8123.75</v>
      </c>
      <c r="K62" s="62">
        <f t="shared" si="141"/>
        <v>12043.250000000002</v>
      </c>
      <c r="L62" s="62">
        <f t="shared" si="141"/>
        <v>0</v>
      </c>
      <c r="M62" s="62">
        <f t="shared" si="141"/>
        <v>12043.250000000002</v>
      </c>
      <c r="N62" s="62">
        <f t="shared" si="141"/>
        <v>0</v>
      </c>
      <c r="O62" s="62">
        <f t="shared" si="141"/>
        <v>13135.099999999999</v>
      </c>
      <c r="P62" s="62">
        <f t="shared" si="141"/>
        <v>4750045.96</v>
      </c>
      <c r="Q62" s="62">
        <f t="shared" si="141"/>
        <v>0</v>
      </c>
      <c r="R62" s="62">
        <f t="shared" si="141"/>
        <v>249999.99999999997</v>
      </c>
      <c r="S62" s="62">
        <f t="shared" si="141"/>
        <v>0</v>
      </c>
      <c r="T62" s="62">
        <f t="shared" si="141"/>
        <v>0</v>
      </c>
      <c r="U62" s="62">
        <f t="shared" si="141"/>
        <v>0</v>
      </c>
      <c r="V62" s="62">
        <f t="shared" si="141"/>
        <v>0</v>
      </c>
      <c r="W62" s="62">
        <f t="shared" si="141"/>
        <v>249999.99999999997</v>
      </c>
      <c r="X62" s="62">
        <f t="shared" si="141"/>
        <v>127376.19999999998</v>
      </c>
      <c r="Y62" s="62">
        <f t="shared" si="141"/>
        <v>5771253.459999999</v>
      </c>
      <c r="Z62" s="62">
        <f t="shared" si="141"/>
        <v>2163471.4</v>
      </c>
      <c r="AA62" s="62">
        <f t="shared" si="141"/>
        <v>0</v>
      </c>
      <c r="AB62" s="62">
        <f t="shared" si="141"/>
        <v>0</v>
      </c>
      <c r="AC62" s="62">
        <f t="shared" si="141"/>
        <v>456819.15</v>
      </c>
      <c r="AD62" s="62">
        <f t="shared" si="141"/>
        <v>0</v>
      </c>
      <c r="AE62" s="62">
        <f t="shared" si="141"/>
        <v>2620290.55</v>
      </c>
      <c r="AF62" s="62">
        <f t="shared" si="141"/>
        <v>0</v>
      </c>
      <c r="AG62" s="62">
        <f t="shared" si="141"/>
        <v>79773.90000000001</v>
      </c>
      <c r="AH62" s="62">
        <f t="shared" si="141"/>
        <v>9651.4</v>
      </c>
      <c r="AI62" s="62">
        <f t="shared" si="141"/>
        <v>2435470.05</v>
      </c>
      <c r="AJ62" s="62">
        <f t="shared" si="141"/>
        <v>0</v>
      </c>
      <c r="AK62" s="62">
        <f t="shared" si="141"/>
        <v>31820.2</v>
      </c>
      <c r="AL62" s="62">
        <f t="shared" si="141"/>
        <v>60697.49999999999</v>
      </c>
      <c r="AM62" s="62">
        <f t="shared" si="141"/>
        <v>0</v>
      </c>
      <c r="AN62" s="62">
        <f t="shared" si="141"/>
        <v>0</v>
      </c>
      <c r="AO62" s="62">
        <f t="shared" si="141"/>
        <v>0</v>
      </c>
      <c r="AP62" s="62">
        <f t="shared" si="141"/>
        <v>0</v>
      </c>
      <c r="AQ62" s="62">
        <f t="shared" si="141"/>
        <v>0</v>
      </c>
      <c r="AR62" s="62">
        <f t="shared" si="141"/>
        <v>0</v>
      </c>
      <c r="AS62" s="62">
        <f t="shared" si="141"/>
        <v>0</v>
      </c>
      <c r="AT62" s="62">
        <f t="shared" si="141"/>
        <v>127376.19999999998</v>
      </c>
      <c r="AU62" s="62">
        <f t="shared" si="141"/>
        <v>5355428.4</v>
      </c>
      <c r="AV62" s="62">
        <f t="shared" si="141"/>
        <v>0</v>
      </c>
      <c r="AW62" s="62">
        <f t="shared" si="141"/>
        <v>415825.06</v>
      </c>
      <c r="AX62" s="62">
        <f t="shared" si="141"/>
        <v>2.7466739993542433E-10</v>
      </c>
      <c r="AY62" s="62">
        <f t="shared" si="141"/>
        <v>10384.65</v>
      </c>
      <c r="AZ62" s="62">
        <f t="shared" si="141"/>
        <v>0</v>
      </c>
      <c r="BA62" s="62">
        <f t="shared" si="141"/>
        <v>0</v>
      </c>
      <c r="BB62" s="62">
        <f t="shared" si="141"/>
        <v>0</v>
      </c>
      <c r="BC62" s="62">
        <f t="shared" si="141"/>
        <v>0</v>
      </c>
      <c r="BD62" s="62">
        <f t="shared" si="141"/>
        <v>0</v>
      </c>
      <c r="BE62" s="62">
        <f t="shared" si="141"/>
        <v>0</v>
      </c>
      <c r="BF62" s="62">
        <f t="shared" si="141"/>
        <v>0</v>
      </c>
      <c r="BG62" s="62">
        <f t="shared" si="141"/>
        <v>0</v>
      </c>
      <c r="BH62" s="62">
        <f t="shared" si="141"/>
        <v>0</v>
      </c>
      <c r="BI62" s="62">
        <f t="shared" si="141"/>
        <v>0</v>
      </c>
      <c r="BJ62" s="62">
        <f t="shared" si="141"/>
        <v>0</v>
      </c>
      <c r="BK62" s="62">
        <f t="shared" si="141"/>
        <v>0</v>
      </c>
      <c r="BL62" s="62">
        <f t="shared" si="141"/>
        <v>0</v>
      </c>
      <c r="BM62" s="62">
        <f t="shared" si="141"/>
        <v>0</v>
      </c>
      <c r="BN62" s="62">
        <f t="shared" si="141"/>
        <v>0</v>
      </c>
      <c r="BO62" s="62">
        <f aca="true" t="shared" si="142" ref="BO62:CI62">BO9+BO11+BO22+BO27</f>
        <v>0</v>
      </c>
      <c r="BP62" s="62">
        <f t="shared" si="142"/>
        <v>0</v>
      </c>
      <c r="BQ62" s="62">
        <f t="shared" si="142"/>
        <v>0</v>
      </c>
      <c r="BR62" s="62">
        <f t="shared" si="142"/>
        <v>0</v>
      </c>
      <c r="BS62" s="62">
        <f t="shared" si="142"/>
        <v>0</v>
      </c>
      <c r="BT62" s="62">
        <f t="shared" si="142"/>
        <v>3951826.32</v>
      </c>
      <c r="BU62" s="62">
        <f t="shared" si="142"/>
        <v>18066.8</v>
      </c>
      <c r="BV62" s="62">
        <f t="shared" si="142"/>
        <v>0</v>
      </c>
      <c r="BW62" s="62">
        <f t="shared" si="142"/>
        <v>0</v>
      </c>
      <c r="BX62" s="62">
        <f t="shared" si="142"/>
        <v>3969893.1199999996</v>
      </c>
      <c r="BY62" s="62">
        <f t="shared" si="142"/>
        <v>1902195.31</v>
      </c>
      <c r="BZ62" s="62">
        <f t="shared" si="142"/>
        <v>0</v>
      </c>
      <c r="CA62" s="62">
        <f t="shared" si="142"/>
        <v>2067697.81</v>
      </c>
      <c r="CB62" s="62">
        <f t="shared" si="142"/>
        <v>3969893.12</v>
      </c>
      <c r="CC62" s="62">
        <f t="shared" si="142"/>
        <v>0</v>
      </c>
      <c r="CD62" s="62">
        <f t="shared" si="142"/>
        <v>-403781.80999999994</v>
      </c>
      <c r="CE62" s="62">
        <f t="shared" si="142"/>
        <v>-153781.81</v>
      </c>
      <c r="CF62" s="62">
        <f t="shared" si="142"/>
        <v>0</v>
      </c>
      <c r="CG62" s="62">
        <f t="shared" si="142"/>
        <v>5228052.199999998</v>
      </c>
      <c r="CH62" s="62">
        <f t="shared" si="142"/>
        <v>-55881.15000000001</v>
      </c>
      <c r="CI62" s="62">
        <f t="shared" si="142"/>
        <v>-43837.9</v>
      </c>
      <c r="CJ62" s="153" t="e">
        <f t="shared" si="110"/>
        <v>#DIV/0!</v>
      </c>
      <c r="CK62" s="153" t="e">
        <f t="shared" si="111"/>
        <v>#DIV/0!</v>
      </c>
      <c r="CL62" s="154">
        <f t="shared" si="112"/>
        <v>-0.07723369900553022</v>
      </c>
      <c r="CM62" s="154">
        <f t="shared" si="113"/>
        <v>-0.029414742645454083</v>
      </c>
      <c r="CN62" s="154">
        <f t="shared" si="114"/>
        <v>-0.010688713092803477</v>
      </c>
      <c r="CO62" s="154">
        <f t="shared" si="115"/>
        <v>-0.008385130508069528</v>
      </c>
      <c r="CP62" s="154">
        <f t="shared" si="116"/>
        <v>0.3999744271430968</v>
      </c>
      <c r="CQ62" s="154">
        <f t="shared" si="117"/>
        <v>0.3999744271430968</v>
      </c>
      <c r="CR62" s="155">
        <f t="shared" si="118"/>
        <v>-13.328175874636928</v>
      </c>
      <c r="CS62" s="156">
        <f t="shared" si="119"/>
        <v>2049631.0099999998</v>
      </c>
      <c r="CT62" s="156">
        <f t="shared" si="120"/>
        <v>5759210.209999999</v>
      </c>
      <c r="CU62" s="156">
        <f t="shared" si="121"/>
        <v>5355428.4</v>
      </c>
      <c r="CV62" s="156">
        <f t="shared" si="122"/>
        <v>-403781.80999999866</v>
      </c>
      <c r="CW62" s="156">
        <f t="shared" si="123"/>
        <v>0</v>
      </c>
      <c r="CX62" s="156">
        <f t="shared" si="124"/>
        <v>-403781.80999999866</v>
      </c>
      <c r="CY62" s="156">
        <f t="shared" si="125"/>
        <v>-415825.05999999866</v>
      </c>
      <c r="CZ62" s="156">
        <f t="shared" si="126"/>
        <v>0</v>
      </c>
      <c r="DA62" s="156">
        <f t="shared" si="127"/>
        <v>12043.250000000002</v>
      </c>
      <c r="DB62" s="156">
        <f t="shared" si="128"/>
        <v>-403781.80999999866</v>
      </c>
      <c r="DC62" s="156">
        <f t="shared" si="129"/>
        <v>-153781.8099999987</v>
      </c>
      <c r="DD62" s="156">
        <f t="shared" si="130"/>
        <v>-12043.250000000002</v>
      </c>
      <c r="DE62" s="156">
        <f t="shared" si="131"/>
        <v>-415825.05999999866</v>
      </c>
      <c r="DF62" s="156">
        <f t="shared" si="132"/>
        <v>2163471.4</v>
      </c>
      <c r="DG62" s="156">
        <f t="shared" si="133"/>
        <v>173.13997381314408</v>
      </c>
      <c r="DH62" s="156">
        <f t="shared" si="134"/>
        <v>-4.720489102889002</v>
      </c>
      <c r="DI62" s="156">
        <f t="shared" si="135"/>
        <v>182.75649602973473</v>
      </c>
      <c r="DJ62" s="157">
        <f t="shared" si="136"/>
        <v>0</v>
      </c>
      <c r="DK62" s="156">
        <f t="shared" si="137"/>
        <v>-34.10895505997623</v>
      </c>
      <c r="DL62" s="158">
        <f t="shared" si="138"/>
        <v>2049631.01</v>
      </c>
    </row>
    <row r="63" spans="1:116" ht="12.75">
      <c r="A63" s="3" t="s">
        <v>245</v>
      </c>
      <c r="B63" s="62">
        <f>B7+B8+B17</f>
        <v>1759</v>
      </c>
      <c r="C63" s="62">
        <f aca="true" t="shared" si="143" ref="C63:BN63">C7+C8+C17</f>
        <v>4460864</v>
      </c>
      <c r="D63" s="62">
        <f>(D7+D8+D17)/3</f>
        <v>2609.6766666666667</v>
      </c>
      <c r="E63" s="62">
        <f>(E7+E8+E17)/3</f>
        <v>73.01666666666667</v>
      </c>
      <c r="F63" s="62">
        <f>(F7+F8+F17)/3</f>
        <v>4</v>
      </c>
      <c r="G63" s="62">
        <f t="shared" si="143"/>
        <v>41822.3</v>
      </c>
      <c r="H63" s="62">
        <f t="shared" si="143"/>
        <v>14228.800000000001</v>
      </c>
      <c r="I63" s="62">
        <f t="shared" si="143"/>
        <v>6177.8</v>
      </c>
      <c r="J63" s="62">
        <f t="shared" si="143"/>
        <v>0</v>
      </c>
      <c r="K63" s="62">
        <f t="shared" si="143"/>
        <v>0</v>
      </c>
      <c r="L63" s="62">
        <f t="shared" si="143"/>
        <v>0</v>
      </c>
      <c r="M63" s="62">
        <f t="shared" si="143"/>
        <v>0</v>
      </c>
      <c r="N63" s="62">
        <f t="shared" si="143"/>
        <v>0</v>
      </c>
      <c r="O63" s="62">
        <f t="shared" si="143"/>
        <v>126466.85</v>
      </c>
      <c r="P63" s="62">
        <f t="shared" si="143"/>
        <v>210744.65000000002</v>
      </c>
      <c r="Q63" s="62">
        <f t="shared" si="143"/>
        <v>0</v>
      </c>
      <c r="R63" s="62">
        <f t="shared" si="143"/>
        <v>0</v>
      </c>
      <c r="S63" s="62">
        <f t="shared" si="143"/>
        <v>0</v>
      </c>
      <c r="T63" s="62">
        <f t="shared" si="143"/>
        <v>0</v>
      </c>
      <c r="U63" s="62">
        <f t="shared" si="143"/>
        <v>0</v>
      </c>
      <c r="V63" s="62">
        <f t="shared" si="143"/>
        <v>0</v>
      </c>
      <c r="W63" s="62">
        <f t="shared" si="143"/>
        <v>0</v>
      </c>
      <c r="X63" s="62">
        <f t="shared" si="143"/>
        <v>0</v>
      </c>
      <c r="Y63" s="62">
        <f t="shared" si="143"/>
        <v>399440.4</v>
      </c>
      <c r="Z63" s="62">
        <f t="shared" si="143"/>
        <v>298268.4</v>
      </c>
      <c r="AA63" s="62">
        <f t="shared" si="143"/>
        <v>16051.15</v>
      </c>
      <c r="AB63" s="62">
        <f t="shared" si="143"/>
        <v>26473.35</v>
      </c>
      <c r="AC63" s="62">
        <f t="shared" si="143"/>
        <v>39129.45</v>
      </c>
      <c r="AD63" s="62">
        <f t="shared" si="143"/>
        <v>0</v>
      </c>
      <c r="AE63" s="62">
        <f t="shared" si="143"/>
        <v>379922.35000000003</v>
      </c>
      <c r="AF63" s="62">
        <f t="shared" si="143"/>
        <v>0</v>
      </c>
      <c r="AG63" s="62">
        <f t="shared" si="143"/>
        <v>4118.45</v>
      </c>
      <c r="AH63" s="62">
        <f t="shared" si="143"/>
        <v>2472.05</v>
      </c>
      <c r="AI63" s="62">
        <f t="shared" si="143"/>
        <v>11159.05</v>
      </c>
      <c r="AJ63" s="62">
        <f t="shared" si="143"/>
        <v>0</v>
      </c>
      <c r="AK63" s="62">
        <f t="shared" si="143"/>
        <v>0</v>
      </c>
      <c r="AL63" s="62">
        <f t="shared" si="143"/>
        <v>0</v>
      </c>
      <c r="AM63" s="62">
        <f t="shared" si="143"/>
        <v>0</v>
      </c>
      <c r="AN63" s="62">
        <f t="shared" si="143"/>
        <v>0</v>
      </c>
      <c r="AO63" s="62">
        <f t="shared" si="143"/>
        <v>0</v>
      </c>
      <c r="AP63" s="62">
        <f t="shared" si="143"/>
        <v>0</v>
      </c>
      <c r="AQ63" s="62">
        <f t="shared" si="143"/>
        <v>0</v>
      </c>
      <c r="AR63" s="62">
        <f t="shared" si="143"/>
        <v>0</v>
      </c>
      <c r="AS63" s="62">
        <f t="shared" si="143"/>
        <v>0</v>
      </c>
      <c r="AT63" s="62">
        <f t="shared" si="143"/>
        <v>0</v>
      </c>
      <c r="AU63" s="62">
        <f t="shared" si="143"/>
        <v>395199.85</v>
      </c>
      <c r="AV63" s="62">
        <f t="shared" si="143"/>
        <v>13889.05</v>
      </c>
      <c r="AW63" s="62">
        <f t="shared" si="143"/>
        <v>18129.6</v>
      </c>
      <c r="AX63" s="62">
        <f t="shared" si="143"/>
        <v>4.274625098332763E-11</v>
      </c>
      <c r="AY63" s="62">
        <f t="shared" si="143"/>
        <v>0</v>
      </c>
      <c r="AZ63" s="62">
        <f t="shared" si="143"/>
        <v>0</v>
      </c>
      <c r="BA63" s="62">
        <f t="shared" si="143"/>
        <v>0</v>
      </c>
      <c r="BB63" s="62">
        <f t="shared" si="143"/>
        <v>0</v>
      </c>
      <c r="BC63" s="62">
        <f t="shared" si="143"/>
        <v>0</v>
      </c>
      <c r="BD63" s="62">
        <f t="shared" si="143"/>
        <v>0</v>
      </c>
      <c r="BE63" s="62">
        <f t="shared" si="143"/>
        <v>0</v>
      </c>
      <c r="BF63" s="62">
        <f t="shared" si="143"/>
        <v>0</v>
      </c>
      <c r="BG63" s="62">
        <f t="shared" si="143"/>
        <v>0</v>
      </c>
      <c r="BH63" s="62">
        <f t="shared" si="143"/>
        <v>0</v>
      </c>
      <c r="BI63" s="62">
        <f t="shared" si="143"/>
        <v>0</v>
      </c>
      <c r="BJ63" s="62">
        <f t="shared" si="143"/>
        <v>0</v>
      </c>
      <c r="BK63" s="62">
        <f t="shared" si="143"/>
        <v>0</v>
      </c>
      <c r="BL63" s="62">
        <f t="shared" si="143"/>
        <v>0</v>
      </c>
      <c r="BM63" s="62">
        <f t="shared" si="143"/>
        <v>0</v>
      </c>
      <c r="BN63" s="62">
        <f t="shared" si="143"/>
        <v>0</v>
      </c>
      <c r="BO63" s="62">
        <f aca="true" t="shared" si="144" ref="BO63:CI63">BO7+BO8+BO17</f>
        <v>0</v>
      </c>
      <c r="BP63" s="62">
        <f t="shared" si="144"/>
        <v>0</v>
      </c>
      <c r="BQ63" s="62">
        <f t="shared" si="144"/>
        <v>0</v>
      </c>
      <c r="BR63" s="62">
        <f t="shared" si="144"/>
        <v>0</v>
      </c>
      <c r="BS63" s="62">
        <f t="shared" si="144"/>
        <v>0</v>
      </c>
      <c r="BT63" s="62">
        <f t="shared" si="144"/>
        <v>540715.3</v>
      </c>
      <c r="BU63" s="62">
        <f t="shared" si="144"/>
        <v>45000</v>
      </c>
      <c r="BV63" s="62">
        <f t="shared" si="144"/>
        <v>0</v>
      </c>
      <c r="BW63" s="62">
        <f t="shared" si="144"/>
        <v>62229.75</v>
      </c>
      <c r="BX63" s="62">
        <f t="shared" si="144"/>
        <v>647945.05</v>
      </c>
      <c r="BY63" s="62">
        <f t="shared" si="144"/>
        <v>339252.4</v>
      </c>
      <c r="BZ63" s="62">
        <f t="shared" si="144"/>
        <v>0</v>
      </c>
      <c r="CA63" s="62">
        <f t="shared" si="144"/>
        <v>308692.65</v>
      </c>
      <c r="CB63" s="62">
        <f t="shared" si="144"/>
        <v>647945.05</v>
      </c>
      <c r="CC63" s="62">
        <f t="shared" si="144"/>
        <v>0</v>
      </c>
      <c r="CD63" s="62">
        <f t="shared" si="144"/>
        <v>-4240.549999999999</v>
      </c>
      <c r="CE63" s="62">
        <f t="shared" si="144"/>
        <v>-4240.549999999999</v>
      </c>
      <c r="CF63" s="62">
        <f t="shared" si="144"/>
        <v>0</v>
      </c>
      <c r="CG63" s="62">
        <f t="shared" si="144"/>
        <v>395199.85</v>
      </c>
      <c r="CH63" s="62">
        <f t="shared" si="144"/>
        <v>4531.400000000001</v>
      </c>
      <c r="CI63" s="62">
        <f t="shared" si="144"/>
        <v>4531.400000000001</v>
      </c>
      <c r="CJ63" s="153" t="e">
        <f t="shared" si="110"/>
        <v>#DIV/0!</v>
      </c>
      <c r="CK63" s="153" t="e">
        <f t="shared" si="111"/>
        <v>#DIV/0!</v>
      </c>
      <c r="CL63" s="154">
        <f t="shared" si="112"/>
        <v>-0.010730140712350978</v>
      </c>
      <c r="CM63" s="154">
        <f t="shared" si="113"/>
        <v>-0.010730140712350978</v>
      </c>
      <c r="CN63" s="154">
        <f t="shared" si="114"/>
        <v>0.011466097469419588</v>
      </c>
      <c r="CO63" s="154">
        <f t="shared" si="115"/>
        <v>0.011466097469419588</v>
      </c>
      <c r="CP63" s="154">
        <f t="shared" si="116"/>
        <v>0</v>
      </c>
      <c r="CQ63" s="154">
        <f t="shared" si="117"/>
        <v>0</v>
      </c>
      <c r="CR63" s="155">
        <f t="shared" si="118"/>
        <v>-47.50867222412189</v>
      </c>
      <c r="CS63" s="156">
        <f t="shared" si="119"/>
        <v>201462.90000000002</v>
      </c>
      <c r="CT63" s="156">
        <f t="shared" si="120"/>
        <v>399440.4</v>
      </c>
      <c r="CU63" s="156">
        <f t="shared" si="121"/>
        <v>395199.85</v>
      </c>
      <c r="CV63" s="156">
        <f t="shared" si="122"/>
        <v>-4240.550000000047</v>
      </c>
      <c r="CW63" s="156">
        <f t="shared" si="123"/>
        <v>0</v>
      </c>
      <c r="CX63" s="156">
        <f t="shared" si="124"/>
        <v>-4240.550000000047</v>
      </c>
      <c r="CY63" s="156">
        <f t="shared" si="125"/>
        <v>-4240.550000000047</v>
      </c>
      <c r="CZ63" s="156">
        <f t="shared" si="126"/>
        <v>0</v>
      </c>
      <c r="DA63" s="156">
        <f t="shared" si="127"/>
        <v>0</v>
      </c>
      <c r="DB63" s="156">
        <f t="shared" si="128"/>
        <v>-4240.550000000047</v>
      </c>
      <c r="DC63" s="156">
        <f t="shared" si="129"/>
        <v>-4240.550000000047</v>
      </c>
      <c r="DD63" s="156">
        <f t="shared" si="130"/>
        <v>0</v>
      </c>
      <c r="DE63" s="156">
        <f t="shared" si="131"/>
        <v>-4240.550000000047</v>
      </c>
      <c r="DF63" s="156">
        <f t="shared" si="132"/>
        <v>340792.9</v>
      </c>
      <c r="DG63" s="156">
        <f t="shared" si="133"/>
        <v>114.53263217737351</v>
      </c>
      <c r="DH63" s="156">
        <f t="shared" si="134"/>
        <v>2.5761227970437752</v>
      </c>
      <c r="DI63" s="156">
        <f t="shared" si="135"/>
        <v>193.74241046048894</v>
      </c>
      <c r="DJ63" s="157">
        <f t="shared" si="136"/>
        <v>0</v>
      </c>
      <c r="DK63" s="156">
        <f t="shared" si="137"/>
        <v>-2.4107731665719423</v>
      </c>
      <c r="DL63" s="158">
        <f t="shared" si="138"/>
        <v>201462.90000000002</v>
      </c>
    </row>
    <row r="64" spans="1:116" ht="12.75">
      <c r="A64" s="3" t="s">
        <v>246</v>
      </c>
      <c r="B64" s="62">
        <f>B3+B5+B6+B12+B13+B14+B15+B16+B18+B23+B28++B29+B30+B31</f>
        <v>8721</v>
      </c>
      <c r="C64" s="62">
        <f>C3+C5+C6+C12+C13+C14+C15+C16+C18+C23+C28++C29+C30+C31</f>
        <v>28732464</v>
      </c>
      <c r="D64" s="62">
        <f>(D3+D5+D6+D12+D13+D14+D15+D16+D18+D23+D28+D29+D30+D31)/14</f>
        <v>2987.77</v>
      </c>
      <c r="E64" s="62">
        <f>(E3+E5+E6+E12+E13+E14+E15+E16+E18+E23+E28+E29+E30+E31)/14</f>
        <v>83.59642857142858</v>
      </c>
      <c r="F64" s="62">
        <f>(F3+F5+F6+F12+F13+F14+F15+F16+F18+F23+F28+F29+F30+F31)/14</f>
        <v>3.2142857142857144</v>
      </c>
      <c r="G64" s="62">
        <f>G3+G5+G6+G12+G13+G14+G15+G16+G18+G23+G28+G29+G30+G31</f>
        <v>219700.65</v>
      </c>
      <c r="H64" s="62">
        <f aca="true" t="shared" si="145" ref="H64:BS64">H3+H5+H6+H12+H13+H14+H15+H16+H18+H23+H28+H29+H30+H31</f>
        <v>378255.05000000005</v>
      </c>
      <c r="I64" s="62">
        <f t="shared" si="145"/>
        <v>3918.75</v>
      </c>
      <c r="J64" s="62">
        <f t="shared" si="145"/>
        <v>33014.95</v>
      </c>
      <c r="K64" s="62">
        <f t="shared" si="145"/>
        <v>20000</v>
      </c>
      <c r="L64" s="62">
        <f t="shared" si="145"/>
        <v>50000</v>
      </c>
      <c r="M64" s="62">
        <f t="shared" si="145"/>
        <v>70000</v>
      </c>
      <c r="N64" s="62">
        <f t="shared" si="145"/>
        <v>544706.3</v>
      </c>
      <c r="O64" s="62">
        <f t="shared" si="145"/>
        <v>41395.15</v>
      </c>
      <c r="P64" s="62">
        <f t="shared" si="145"/>
        <v>1647414.3</v>
      </c>
      <c r="Q64" s="62">
        <f t="shared" si="145"/>
        <v>0</v>
      </c>
      <c r="R64" s="62">
        <f t="shared" si="145"/>
        <v>0</v>
      </c>
      <c r="S64" s="62">
        <f t="shared" si="145"/>
        <v>0</v>
      </c>
      <c r="T64" s="62">
        <f t="shared" si="145"/>
        <v>0</v>
      </c>
      <c r="U64" s="62">
        <f t="shared" si="145"/>
        <v>0</v>
      </c>
      <c r="V64" s="62">
        <f t="shared" si="145"/>
        <v>0</v>
      </c>
      <c r="W64" s="62">
        <f t="shared" si="145"/>
        <v>0</v>
      </c>
      <c r="X64" s="62">
        <f t="shared" si="145"/>
        <v>0</v>
      </c>
      <c r="Y64" s="62">
        <f t="shared" si="145"/>
        <v>2938405.15</v>
      </c>
      <c r="Z64" s="62">
        <f t="shared" si="145"/>
        <v>1093231.4</v>
      </c>
      <c r="AA64" s="62">
        <f t="shared" si="145"/>
        <v>330055.25</v>
      </c>
      <c r="AB64" s="62">
        <f t="shared" si="145"/>
        <v>0</v>
      </c>
      <c r="AC64" s="62">
        <f t="shared" si="145"/>
        <v>321641.10000000003</v>
      </c>
      <c r="AD64" s="62">
        <f t="shared" si="145"/>
        <v>0</v>
      </c>
      <c r="AE64" s="62">
        <f t="shared" si="145"/>
        <v>1744927.7499999998</v>
      </c>
      <c r="AF64" s="62">
        <f t="shared" si="145"/>
        <v>0</v>
      </c>
      <c r="AG64" s="62">
        <f t="shared" si="145"/>
        <v>77717.54999999999</v>
      </c>
      <c r="AH64" s="62">
        <f t="shared" si="145"/>
        <v>0</v>
      </c>
      <c r="AI64" s="62">
        <f t="shared" si="145"/>
        <v>648066.1499999999</v>
      </c>
      <c r="AJ64" s="62">
        <f t="shared" si="145"/>
        <v>0</v>
      </c>
      <c r="AK64" s="62">
        <f t="shared" si="145"/>
        <v>5471</v>
      </c>
      <c r="AL64" s="62">
        <f t="shared" si="145"/>
        <v>26.55</v>
      </c>
      <c r="AM64" s="62">
        <f t="shared" si="145"/>
        <v>0</v>
      </c>
      <c r="AN64" s="62">
        <f t="shared" si="145"/>
        <v>0</v>
      </c>
      <c r="AO64" s="62">
        <f t="shared" si="145"/>
        <v>0</v>
      </c>
      <c r="AP64" s="62">
        <f t="shared" si="145"/>
        <v>0</v>
      </c>
      <c r="AQ64" s="62">
        <f t="shared" si="145"/>
        <v>0</v>
      </c>
      <c r="AR64" s="62">
        <f t="shared" si="145"/>
        <v>0</v>
      </c>
      <c r="AS64" s="62">
        <f t="shared" si="145"/>
        <v>0</v>
      </c>
      <c r="AT64" s="62">
        <f t="shared" si="145"/>
        <v>0</v>
      </c>
      <c r="AU64" s="62">
        <f t="shared" si="145"/>
        <v>2476208.9999999995</v>
      </c>
      <c r="AV64" s="62">
        <f t="shared" si="145"/>
        <v>2629.6</v>
      </c>
      <c r="AW64" s="62">
        <f t="shared" si="145"/>
        <v>464825.75</v>
      </c>
      <c r="AX64" s="62">
        <f t="shared" si="145"/>
        <v>1.4705392459291033E-10</v>
      </c>
      <c r="AY64" s="62">
        <f t="shared" si="145"/>
        <v>0</v>
      </c>
      <c r="AZ64" s="62">
        <f t="shared" si="145"/>
        <v>0</v>
      </c>
      <c r="BA64" s="62">
        <f t="shared" si="145"/>
        <v>0</v>
      </c>
      <c r="BB64" s="62">
        <f t="shared" si="145"/>
        <v>0</v>
      </c>
      <c r="BC64" s="62">
        <f t="shared" si="145"/>
        <v>200000</v>
      </c>
      <c r="BD64" s="62">
        <f t="shared" si="145"/>
        <v>0</v>
      </c>
      <c r="BE64" s="62">
        <f t="shared" si="145"/>
        <v>0</v>
      </c>
      <c r="BF64" s="62">
        <f t="shared" si="145"/>
        <v>200000</v>
      </c>
      <c r="BG64" s="62">
        <f t="shared" si="145"/>
        <v>0</v>
      </c>
      <c r="BH64" s="62">
        <f t="shared" si="145"/>
        <v>0</v>
      </c>
      <c r="BI64" s="62">
        <f t="shared" si="145"/>
        <v>0</v>
      </c>
      <c r="BJ64" s="62">
        <f t="shared" si="145"/>
        <v>0</v>
      </c>
      <c r="BK64" s="62">
        <f t="shared" si="145"/>
        <v>0</v>
      </c>
      <c r="BL64" s="62">
        <f t="shared" si="145"/>
        <v>0</v>
      </c>
      <c r="BM64" s="62">
        <f t="shared" si="145"/>
        <v>0</v>
      </c>
      <c r="BN64" s="62">
        <f t="shared" si="145"/>
        <v>0</v>
      </c>
      <c r="BO64" s="62">
        <f t="shared" si="145"/>
        <v>0</v>
      </c>
      <c r="BP64" s="62">
        <f t="shared" si="145"/>
        <v>0</v>
      </c>
      <c r="BQ64" s="62">
        <f t="shared" si="145"/>
        <v>0</v>
      </c>
      <c r="BR64" s="62">
        <f t="shared" si="145"/>
        <v>200000</v>
      </c>
      <c r="BS64" s="62">
        <f t="shared" si="145"/>
        <v>0</v>
      </c>
      <c r="BT64" s="62">
        <f aca="true" t="shared" si="146" ref="BT64:CI64">BT3+BT5+BT6+BT12+BT13+BT14+BT15+BT16+BT18+BT23+BT28+BT29+BT30+BT31</f>
        <v>5117837.49</v>
      </c>
      <c r="BU64" s="62">
        <f t="shared" si="146"/>
        <v>135001</v>
      </c>
      <c r="BV64" s="62">
        <f t="shared" si="146"/>
        <v>0</v>
      </c>
      <c r="BW64" s="62">
        <f t="shared" si="146"/>
        <v>0</v>
      </c>
      <c r="BX64" s="62">
        <f t="shared" si="146"/>
        <v>5252838.49</v>
      </c>
      <c r="BY64" s="62">
        <f t="shared" si="146"/>
        <v>1400604.5899999999</v>
      </c>
      <c r="BZ64" s="62">
        <f t="shared" si="146"/>
        <v>0</v>
      </c>
      <c r="CA64" s="62">
        <f t="shared" si="146"/>
        <v>3852233.8999999994</v>
      </c>
      <c r="CB64" s="62">
        <f t="shared" si="146"/>
        <v>5252838.49</v>
      </c>
      <c r="CC64" s="62">
        <f t="shared" si="146"/>
        <v>0</v>
      </c>
      <c r="CD64" s="62">
        <f t="shared" si="146"/>
        <v>-392196.15</v>
      </c>
      <c r="CE64" s="62">
        <f t="shared" si="146"/>
        <v>-392196.15</v>
      </c>
      <c r="CF64" s="62">
        <f t="shared" si="146"/>
        <v>200000</v>
      </c>
      <c r="CG64" s="62">
        <f t="shared" si="146"/>
        <v>2476208.9999999995</v>
      </c>
      <c r="CH64" s="62">
        <f t="shared" si="146"/>
        <v>-73798.79999999999</v>
      </c>
      <c r="CI64" s="62">
        <f t="shared" si="146"/>
        <v>-53798.79999999999</v>
      </c>
      <c r="CJ64" s="153">
        <f t="shared" si="110"/>
        <v>-1.96098075</v>
      </c>
      <c r="CK64" s="153">
        <f t="shared" si="111"/>
        <v>-1.96098075</v>
      </c>
      <c r="CL64" s="154">
        <f t="shared" si="112"/>
        <v>-0.1583857218837344</v>
      </c>
      <c r="CM64" s="154">
        <f t="shared" si="113"/>
        <v>-0.1583857218837344</v>
      </c>
      <c r="CN64" s="154">
        <f t="shared" si="114"/>
        <v>-0.02980313858805941</v>
      </c>
      <c r="CO64" s="154">
        <f t="shared" si="115"/>
        <v>-0.021726275932281967</v>
      </c>
      <c r="CP64" s="154">
        <f t="shared" si="116"/>
        <v>0.3414617489670782</v>
      </c>
      <c r="CQ64" s="154">
        <f t="shared" si="117"/>
        <v>0.09756049970487948</v>
      </c>
      <c r="CR64" s="155">
        <f t="shared" si="118"/>
        <v>-9.477994365829446</v>
      </c>
      <c r="CS64" s="156">
        <f t="shared" si="119"/>
        <v>3717232.9000000004</v>
      </c>
      <c r="CT64" s="156">
        <f t="shared" si="120"/>
        <v>2868405.15</v>
      </c>
      <c r="CU64" s="156">
        <f t="shared" si="121"/>
        <v>2476208.9999999995</v>
      </c>
      <c r="CV64" s="156">
        <f t="shared" si="122"/>
        <v>-392196.1500000004</v>
      </c>
      <c r="CW64" s="156">
        <f t="shared" si="123"/>
        <v>0</v>
      </c>
      <c r="CX64" s="156">
        <f t="shared" si="124"/>
        <v>-392196.1500000004</v>
      </c>
      <c r="CY64" s="156">
        <f t="shared" si="125"/>
        <v>-462196.1500000004</v>
      </c>
      <c r="CZ64" s="156">
        <f t="shared" si="126"/>
        <v>200000</v>
      </c>
      <c r="DA64" s="156">
        <f t="shared" si="127"/>
        <v>70000</v>
      </c>
      <c r="DB64" s="156">
        <f t="shared" si="128"/>
        <v>-592196.1500000004</v>
      </c>
      <c r="DC64" s="156">
        <f t="shared" si="129"/>
        <v>-592196.1500000004</v>
      </c>
      <c r="DD64" s="156">
        <f t="shared" si="130"/>
        <v>-70000</v>
      </c>
      <c r="DE64" s="156">
        <f t="shared" si="131"/>
        <v>-462196.1500000004</v>
      </c>
      <c r="DF64" s="156">
        <f t="shared" si="132"/>
        <v>1423286.65</v>
      </c>
      <c r="DG64" s="156">
        <f t="shared" si="133"/>
        <v>426.2392959522991</v>
      </c>
      <c r="DH64" s="156">
        <f t="shared" si="134"/>
        <v>-8.462194702442378</v>
      </c>
      <c r="DI64" s="156">
        <f t="shared" si="135"/>
        <v>163.20223024882466</v>
      </c>
      <c r="DJ64" s="157">
        <f t="shared" si="136"/>
        <v>22.93314986813439</v>
      </c>
      <c r="DK64" s="156">
        <f t="shared" si="137"/>
        <v>-67.90461529641101</v>
      </c>
      <c r="DL64" s="158">
        <f t="shared" si="138"/>
        <v>3717232.8999999994</v>
      </c>
    </row>
    <row r="65" spans="1:116" ht="12.75">
      <c r="A65" s="3" t="s">
        <v>236</v>
      </c>
      <c r="B65" s="62">
        <f>SUM(B60:B64)</f>
        <v>38210</v>
      </c>
      <c r="C65" s="62">
        <f aca="true" t="shared" si="147" ref="C65:BN65">SUM(C60:C64)</f>
        <v>136563571</v>
      </c>
      <c r="D65" s="62">
        <f>MEDIAN(D60:D64)</f>
        <v>3071.933333333333</v>
      </c>
      <c r="E65" s="62">
        <f>MEDIAN(E60:E64)</f>
        <v>85.95333333333332</v>
      </c>
      <c r="F65" s="62">
        <f>MEDIAN(F60:F64)</f>
        <v>3.2142857142857144</v>
      </c>
      <c r="G65" s="62">
        <f t="shared" si="147"/>
        <v>1121896.8499999999</v>
      </c>
      <c r="H65" s="62">
        <f t="shared" si="147"/>
        <v>619730.05</v>
      </c>
      <c r="I65" s="62">
        <f t="shared" si="147"/>
        <v>60081.45</v>
      </c>
      <c r="J65" s="62">
        <f t="shared" si="147"/>
        <v>41138.7</v>
      </c>
      <c r="K65" s="62">
        <f t="shared" si="147"/>
        <v>32043.25</v>
      </c>
      <c r="L65" s="62">
        <f t="shared" si="147"/>
        <v>50000</v>
      </c>
      <c r="M65" s="62">
        <f t="shared" si="147"/>
        <v>82043.25</v>
      </c>
      <c r="N65" s="62">
        <f t="shared" si="147"/>
        <v>544706.3</v>
      </c>
      <c r="O65" s="62">
        <f t="shared" si="147"/>
        <v>183052.8</v>
      </c>
      <c r="P65" s="62">
        <f t="shared" si="147"/>
        <v>12282737.21</v>
      </c>
      <c r="Q65" s="62">
        <f t="shared" si="147"/>
        <v>0</v>
      </c>
      <c r="R65" s="62">
        <f t="shared" si="147"/>
        <v>249999.99999999997</v>
      </c>
      <c r="S65" s="62">
        <f t="shared" si="147"/>
        <v>0</v>
      </c>
      <c r="T65" s="62">
        <f t="shared" si="147"/>
        <v>0</v>
      </c>
      <c r="U65" s="62">
        <f t="shared" si="147"/>
        <v>0</v>
      </c>
      <c r="V65" s="62">
        <f t="shared" si="147"/>
        <v>0</v>
      </c>
      <c r="W65" s="62">
        <f t="shared" si="147"/>
        <v>249999.99999999997</v>
      </c>
      <c r="X65" s="62">
        <f t="shared" si="147"/>
        <v>195906.19999999998</v>
      </c>
      <c r="Y65" s="62">
        <f t="shared" si="147"/>
        <v>15381292.809999999</v>
      </c>
      <c r="Z65" s="62">
        <f t="shared" si="147"/>
        <v>5695306.6</v>
      </c>
      <c r="AA65" s="62">
        <f t="shared" si="147"/>
        <v>563589.3</v>
      </c>
      <c r="AB65" s="62">
        <f t="shared" si="147"/>
        <v>26473.35</v>
      </c>
      <c r="AC65" s="62">
        <f t="shared" si="147"/>
        <v>1354790.25</v>
      </c>
      <c r="AD65" s="62">
        <f t="shared" si="147"/>
        <v>0</v>
      </c>
      <c r="AE65" s="62">
        <f t="shared" si="147"/>
        <v>7640159.5</v>
      </c>
      <c r="AF65" s="62">
        <f t="shared" si="147"/>
        <v>0</v>
      </c>
      <c r="AG65" s="62">
        <f t="shared" si="147"/>
        <v>245221.95</v>
      </c>
      <c r="AH65" s="62">
        <f t="shared" si="147"/>
        <v>12195.45</v>
      </c>
      <c r="AI65" s="62">
        <f t="shared" si="147"/>
        <v>6201217.1499999985</v>
      </c>
      <c r="AJ65" s="62">
        <f t="shared" si="147"/>
        <v>-200</v>
      </c>
      <c r="AK65" s="62">
        <f t="shared" si="147"/>
        <v>146699.6</v>
      </c>
      <c r="AL65" s="62">
        <f t="shared" si="147"/>
        <v>61946.99999999999</v>
      </c>
      <c r="AM65" s="62">
        <f t="shared" si="147"/>
        <v>0</v>
      </c>
      <c r="AN65" s="62">
        <f t="shared" si="147"/>
        <v>0</v>
      </c>
      <c r="AO65" s="62">
        <f t="shared" si="147"/>
        <v>0</v>
      </c>
      <c r="AP65" s="62">
        <f t="shared" si="147"/>
        <v>0</v>
      </c>
      <c r="AQ65" s="62">
        <f t="shared" si="147"/>
        <v>0</v>
      </c>
      <c r="AR65" s="62">
        <f t="shared" si="147"/>
        <v>0</v>
      </c>
      <c r="AS65" s="62">
        <f t="shared" si="147"/>
        <v>0</v>
      </c>
      <c r="AT65" s="62">
        <f t="shared" si="147"/>
        <v>195906.19999999998</v>
      </c>
      <c r="AU65" s="62">
        <f t="shared" si="147"/>
        <v>14490951.4</v>
      </c>
      <c r="AV65" s="62">
        <f t="shared" si="147"/>
        <v>485921.24999999994</v>
      </c>
      <c r="AW65" s="62">
        <f t="shared" si="147"/>
        <v>1376262.6600000001</v>
      </c>
      <c r="AX65" s="62">
        <f t="shared" si="147"/>
        <v>3.7897507354500704E-10</v>
      </c>
      <c r="AY65" s="62">
        <f t="shared" si="147"/>
        <v>11773.05</v>
      </c>
      <c r="AZ65" s="62">
        <f t="shared" si="147"/>
        <v>0</v>
      </c>
      <c r="BA65" s="62">
        <f t="shared" si="147"/>
        <v>0</v>
      </c>
      <c r="BB65" s="62">
        <f t="shared" si="147"/>
        <v>0</v>
      </c>
      <c r="BC65" s="62">
        <f t="shared" si="147"/>
        <v>200000</v>
      </c>
      <c r="BD65" s="62">
        <f t="shared" si="147"/>
        <v>0</v>
      </c>
      <c r="BE65" s="62">
        <f t="shared" si="147"/>
        <v>0</v>
      </c>
      <c r="BF65" s="62">
        <f t="shared" si="147"/>
        <v>200000</v>
      </c>
      <c r="BG65" s="62">
        <f t="shared" si="147"/>
        <v>0</v>
      </c>
      <c r="BH65" s="62">
        <f t="shared" si="147"/>
        <v>0</v>
      </c>
      <c r="BI65" s="62">
        <f t="shared" si="147"/>
        <v>0</v>
      </c>
      <c r="BJ65" s="62">
        <f t="shared" si="147"/>
        <v>0</v>
      </c>
      <c r="BK65" s="62">
        <f t="shared" si="147"/>
        <v>0</v>
      </c>
      <c r="BL65" s="62">
        <f t="shared" si="147"/>
        <v>0</v>
      </c>
      <c r="BM65" s="62">
        <f t="shared" si="147"/>
        <v>0</v>
      </c>
      <c r="BN65" s="62">
        <f t="shared" si="147"/>
        <v>0</v>
      </c>
      <c r="BO65" s="62">
        <f aca="true" t="shared" si="148" ref="BO65:CI65">SUM(BO60:BO64)</f>
        <v>0</v>
      </c>
      <c r="BP65" s="62">
        <f t="shared" si="148"/>
        <v>0</v>
      </c>
      <c r="BQ65" s="62">
        <f t="shared" si="148"/>
        <v>0</v>
      </c>
      <c r="BR65" s="62">
        <f t="shared" si="148"/>
        <v>200000</v>
      </c>
      <c r="BS65" s="62">
        <f t="shared" si="148"/>
        <v>0</v>
      </c>
      <c r="BT65" s="62">
        <f t="shared" si="148"/>
        <v>15413074.16</v>
      </c>
      <c r="BU65" s="62">
        <f t="shared" si="148"/>
        <v>198067.8</v>
      </c>
      <c r="BV65" s="62">
        <f t="shared" si="148"/>
        <v>0</v>
      </c>
      <c r="BW65" s="62">
        <f t="shared" si="148"/>
        <v>170335.41</v>
      </c>
      <c r="BX65" s="62">
        <f t="shared" si="148"/>
        <v>15781477.370000001</v>
      </c>
      <c r="BY65" s="62">
        <f t="shared" si="148"/>
        <v>6133522.68</v>
      </c>
      <c r="BZ65" s="62">
        <f t="shared" si="148"/>
        <v>20000</v>
      </c>
      <c r="CA65" s="62">
        <f t="shared" si="148"/>
        <v>9627954.69</v>
      </c>
      <c r="CB65" s="62">
        <f t="shared" si="148"/>
        <v>15781477.370000001</v>
      </c>
      <c r="CC65" s="62">
        <f t="shared" si="148"/>
        <v>0</v>
      </c>
      <c r="CD65" s="62">
        <f t="shared" si="148"/>
        <v>-808298.1599999999</v>
      </c>
      <c r="CE65" s="62">
        <f t="shared" si="148"/>
        <v>-558298.16</v>
      </c>
      <c r="CF65" s="62">
        <f t="shared" si="148"/>
        <v>200000</v>
      </c>
      <c r="CG65" s="62">
        <f t="shared" si="148"/>
        <v>14295045.199999997</v>
      </c>
      <c r="CH65" s="62">
        <f t="shared" si="148"/>
        <v>-161172</v>
      </c>
      <c r="CI65" s="62">
        <f t="shared" si="148"/>
        <v>-129128.75</v>
      </c>
      <c r="CJ65" s="153">
        <f t="shared" si="110"/>
        <v>-4.041490799999999</v>
      </c>
      <c r="CK65" s="153">
        <f t="shared" si="111"/>
        <v>-2.7914908</v>
      </c>
      <c r="CL65" s="154">
        <f t="shared" si="112"/>
        <v>-0.05654393873480023</v>
      </c>
      <c r="CM65" s="154">
        <f t="shared" si="113"/>
        <v>-0.03905536164376732</v>
      </c>
      <c r="CN65" s="154">
        <f t="shared" si="114"/>
        <v>-0.011274675787663828</v>
      </c>
      <c r="CO65" s="154">
        <f t="shared" si="115"/>
        <v>-0.009033112396174867</v>
      </c>
      <c r="CP65" s="154">
        <f t="shared" si="116"/>
        <v>0.2928954427181648</v>
      </c>
      <c r="CQ65" s="154">
        <f t="shared" si="117"/>
        <v>0.11439480877316337</v>
      </c>
      <c r="CR65" s="155">
        <f t="shared" si="118"/>
        <v>-16.621139285144697</v>
      </c>
      <c r="CS65" s="156">
        <f t="shared" si="119"/>
        <v>9279551.48</v>
      </c>
      <c r="CT65" s="156">
        <f t="shared" si="120"/>
        <v>15299249.559999999</v>
      </c>
      <c r="CU65" s="156">
        <f t="shared" si="121"/>
        <v>14490951.4</v>
      </c>
      <c r="CV65" s="156">
        <f t="shared" si="122"/>
        <v>-808298.1599999983</v>
      </c>
      <c r="CW65" s="156">
        <f t="shared" si="123"/>
        <v>0</v>
      </c>
      <c r="CX65" s="156">
        <f t="shared" si="124"/>
        <v>-808298.1599999983</v>
      </c>
      <c r="CY65" s="156">
        <f t="shared" si="125"/>
        <v>-890341.4099999983</v>
      </c>
      <c r="CZ65" s="156">
        <f t="shared" si="126"/>
        <v>200000</v>
      </c>
      <c r="DA65" s="156">
        <f t="shared" si="127"/>
        <v>82043.25</v>
      </c>
      <c r="DB65" s="156">
        <f t="shared" si="128"/>
        <v>-1008298.1599999983</v>
      </c>
      <c r="DC65" s="156">
        <f t="shared" si="129"/>
        <v>-758298.1599999983</v>
      </c>
      <c r="DD65" s="156">
        <f t="shared" si="130"/>
        <v>-82043.25</v>
      </c>
      <c r="DE65" s="156">
        <f t="shared" si="131"/>
        <v>-890341.4099999983</v>
      </c>
      <c r="DF65" s="156">
        <f t="shared" si="132"/>
        <v>6285369.249999999</v>
      </c>
      <c r="DG65" s="156">
        <f t="shared" si="133"/>
        <v>242.85662077990057</v>
      </c>
      <c r="DH65" s="156">
        <f t="shared" si="134"/>
        <v>-4.218058099973828</v>
      </c>
      <c r="DI65" s="156">
        <f t="shared" si="135"/>
        <v>164.4954004187385</v>
      </c>
      <c r="DJ65" s="157">
        <f t="shared" si="136"/>
        <v>5.234231876472128</v>
      </c>
      <c r="DK65" s="156">
        <f t="shared" si="137"/>
        <v>-26.388331850300922</v>
      </c>
      <c r="DL65" s="158">
        <f t="shared" si="138"/>
        <v>9259551.479999999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Dezember 2001&amp;RKennzahlen Jahr 1998</oddHeader>
    <oddFooter>&amp;L&amp;8BHP Bern&amp;R&amp;8&amp;F/&amp;A/&amp;Pvon &amp;N</oddFooter>
  </headerFooter>
  <colBreaks count="3" manualBreakCount="3">
    <brk id="12" max="65535" man="1"/>
    <brk id="21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1"/>
  <dimension ref="A1:DO65"/>
  <sheetViews>
    <sheetView workbookViewId="0" topLeftCell="A1">
      <pane xSplit="6" ySplit="2" topLeftCell="AH12" activePane="bottomRight" state="frozen"/>
      <selection pane="topLeft" activeCell="N5" sqref="N5"/>
      <selection pane="topRight" activeCell="N5" sqref="N5"/>
      <selection pane="bottomLeft" activeCell="N5" sqref="N5"/>
      <selection pane="bottomRight" activeCell="AI29" sqref="AI29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2.8515625" style="3" customWidth="1"/>
    <col min="5" max="5" width="10.2812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48"/>
      <c r="B1" s="23" t="s">
        <v>201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137</v>
      </c>
      <c r="BG1" s="21"/>
      <c r="BH1" s="21"/>
      <c r="BI1" s="21"/>
      <c r="BJ1" s="21"/>
      <c r="BK1" s="21"/>
      <c r="BL1" s="21" t="s">
        <v>137</v>
      </c>
      <c r="BM1" s="21"/>
      <c r="BN1" s="21"/>
      <c r="BO1" s="21"/>
      <c r="BP1" s="21"/>
      <c r="BQ1" s="21" t="s">
        <v>137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</row>
    <row r="2" spans="1:118" s="1" customFormat="1" ht="89.25" customHeight="1">
      <c r="A2" s="49"/>
      <c r="B2" s="40" t="s">
        <v>241</v>
      </c>
      <c r="C2" s="20" t="s">
        <v>37</v>
      </c>
      <c r="D2" s="20" t="s">
        <v>68</v>
      </c>
      <c r="E2" s="20" t="s">
        <v>52</v>
      </c>
      <c r="F2" s="133" t="s">
        <v>248</v>
      </c>
      <c r="G2" s="128" t="s">
        <v>214</v>
      </c>
      <c r="H2" s="54" t="s">
        <v>76</v>
      </c>
      <c r="I2" s="54" t="s">
        <v>77</v>
      </c>
      <c r="J2" s="54" t="s">
        <v>78</v>
      </c>
      <c r="K2" s="54" t="s">
        <v>79</v>
      </c>
      <c r="L2" s="54" t="s">
        <v>80</v>
      </c>
      <c r="M2" s="54" t="s">
        <v>81</v>
      </c>
      <c r="N2" s="54" t="s">
        <v>82</v>
      </c>
      <c r="O2" s="54" t="s">
        <v>83</v>
      </c>
      <c r="P2" s="54" t="s">
        <v>84</v>
      </c>
      <c r="Q2" s="54" t="s">
        <v>85</v>
      </c>
      <c r="R2" s="54" t="s">
        <v>86</v>
      </c>
      <c r="S2" s="54" t="s">
        <v>87</v>
      </c>
      <c r="T2" s="54" t="s">
        <v>88</v>
      </c>
      <c r="U2" s="54" t="s">
        <v>89</v>
      </c>
      <c r="V2" s="54" t="s">
        <v>90</v>
      </c>
      <c r="W2" s="54" t="s">
        <v>91</v>
      </c>
      <c r="X2" s="54" t="s">
        <v>92</v>
      </c>
      <c r="Y2" s="54" t="s">
        <v>93</v>
      </c>
      <c r="Z2" s="54" t="s">
        <v>94</v>
      </c>
      <c r="AA2" s="54" t="s">
        <v>95</v>
      </c>
      <c r="AB2" s="54" t="s">
        <v>96</v>
      </c>
      <c r="AC2" s="54" t="s">
        <v>213</v>
      </c>
      <c r="AD2" s="54" t="s">
        <v>97</v>
      </c>
      <c r="AE2" s="54" t="s">
        <v>98</v>
      </c>
      <c r="AF2" s="54" t="s">
        <v>99</v>
      </c>
      <c r="AG2" s="54" t="s">
        <v>100</v>
      </c>
      <c r="AH2" s="54" t="s">
        <v>101</v>
      </c>
      <c r="AI2" s="54" t="s">
        <v>102</v>
      </c>
      <c r="AJ2" s="54" t="s">
        <v>103</v>
      </c>
      <c r="AK2" s="54" t="s">
        <v>104</v>
      </c>
      <c r="AL2" s="54" t="s">
        <v>105</v>
      </c>
      <c r="AM2" s="54" t="s">
        <v>106</v>
      </c>
      <c r="AN2" s="36" t="s">
        <v>107</v>
      </c>
      <c r="AO2" s="36" t="s">
        <v>108</v>
      </c>
      <c r="AP2" s="36" t="s">
        <v>109</v>
      </c>
      <c r="AQ2" s="36" t="s">
        <v>110</v>
      </c>
      <c r="AR2" s="36" t="s">
        <v>111</v>
      </c>
      <c r="AS2" s="36" t="s">
        <v>112</v>
      </c>
      <c r="AT2" s="36" t="s">
        <v>113</v>
      </c>
      <c r="AU2" s="36" t="s">
        <v>114</v>
      </c>
      <c r="AV2" s="36" t="s">
        <v>115</v>
      </c>
      <c r="AW2" s="36" t="s">
        <v>116</v>
      </c>
      <c r="AX2" s="36" t="s">
        <v>117</v>
      </c>
      <c r="AY2" s="54" t="s">
        <v>138</v>
      </c>
      <c r="AZ2" s="54" t="s">
        <v>118</v>
      </c>
      <c r="BA2" s="54" t="s">
        <v>119</v>
      </c>
      <c r="BB2" s="54" t="s">
        <v>120</v>
      </c>
      <c r="BC2" s="54" t="s">
        <v>121</v>
      </c>
      <c r="BD2" s="54" t="s">
        <v>122</v>
      </c>
      <c r="BE2" s="54" t="s">
        <v>123</v>
      </c>
      <c r="BF2" s="54" t="s">
        <v>124</v>
      </c>
      <c r="BG2" s="54" t="s">
        <v>125</v>
      </c>
      <c r="BH2" s="54" t="s">
        <v>126</v>
      </c>
      <c r="BI2" s="54" t="s">
        <v>127</v>
      </c>
      <c r="BJ2" s="54" t="s">
        <v>128</v>
      </c>
      <c r="BK2" s="54" t="s">
        <v>129</v>
      </c>
      <c r="BL2" s="54" t="s">
        <v>131</v>
      </c>
      <c r="BM2" s="54" t="s">
        <v>130</v>
      </c>
      <c r="BN2" s="54" t="s">
        <v>132</v>
      </c>
      <c r="BO2" s="54" t="s">
        <v>133</v>
      </c>
      <c r="BP2" s="54" t="s">
        <v>134</v>
      </c>
      <c r="BQ2" s="54" t="s">
        <v>135</v>
      </c>
      <c r="BR2" s="54" t="s">
        <v>136</v>
      </c>
      <c r="BS2" s="54" t="s">
        <v>117</v>
      </c>
      <c r="BT2" s="36" t="s">
        <v>139</v>
      </c>
      <c r="BU2" s="36" t="s">
        <v>140</v>
      </c>
      <c r="BV2" s="36" t="s">
        <v>145</v>
      </c>
      <c r="BW2" s="36" t="s">
        <v>141</v>
      </c>
      <c r="BX2" s="36" t="s">
        <v>142</v>
      </c>
      <c r="BY2" s="36" t="s">
        <v>143</v>
      </c>
      <c r="BZ2" s="36" t="s">
        <v>144</v>
      </c>
      <c r="CA2" s="36" t="s">
        <v>146</v>
      </c>
      <c r="CB2" s="36" t="s">
        <v>147</v>
      </c>
      <c r="CC2" s="36" t="s">
        <v>117</v>
      </c>
      <c r="CD2" s="129" t="s">
        <v>148</v>
      </c>
      <c r="CE2" s="129" t="s">
        <v>149</v>
      </c>
      <c r="CF2" s="129" t="s">
        <v>60</v>
      </c>
      <c r="CG2" s="129" t="s">
        <v>150</v>
      </c>
      <c r="CH2" s="129" t="s">
        <v>151</v>
      </c>
      <c r="CI2" s="129" t="s">
        <v>152</v>
      </c>
      <c r="CJ2" s="129" t="s">
        <v>46</v>
      </c>
      <c r="CK2" s="129" t="s">
        <v>237</v>
      </c>
      <c r="CL2" s="129" t="s">
        <v>45</v>
      </c>
      <c r="CM2" s="129" t="s">
        <v>69</v>
      </c>
      <c r="CN2" s="129" t="s">
        <v>43</v>
      </c>
      <c r="CO2" s="129" t="s">
        <v>44</v>
      </c>
      <c r="CP2" s="129" t="s">
        <v>153</v>
      </c>
      <c r="CQ2" s="129" t="s">
        <v>155</v>
      </c>
      <c r="CR2" s="129" t="s">
        <v>154</v>
      </c>
      <c r="CS2" s="129" t="s">
        <v>160</v>
      </c>
      <c r="CT2" s="129" t="s">
        <v>163</v>
      </c>
      <c r="CU2" s="129" t="s">
        <v>164</v>
      </c>
      <c r="CV2" s="129" t="s">
        <v>162</v>
      </c>
      <c r="CW2" s="129" t="s">
        <v>166</v>
      </c>
      <c r="CX2" s="129" t="s">
        <v>148</v>
      </c>
      <c r="CY2" s="129" t="s">
        <v>167</v>
      </c>
      <c r="CZ2" s="129" t="s">
        <v>172</v>
      </c>
      <c r="DA2" s="129" t="s">
        <v>177</v>
      </c>
      <c r="DB2" s="129" t="s">
        <v>178</v>
      </c>
      <c r="DC2" s="129" t="s">
        <v>251</v>
      </c>
      <c r="DD2" s="129" t="s">
        <v>180</v>
      </c>
      <c r="DE2" s="129" t="s">
        <v>183</v>
      </c>
      <c r="DF2" s="129" t="s">
        <v>189</v>
      </c>
      <c r="DG2" s="129" t="s">
        <v>197</v>
      </c>
      <c r="DH2" s="129" t="s">
        <v>193</v>
      </c>
      <c r="DI2" s="129" t="s">
        <v>194</v>
      </c>
      <c r="DJ2" s="129" t="s">
        <v>195</v>
      </c>
      <c r="DK2" s="129" t="s">
        <v>198</v>
      </c>
      <c r="DL2" s="129" t="s">
        <v>239</v>
      </c>
      <c r="DM2" s="159" t="s">
        <v>249</v>
      </c>
      <c r="DN2" s="130"/>
    </row>
    <row r="3" spans="1:118" s="5" customFormat="1" ht="12.75" customHeight="1">
      <c r="A3" s="50" t="s">
        <v>38</v>
      </c>
      <c r="B3" s="6">
        <v>177</v>
      </c>
      <c r="C3" s="163">
        <v>420711</v>
      </c>
      <c r="D3" s="63">
        <v>2376.9</v>
      </c>
      <c r="E3" s="166">
        <v>66.3</v>
      </c>
      <c r="F3" s="125">
        <v>2</v>
      </c>
      <c r="G3" s="131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f aca="true" t="shared" si="0" ref="M3:M31">SUM(K3:L3)</f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0</v>
      </c>
      <c r="X3" s="43">
        <v>0</v>
      </c>
      <c r="Y3" s="43">
        <f aca="true" t="shared" si="2" ref="Y3:Y14">SUM(G3:X3)-M3-W3</f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f aca="true" t="shared" si="3" ref="AE3:AE14">SUM(Z3:AD3)</f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3"/>
      <c r="AZ3" s="43"/>
      <c r="BA3" s="43"/>
      <c r="BB3" s="43"/>
      <c r="BC3" s="43"/>
      <c r="BD3" s="43"/>
      <c r="BE3" s="43"/>
      <c r="BF3" s="43">
        <f aca="true" t="shared" si="7" ref="BF3:BF14">SUM(AZ3:BE3)</f>
        <v>0</v>
      </c>
      <c r="BG3" s="43"/>
      <c r="BH3" s="43"/>
      <c r="BI3" s="43"/>
      <c r="BJ3" s="43"/>
      <c r="BK3" s="43"/>
      <c r="BL3" s="43"/>
      <c r="BM3" s="43"/>
      <c r="BN3" s="43"/>
      <c r="BO3" s="43">
        <f aca="true" t="shared" si="8" ref="BO3:BO14">SUM(BG3:BN3)</f>
        <v>0</v>
      </c>
      <c r="BP3" s="43"/>
      <c r="BQ3" s="43"/>
      <c r="BR3" s="43"/>
      <c r="BS3" s="43">
        <f aca="true" t="shared" si="9" ref="BS3:BS14">+BF3-BO3+BP3+BQ3-BR3</f>
        <v>0</v>
      </c>
      <c r="BT3" s="4"/>
      <c r="BU3" s="4"/>
      <c r="BV3" s="4"/>
      <c r="BW3" s="4"/>
      <c r="BX3" s="4">
        <f aca="true" t="shared" si="10" ref="BX3:BX14">SUM(BT3:BW3)</f>
        <v>0</v>
      </c>
      <c r="BY3" s="4"/>
      <c r="BZ3" s="4"/>
      <c r="CA3" s="4"/>
      <c r="CB3" s="4">
        <f aca="true" t="shared" si="11" ref="CB3:CB14">SUM(BY3:CA3)</f>
        <v>0</v>
      </c>
      <c r="CC3" s="4">
        <f aca="true" t="shared" si="12" ref="CC3:CC14">BX3-CB3</f>
        <v>0</v>
      </c>
      <c r="CD3" s="74">
        <f aca="true" t="shared" si="13" ref="CD3:CD14">K3+L3+AV3-AW3</f>
        <v>0</v>
      </c>
      <c r="CE3" s="76">
        <f aca="true" t="shared" si="14" ref="CE3:CE14">CD3+W3-AS3</f>
        <v>0</v>
      </c>
      <c r="CF3" s="76">
        <f aca="true" t="shared" si="15" ref="CF3:CF14">BR3-BP3</f>
        <v>0</v>
      </c>
      <c r="CG3" s="76">
        <f>AU3-AM3-AT3-AS3</f>
        <v>0</v>
      </c>
      <c r="CH3" s="76">
        <f aca="true" t="shared" si="16" ref="CH3:CH14">I3-AG3+AY3+AH3+BQ3</f>
        <v>0</v>
      </c>
      <c r="CI3" s="37">
        <f aca="true" t="shared" si="17" ref="CI3:CI14">CH3+K3</f>
        <v>0</v>
      </c>
      <c r="CJ3" s="59" t="str">
        <f>IF(CF3=0,"-",(CD3/CF3))</f>
        <v>-</v>
      </c>
      <c r="CK3" s="59" t="str">
        <f>IF(CF3=0,"-",(CE3/CF3))</f>
        <v>-</v>
      </c>
      <c r="CL3" s="141" t="str">
        <f>IF(CG3=0,"-",(CD3/CG3*1))</f>
        <v>-</v>
      </c>
      <c r="CM3" s="141" t="str">
        <f>IF(CE3=0,"-",(CE3/CG3))</f>
        <v>-</v>
      </c>
      <c r="CN3" s="141" t="str">
        <f>IF(CG3=0,"-",(CH3/CG3))</f>
        <v>-</v>
      </c>
      <c r="CO3" s="141" t="str">
        <f>IF(CG3=0,"-",(CI3/CG3))</f>
        <v>-</v>
      </c>
      <c r="CP3" s="141" t="str">
        <f>IF(BU3+K3+L3=0,"-",((K3+L3)/(BU3+K3+L3)))</f>
        <v>-</v>
      </c>
      <c r="CQ3" s="141" t="str">
        <f>IF(BU3+K3+L3=0,"-",((K3)/(BU3+K3+L3)))</f>
        <v>-</v>
      </c>
      <c r="CR3" s="142" t="str">
        <f>IF(CE3=0,"-",(CS3/CE3))</f>
        <v>-</v>
      </c>
      <c r="CS3" s="76">
        <f>BT3-BY3</f>
        <v>0</v>
      </c>
      <c r="CT3" s="80">
        <f aca="true" t="shared" si="18" ref="CT3:CT14">Y3-K3-L3-V3</f>
        <v>0</v>
      </c>
      <c r="CU3" s="80">
        <f aca="true" t="shared" si="19" ref="CU3:CU14">AU3-AR3</f>
        <v>0</v>
      </c>
      <c r="CV3" s="80">
        <f aca="true" t="shared" si="20" ref="CV3:CV14">CU3-CT3</f>
        <v>0</v>
      </c>
      <c r="CW3" s="80">
        <f aca="true" t="shared" si="21" ref="CW3:CW14">-V3+AR3</f>
        <v>0</v>
      </c>
      <c r="CX3" s="80">
        <f aca="true" t="shared" si="22" ref="CX3:CX14">CV3+CW3</f>
        <v>0</v>
      </c>
      <c r="CY3" s="80">
        <f aca="true" t="shared" si="23" ref="CY3:CY14">CX3-K3-L3</f>
        <v>0</v>
      </c>
      <c r="CZ3" s="80">
        <f aca="true" t="shared" si="24" ref="CZ3:CZ14">BR3-BP3</f>
        <v>0</v>
      </c>
      <c r="DA3" s="80">
        <f aca="true" t="shared" si="25" ref="DA3:DA14">K3+L3</f>
        <v>0</v>
      </c>
      <c r="DB3" s="80">
        <f aca="true" t="shared" si="26" ref="DB3:DB14">-CZ3+DA3+CY3</f>
        <v>0</v>
      </c>
      <c r="DC3" s="80">
        <f>-CZ3+DA3+CY3+W3-AS3</f>
        <v>0</v>
      </c>
      <c r="DD3" s="80">
        <f aca="true" t="shared" si="27" ref="DD3:DD14">-BP3-DA3</f>
        <v>0</v>
      </c>
      <c r="DE3" s="80">
        <f aca="true" t="shared" si="28" ref="DE3:DE14">DB3+DD3+BR3</f>
        <v>0</v>
      </c>
      <c r="DF3" s="80">
        <f aca="true" t="shared" si="29" ref="DF3:DF14">Z3+AA3+AB3</f>
        <v>0</v>
      </c>
      <c r="DG3" s="80">
        <f aca="true" t="shared" si="30" ref="DG3:DG14">CS3/B3</f>
        <v>0</v>
      </c>
      <c r="DH3" s="80">
        <f aca="true" t="shared" si="31" ref="DH3:DH14">CH3/B3</f>
        <v>0</v>
      </c>
      <c r="DI3" s="80">
        <f aca="true" t="shared" si="32" ref="DI3:DI14">DF3/B3</f>
        <v>0</v>
      </c>
      <c r="DJ3" s="81">
        <f aca="true" t="shared" si="33" ref="DJ3:DJ14">CZ3/B3</f>
        <v>0</v>
      </c>
      <c r="DK3" s="76">
        <f aca="true" t="shared" si="34" ref="DK3:DK14">DB3/B3</f>
        <v>0</v>
      </c>
      <c r="DL3" s="145">
        <f>CA3-BW3-BU3</f>
        <v>0</v>
      </c>
      <c r="DM3" s="160"/>
      <c r="DN3" s="65"/>
    </row>
    <row r="4" spans="1:118" ht="12.75">
      <c r="A4" s="51" t="s">
        <v>0</v>
      </c>
      <c r="B4" s="38">
        <v>1983</v>
      </c>
      <c r="C4" s="164">
        <v>6400847</v>
      </c>
      <c r="D4" s="66">
        <v>3227.86</v>
      </c>
      <c r="E4" s="167">
        <v>90.03</v>
      </c>
      <c r="F4" s="126">
        <v>0</v>
      </c>
      <c r="G4" s="13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3">
        <f t="shared" si="0"/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0</v>
      </c>
      <c r="X4" s="42">
        <v>0</v>
      </c>
      <c r="Y4" s="43">
        <f t="shared" si="2"/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3">
        <f t="shared" si="3"/>
        <v>0</v>
      </c>
      <c r="AF4" s="42">
        <v>0</v>
      </c>
      <c r="AG4" s="42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0</v>
      </c>
      <c r="AT4" s="38">
        <v>0</v>
      </c>
      <c r="AU4" s="4">
        <f t="shared" si="5"/>
        <v>0</v>
      </c>
      <c r="AV4" s="38">
        <v>0</v>
      </c>
      <c r="AW4" s="38">
        <v>0</v>
      </c>
      <c r="AX4" s="4">
        <f t="shared" si="6"/>
        <v>0</v>
      </c>
      <c r="AY4" s="42"/>
      <c r="AZ4" s="42"/>
      <c r="BA4" s="42"/>
      <c r="BB4" s="42"/>
      <c r="BC4" s="42"/>
      <c r="BD4" s="42"/>
      <c r="BE4" s="42"/>
      <c r="BF4" s="43">
        <f t="shared" si="7"/>
        <v>0</v>
      </c>
      <c r="BG4" s="42"/>
      <c r="BH4" s="42"/>
      <c r="BI4" s="42"/>
      <c r="BJ4" s="42"/>
      <c r="BK4" s="42"/>
      <c r="BL4" s="42"/>
      <c r="BM4" s="42"/>
      <c r="BN4" s="42"/>
      <c r="BO4" s="43">
        <f t="shared" si="8"/>
        <v>0</v>
      </c>
      <c r="BP4" s="42"/>
      <c r="BQ4" s="42"/>
      <c r="BR4" s="42"/>
      <c r="BS4" s="43">
        <f t="shared" si="9"/>
        <v>0</v>
      </c>
      <c r="BT4" s="38"/>
      <c r="BU4" s="38"/>
      <c r="BV4" s="38"/>
      <c r="BW4" s="38"/>
      <c r="BX4" s="4">
        <f t="shared" si="10"/>
        <v>0</v>
      </c>
      <c r="BY4" s="38"/>
      <c r="BZ4" s="38"/>
      <c r="CA4" s="38"/>
      <c r="CB4" s="4">
        <f t="shared" si="11"/>
        <v>0</v>
      </c>
      <c r="CC4" s="4">
        <f t="shared" si="12"/>
        <v>0</v>
      </c>
      <c r="CD4" s="74">
        <f t="shared" si="13"/>
        <v>0</v>
      </c>
      <c r="CE4" s="76">
        <f t="shared" si="14"/>
        <v>0</v>
      </c>
      <c r="CF4" s="76">
        <f t="shared" si="15"/>
        <v>0</v>
      </c>
      <c r="CG4" s="76">
        <f aca="true" t="shared" si="35" ref="CG4:CG31">AU4-AM4-AT4-AS4</f>
        <v>0</v>
      </c>
      <c r="CH4" s="76">
        <f t="shared" si="16"/>
        <v>0</v>
      </c>
      <c r="CI4" s="37">
        <f t="shared" si="17"/>
        <v>0</v>
      </c>
      <c r="CJ4" s="59" t="str">
        <f aca="true" t="shared" si="36" ref="CJ4:CJ31">IF(CF4=0,"-",(CD4/CF4))</f>
        <v>-</v>
      </c>
      <c r="CK4" s="59" t="str">
        <f aca="true" t="shared" si="37" ref="CK4:CK31">IF(CF4=0,"-",(CE4/CF4))</f>
        <v>-</v>
      </c>
      <c r="CL4" s="141" t="str">
        <f aca="true" t="shared" si="38" ref="CL4:CL31">IF(CG4=0,"-",(CD4/CG4*1))</f>
        <v>-</v>
      </c>
      <c r="CM4" s="141" t="str">
        <f aca="true" t="shared" si="39" ref="CM4:CM31">IF(CE4=0,"-",(CE4/CG4))</f>
        <v>-</v>
      </c>
      <c r="CN4" s="141" t="str">
        <f aca="true" t="shared" si="40" ref="CN4:CN31">IF(CG4=0,"-",(CH4/CG4))</f>
        <v>-</v>
      </c>
      <c r="CO4" s="141" t="str">
        <f aca="true" t="shared" si="41" ref="CO4:CO31">IF(CG4=0,"-",(CI4/CG4))</f>
        <v>-</v>
      </c>
      <c r="CP4" s="141" t="str">
        <f aca="true" t="shared" si="42" ref="CP4:CP31">IF(BU4+K4+L4=0,"-",((K4+L4)/(BU4+K4+L4)))</f>
        <v>-</v>
      </c>
      <c r="CQ4" s="141" t="str">
        <f aca="true" t="shared" si="43" ref="CQ4:CQ31">IF(BU4+K4+L4=0,"-",((K4)/(BU4+K4+L4)))</f>
        <v>-</v>
      </c>
      <c r="CR4" s="142" t="str">
        <f aca="true" t="shared" si="44" ref="CR4:CR31">IF(CE4=0,"-",(CS4/CE4))</f>
        <v>-</v>
      </c>
      <c r="CS4" s="76">
        <f aca="true" t="shared" si="45" ref="CS4:CS31">BT4-BY4</f>
        <v>0</v>
      </c>
      <c r="CT4" s="80">
        <f t="shared" si="18"/>
        <v>0</v>
      </c>
      <c r="CU4" s="80">
        <f t="shared" si="19"/>
        <v>0</v>
      </c>
      <c r="CV4" s="80">
        <f t="shared" si="20"/>
        <v>0</v>
      </c>
      <c r="CW4" s="80">
        <f t="shared" si="21"/>
        <v>0</v>
      </c>
      <c r="CX4" s="80">
        <f t="shared" si="22"/>
        <v>0</v>
      </c>
      <c r="CY4" s="80">
        <f t="shared" si="23"/>
        <v>0</v>
      </c>
      <c r="CZ4" s="80">
        <f t="shared" si="24"/>
        <v>0</v>
      </c>
      <c r="DA4" s="80">
        <f t="shared" si="25"/>
        <v>0</v>
      </c>
      <c r="DB4" s="80">
        <f t="shared" si="26"/>
        <v>0</v>
      </c>
      <c r="DC4" s="80">
        <f aca="true" t="shared" si="46" ref="DC4:DC31">-CZ4+DA4+CY4+W4-AS4</f>
        <v>0</v>
      </c>
      <c r="DD4" s="80">
        <f t="shared" si="27"/>
        <v>0</v>
      </c>
      <c r="DE4" s="80">
        <f t="shared" si="28"/>
        <v>0</v>
      </c>
      <c r="DF4" s="80">
        <f t="shared" si="29"/>
        <v>0</v>
      </c>
      <c r="DG4" s="80">
        <f t="shared" si="30"/>
        <v>0</v>
      </c>
      <c r="DH4" s="80">
        <f t="shared" si="31"/>
        <v>0</v>
      </c>
      <c r="DI4" s="80">
        <f t="shared" si="32"/>
        <v>0</v>
      </c>
      <c r="DJ4" s="81">
        <f t="shared" si="33"/>
        <v>0</v>
      </c>
      <c r="DK4" s="76">
        <f t="shared" si="34"/>
        <v>0</v>
      </c>
      <c r="DL4" s="145">
        <f>CA4-BW4-BU4</f>
        <v>0</v>
      </c>
      <c r="DM4" s="160"/>
      <c r="DN4" s="68"/>
    </row>
    <row r="5" spans="1:118" ht="12.75">
      <c r="A5" s="52" t="s">
        <v>32</v>
      </c>
      <c r="B5" s="4">
        <v>398</v>
      </c>
      <c r="C5" s="76">
        <v>1499337</v>
      </c>
      <c r="D5" s="69">
        <v>3767.18</v>
      </c>
      <c r="E5" s="143">
        <v>105.07</v>
      </c>
      <c r="F5" s="8">
        <v>3</v>
      </c>
      <c r="G5" s="131">
        <f>(G42/($B$5+$B$28)*$B$5)</f>
        <v>10013.366454891995</v>
      </c>
      <c r="H5" s="131">
        <f aca="true" t="shared" si="47" ref="H5:BU5">(H42/($B$5+$B$28)*$B$5)</f>
        <v>1578.7754764930114</v>
      </c>
      <c r="I5" s="131">
        <f t="shared" si="47"/>
        <v>0</v>
      </c>
      <c r="J5" s="131">
        <f t="shared" si="47"/>
        <v>0</v>
      </c>
      <c r="K5" s="131">
        <f t="shared" si="47"/>
        <v>0</v>
      </c>
      <c r="L5" s="131">
        <f t="shared" si="47"/>
        <v>0</v>
      </c>
      <c r="M5" s="43">
        <f t="shared" si="0"/>
        <v>0</v>
      </c>
      <c r="N5" s="131">
        <f t="shared" si="47"/>
        <v>0</v>
      </c>
      <c r="O5" s="131">
        <f t="shared" si="47"/>
        <v>0</v>
      </c>
      <c r="P5" s="131">
        <f t="shared" si="47"/>
        <v>180947.13468869124</v>
      </c>
      <c r="Q5" s="131">
        <f t="shared" si="47"/>
        <v>0</v>
      </c>
      <c r="R5" s="131">
        <f t="shared" si="47"/>
        <v>0</v>
      </c>
      <c r="S5" s="131">
        <f t="shared" si="47"/>
        <v>0</v>
      </c>
      <c r="T5" s="131">
        <f t="shared" si="47"/>
        <v>0</v>
      </c>
      <c r="U5" s="131">
        <f t="shared" si="47"/>
        <v>0</v>
      </c>
      <c r="V5" s="131">
        <f t="shared" si="47"/>
        <v>0</v>
      </c>
      <c r="W5" s="43">
        <f t="shared" si="1"/>
        <v>0</v>
      </c>
      <c r="X5" s="131">
        <f t="shared" si="47"/>
        <v>0</v>
      </c>
      <c r="Y5" s="43">
        <f t="shared" si="2"/>
        <v>192539.27662007624</v>
      </c>
      <c r="Z5" s="131">
        <f t="shared" si="47"/>
        <v>64624.12477763659</v>
      </c>
      <c r="AA5" s="131">
        <f t="shared" si="47"/>
        <v>5442.460355781448</v>
      </c>
      <c r="AB5" s="131">
        <f t="shared" si="47"/>
        <v>0</v>
      </c>
      <c r="AC5" s="131">
        <f t="shared" si="47"/>
        <v>8766.493646759847</v>
      </c>
      <c r="AD5" s="131">
        <f t="shared" si="47"/>
        <v>0</v>
      </c>
      <c r="AE5" s="43">
        <f t="shared" si="3"/>
        <v>78833.07878017788</v>
      </c>
      <c r="AF5" s="131">
        <f t="shared" si="47"/>
        <v>0</v>
      </c>
      <c r="AG5" s="131">
        <f t="shared" si="47"/>
        <v>1203.8109275730624</v>
      </c>
      <c r="AH5" s="131">
        <f t="shared" si="47"/>
        <v>0</v>
      </c>
      <c r="AI5" s="131">
        <f t="shared" si="47"/>
        <v>67926.96848792884</v>
      </c>
      <c r="AJ5" s="131">
        <f t="shared" si="47"/>
        <v>0</v>
      </c>
      <c r="AK5" s="131">
        <f t="shared" si="47"/>
        <v>1630.4345616264295</v>
      </c>
      <c r="AL5" s="131">
        <f t="shared" si="47"/>
        <v>0</v>
      </c>
      <c r="AM5" s="131">
        <f t="shared" si="47"/>
        <v>0</v>
      </c>
      <c r="AN5" s="131">
        <f t="shared" si="47"/>
        <v>0</v>
      </c>
      <c r="AO5" s="131">
        <f t="shared" si="47"/>
        <v>0</v>
      </c>
      <c r="AP5" s="131">
        <f t="shared" si="47"/>
        <v>0</v>
      </c>
      <c r="AQ5" s="131">
        <f t="shared" si="47"/>
        <v>0</v>
      </c>
      <c r="AR5" s="131">
        <f t="shared" si="47"/>
        <v>0</v>
      </c>
      <c r="AS5" s="4">
        <f t="shared" si="4"/>
        <v>0</v>
      </c>
      <c r="AT5" s="131">
        <f t="shared" si="47"/>
        <v>0</v>
      </c>
      <c r="AU5" s="4">
        <f t="shared" si="5"/>
        <v>149594.2927573062</v>
      </c>
      <c r="AV5" s="131">
        <f t="shared" si="47"/>
        <v>0</v>
      </c>
      <c r="AW5" s="131">
        <f t="shared" si="47"/>
        <v>42944.983862770016</v>
      </c>
      <c r="AX5" s="4">
        <f t="shared" si="6"/>
        <v>0</v>
      </c>
      <c r="AY5" s="131">
        <f t="shared" si="47"/>
        <v>0</v>
      </c>
      <c r="AZ5" s="131">
        <f t="shared" si="47"/>
        <v>0</v>
      </c>
      <c r="BA5" s="131">
        <f t="shared" si="47"/>
        <v>0</v>
      </c>
      <c r="BB5" s="131">
        <f t="shared" si="47"/>
        <v>0</v>
      </c>
      <c r="BC5" s="131">
        <f t="shared" si="47"/>
        <v>0</v>
      </c>
      <c r="BD5" s="131">
        <f t="shared" si="47"/>
        <v>0</v>
      </c>
      <c r="BE5" s="131">
        <f t="shared" si="47"/>
        <v>0</v>
      </c>
      <c r="BF5" s="43">
        <f t="shared" si="7"/>
        <v>0</v>
      </c>
      <c r="BG5" s="131">
        <f t="shared" si="47"/>
        <v>0</v>
      </c>
      <c r="BH5" s="131">
        <f t="shared" si="47"/>
        <v>0</v>
      </c>
      <c r="BI5" s="131">
        <f t="shared" si="47"/>
        <v>0</v>
      </c>
      <c r="BJ5" s="131">
        <f t="shared" si="47"/>
        <v>0</v>
      </c>
      <c r="BK5" s="131">
        <f t="shared" si="47"/>
        <v>0</v>
      </c>
      <c r="BL5" s="131">
        <f t="shared" si="47"/>
        <v>0</v>
      </c>
      <c r="BM5" s="131">
        <f t="shared" si="47"/>
        <v>0</v>
      </c>
      <c r="BN5" s="131">
        <f t="shared" si="47"/>
        <v>0</v>
      </c>
      <c r="BO5" s="43">
        <f t="shared" si="8"/>
        <v>0</v>
      </c>
      <c r="BP5" s="131">
        <f t="shared" si="47"/>
        <v>0</v>
      </c>
      <c r="BQ5" s="131">
        <f t="shared" si="47"/>
        <v>0</v>
      </c>
      <c r="BR5" s="131">
        <f t="shared" si="47"/>
        <v>0</v>
      </c>
      <c r="BS5" s="43">
        <f t="shared" si="9"/>
        <v>0</v>
      </c>
      <c r="BT5" s="131">
        <f t="shared" si="47"/>
        <v>183495.11855146123</v>
      </c>
      <c r="BU5" s="131">
        <f t="shared" si="47"/>
        <v>0</v>
      </c>
      <c r="BV5" s="131">
        <f aca="true" t="shared" si="48" ref="BV5:CA5">(BV42/($B$5+$B$28)*$B$5)</f>
        <v>0</v>
      </c>
      <c r="BW5" s="131">
        <f t="shared" si="48"/>
        <v>0</v>
      </c>
      <c r="BX5" s="4">
        <f t="shared" si="10"/>
        <v>183495.11855146123</v>
      </c>
      <c r="BY5" s="131">
        <f t="shared" si="48"/>
        <v>75106.24116899619</v>
      </c>
      <c r="BZ5" s="131">
        <f t="shared" si="48"/>
        <v>0</v>
      </c>
      <c r="CA5" s="131">
        <f t="shared" si="48"/>
        <v>108388.87738246507</v>
      </c>
      <c r="CB5" s="4">
        <f t="shared" si="11"/>
        <v>183495.11855146126</v>
      </c>
      <c r="CC5" s="4">
        <f t="shared" si="12"/>
        <v>0</v>
      </c>
      <c r="CD5" s="74">
        <f t="shared" si="13"/>
        <v>-42944.983862770016</v>
      </c>
      <c r="CE5" s="76">
        <f t="shared" si="14"/>
        <v>-42944.983862770016</v>
      </c>
      <c r="CF5" s="76">
        <f t="shared" si="15"/>
        <v>0</v>
      </c>
      <c r="CG5" s="76">
        <f t="shared" si="35"/>
        <v>149594.2927573062</v>
      </c>
      <c r="CH5" s="76">
        <f t="shared" si="16"/>
        <v>-1203.8109275730624</v>
      </c>
      <c r="CI5" s="37">
        <f t="shared" si="17"/>
        <v>-1203.8109275730624</v>
      </c>
      <c r="CJ5" s="59" t="str">
        <f t="shared" si="36"/>
        <v>-</v>
      </c>
      <c r="CK5" s="59" t="str">
        <f t="shared" si="37"/>
        <v>-</v>
      </c>
      <c r="CL5" s="141">
        <f t="shared" si="38"/>
        <v>-0.2870763521202087</v>
      </c>
      <c r="CM5" s="141">
        <f t="shared" si="39"/>
        <v>-0.2870763521202087</v>
      </c>
      <c r="CN5" s="141">
        <f t="shared" si="40"/>
        <v>-0.008047171488861951</v>
      </c>
      <c r="CO5" s="141">
        <f t="shared" si="41"/>
        <v>-0.008047171488861951</v>
      </c>
      <c r="CP5" s="141" t="str">
        <f t="shared" si="42"/>
        <v>-</v>
      </c>
      <c r="CQ5" s="141" t="str">
        <f t="shared" si="43"/>
        <v>-</v>
      </c>
      <c r="CR5" s="142">
        <f t="shared" si="44"/>
        <v>-2.5239007593720353</v>
      </c>
      <c r="CS5" s="76">
        <f t="shared" si="45"/>
        <v>108388.87738246504</v>
      </c>
      <c r="CT5" s="80">
        <f t="shared" si="18"/>
        <v>192539.27662007624</v>
      </c>
      <c r="CU5" s="80">
        <f t="shared" si="19"/>
        <v>149594.2927573062</v>
      </c>
      <c r="CV5" s="80">
        <f t="shared" si="20"/>
        <v>-42944.98386277005</v>
      </c>
      <c r="CW5" s="80">
        <f t="shared" si="21"/>
        <v>0</v>
      </c>
      <c r="CX5" s="80">
        <f t="shared" si="22"/>
        <v>-42944.98386277005</v>
      </c>
      <c r="CY5" s="80">
        <f t="shared" si="23"/>
        <v>-42944.98386277005</v>
      </c>
      <c r="CZ5" s="80">
        <f t="shared" si="24"/>
        <v>0</v>
      </c>
      <c r="DA5" s="80">
        <f t="shared" si="25"/>
        <v>0</v>
      </c>
      <c r="DB5" s="80">
        <f t="shared" si="26"/>
        <v>-42944.98386277005</v>
      </c>
      <c r="DC5" s="80">
        <f t="shared" si="46"/>
        <v>-42944.98386277005</v>
      </c>
      <c r="DD5" s="80">
        <f t="shared" si="27"/>
        <v>0</v>
      </c>
      <c r="DE5" s="80">
        <f t="shared" si="28"/>
        <v>-42944.98386277005</v>
      </c>
      <c r="DF5" s="80">
        <f t="shared" si="29"/>
        <v>70066.58513341803</v>
      </c>
      <c r="DG5" s="80">
        <f t="shared" si="30"/>
        <v>272.3338627700127</v>
      </c>
      <c r="DH5" s="80">
        <f t="shared" si="31"/>
        <v>-3.024650571791614</v>
      </c>
      <c r="DI5" s="80">
        <f t="shared" si="32"/>
        <v>176.0466963151207</v>
      </c>
      <c r="DJ5" s="81">
        <f t="shared" si="33"/>
        <v>0</v>
      </c>
      <c r="DK5" s="76">
        <f t="shared" si="34"/>
        <v>-107.90196950444737</v>
      </c>
      <c r="DL5" s="145">
        <f aca="true" t="shared" si="49" ref="DL5:DL31">CA5-BW5-BU5</f>
        <v>108388.87738246507</v>
      </c>
      <c r="DM5" s="131">
        <f>(DM42/($B$5+$B$28)*$B$5)</f>
        <v>0</v>
      </c>
      <c r="DN5" s="65"/>
    </row>
    <row r="6" spans="1:118" ht="12.75">
      <c r="A6" s="51" t="s">
        <v>1</v>
      </c>
      <c r="B6" s="38"/>
      <c r="C6" s="164"/>
      <c r="D6" s="66"/>
      <c r="E6" s="167"/>
      <c r="F6" s="126"/>
      <c r="G6" s="13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3">
        <f t="shared" si="0"/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0</v>
      </c>
      <c r="X6" s="42">
        <v>0</v>
      </c>
      <c r="Y6" s="43">
        <f t="shared" si="2"/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3">
        <f t="shared" si="3"/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0</v>
      </c>
      <c r="AT6" s="38">
        <v>0</v>
      </c>
      <c r="AU6" s="4">
        <f t="shared" si="5"/>
        <v>0</v>
      </c>
      <c r="AV6" s="38">
        <v>0</v>
      </c>
      <c r="AW6" s="38">
        <v>0</v>
      </c>
      <c r="AX6" s="4">
        <f t="shared" si="6"/>
        <v>0</v>
      </c>
      <c r="AY6" s="42"/>
      <c r="AZ6" s="42"/>
      <c r="BA6" s="42"/>
      <c r="BB6" s="42"/>
      <c r="BC6" s="42"/>
      <c r="BD6" s="42"/>
      <c r="BE6" s="42"/>
      <c r="BF6" s="43">
        <f t="shared" si="7"/>
        <v>0</v>
      </c>
      <c r="BG6" s="42"/>
      <c r="BH6" s="42"/>
      <c r="BI6" s="42"/>
      <c r="BJ6" s="42"/>
      <c r="BK6" s="42"/>
      <c r="BL6" s="42"/>
      <c r="BM6" s="42"/>
      <c r="BN6" s="42"/>
      <c r="BO6" s="43">
        <f t="shared" si="8"/>
        <v>0</v>
      </c>
      <c r="BP6" s="42"/>
      <c r="BQ6" s="42"/>
      <c r="BR6" s="42"/>
      <c r="BS6" s="43">
        <f t="shared" si="9"/>
        <v>0</v>
      </c>
      <c r="BT6" s="38"/>
      <c r="BU6" s="38"/>
      <c r="BV6" s="38"/>
      <c r="BW6" s="38"/>
      <c r="BX6" s="4">
        <f t="shared" si="10"/>
        <v>0</v>
      </c>
      <c r="BY6" s="38"/>
      <c r="BZ6" s="38"/>
      <c r="CA6" s="38"/>
      <c r="CB6" s="4">
        <f t="shared" si="11"/>
        <v>0</v>
      </c>
      <c r="CC6" s="4">
        <f t="shared" si="12"/>
        <v>0</v>
      </c>
      <c r="CD6" s="74">
        <f t="shared" si="13"/>
        <v>0</v>
      </c>
      <c r="CE6" s="76">
        <f t="shared" si="14"/>
        <v>0</v>
      </c>
      <c r="CF6" s="76">
        <f t="shared" si="15"/>
        <v>0</v>
      </c>
      <c r="CG6" s="76">
        <f t="shared" si="35"/>
        <v>0</v>
      </c>
      <c r="CH6" s="76">
        <f t="shared" si="16"/>
        <v>0</v>
      </c>
      <c r="CI6" s="37">
        <f t="shared" si="17"/>
        <v>0</v>
      </c>
      <c r="CJ6" s="59" t="str">
        <f t="shared" si="36"/>
        <v>-</v>
      </c>
      <c r="CK6" s="59" t="str">
        <f t="shared" si="37"/>
        <v>-</v>
      </c>
      <c r="CL6" s="141" t="str">
        <f t="shared" si="38"/>
        <v>-</v>
      </c>
      <c r="CM6" s="141" t="str">
        <f t="shared" si="39"/>
        <v>-</v>
      </c>
      <c r="CN6" s="141" t="str">
        <f t="shared" si="40"/>
        <v>-</v>
      </c>
      <c r="CO6" s="141" t="str">
        <f t="shared" si="41"/>
        <v>-</v>
      </c>
      <c r="CP6" s="141" t="str">
        <f t="shared" si="42"/>
        <v>-</v>
      </c>
      <c r="CQ6" s="141" t="str">
        <f t="shared" si="43"/>
        <v>-</v>
      </c>
      <c r="CR6" s="142" t="str">
        <f t="shared" si="44"/>
        <v>-</v>
      </c>
      <c r="CS6" s="76">
        <f t="shared" si="45"/>
        <v>0</v>
      </c>
      <c r="CT6" s="80">
        <f t="shared" si="18"/>
        <v>0</v>
      </c>
      <c r="CU6" s="80">
        <f t="shared" si="19"/>
        <v>0</v>
      </c>
      <c r="CV6" s="80">
        <f t="shared" si="20"/>
        <v>0</v>
      </c>
      <c r="CW6" s="80">
        <f t="shared" si="21"/>
        <v>0</v>
      </c>
      <c r="CX6" s="80">
        <f t="shared" si="22"/>
        <v>0</v>
      </c>
      <c r="CY6" s="80">
        <f t="shared" si="23"/>
        <v>0</v>
      </c>
      <c r="CZ6" s="80">
        <f t="shared" si="24"/>
        <v>0</v>
      </c>
      <c r="DA6" s="80">
        <f t="shared" si="25"/>
        <v>0</v>
      </c>
      <c r="DB6" s="80">
        <f t="shared" si="26"/>
        <v>0</v>
      </c>
      <c r="DC6" s="80">
        <f t="shared" si="46"/>
        <v>0</v>
      </c>
      <c r="DD6" s="80">
        <f t="shared" si="27"/>
        <v>0</v>
      </c>
      <c r="DE6" s="80">
        <f t="shared" si="28"/>
        <v>0</v>
      </c>
      <c r="DF6" s="80">
        <f t="shared" si="29"/>
        <v>0</v>
      </c>
      <c r="DG6" s="80" t="e">
        <f t="shared" si="30"/>
        <v>#DIV/0!</v>
      </c>
      <c r="DH6" s="80" t="e">
        <f t="shared" si="31"/>
        <v>#DIV/0!</v>
      </c>
      <c r="DI6" s="80" t="e">
        <f t="shared" si="32"/>
        <v>#DIV/0!</v>
      </c>
      <c r="DJ6" s="81" t="e">
        <f t="shared" si="33"/>
        <v>#DIV/0!</v>
      </c>
      <c r="DK6" s="76" t="e">
        <f t="shared" si="34"/>
        <v>#DIV/0!</v>
      </c>
      <c r="DL6" s="145">
        <f t="shared" si="49"/>
        <v>0</v>
      </c>
      <c r="DM6" s="160"/>
      <c r="DN6" s="68"/>
    </row>
    <row r="7" spans="1:118" ht="12.75">
      <c r="A7" s="52" t="s">
        <v>2</v>
      </c>
      <c r="B7" s="4">
        <v>741</v>
      </c>
      <c r="C7" s="76">
        <v>1828399</v>
      </c>
      <c r="D7" s="69">
        <v>2467.48</v>
      </c>
      <c r="E7" s="143">
        <v>68.82</v>
      </c>
      <c r="F7" s="8">
        <v>4</v>
      </c>
      <c r="G7" s="131">
        <v>11965.3</v>
      </c>
      <c r="H7" s="43">
        <v>3933.4</v>
      </c>
      <c r="I7" s="43">
        <v>0</v>
      </c>
      <c r="J7" s="43">
        <v>0</v>
      </c>
      <c r="K7" s="43">
        <v>0</v>
      </c>
      <c r="L7" s="43">
        <v>0</v>
      </c>
      <c r="M7" s="43">
        <f t="shared" si="0"/>
        <v>0</v>
      </c>
      <c r="N7" s="43">
        <v>0</v>
      </c>
      <c r="O7" s="43">
        <v>0</v>
      </c>
      <c r="P7" s="43">
        <v>133635.45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f t="shared" si="1"/>
        <v>0</v>
      </c>
      <c r="X7" s="43">
        <v>0</v>
      </c>
      <c r="Y7" s="43">
        <f t="shared" si="2"/>
        <v>149534.15000000002</v>
      </c>
      <c r="Z7" s="43">
        <v>145998</v>
      </c>
      <c r="AA7" s="43">
        <v>0</v>
      </c>
      <c r="AB7" s="43">
        <v>0</v>
      </c>
      <c r="AC7" s="43">
        <v>0</v>
      </c>
      <c r="AD7" s="43">
        <v>0</v>
      </c>
      <c r="AE7" s="43">
        <f t="shared" si="3"/>
        <v>145998</v>
      </c>
      <c r="AF7" s="43">
        <v>0</v>
      </c>
      <c r="AG7" s="43">
        <v>964.55</v>
      </c>
      <c r="AH7" s="43">
        <v>0</v>
      </c>
      <c r="AI7" s="43">
        <v>8200</v>
      </c>
      <c r="AJ7" s="43">
        <v>0</v>
      </c>
      <c r="AK7" s="43">
        <v>0</v>
      </c>
      <c r="AL7" s="43">
        <v>0</v>
      </c>
      <c r="AM7" s="43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155162.55</v>
      </c>
      <c r="AV7" s="4">
        <v>5628.4</v>
      </c>
      <c r="AW7" s="4">
        <v>0</v>
      </c>
      <c r="AX7" s="143">
        <f t="shared" si="6"/>
        <v>3.456079866737127E-11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0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f t="shared" si="8"/>
        <v>0</v>
      </c>
      <c r="BP7" s="43">
        <v>0</v>
      </c>
      <c r="BQ7" s="43">
        <v>0</v>
      </c>
      <c r="BR7" s="43">
        <v>0</v>
      </c>
      <c r="BS7" s="43">
        <f t="shared" si="9"/>
        <v>0</v>
      </c>
      <c r="BT7" s="4">
        <v>355945.19</v>
      </c>
      <c r="BU7" s="4">
        <v>0</v>
      </c>
      <c r="BV7" s="4">
        <v>0</v>
      </c>
      <c r="BW7" s="4"/>
      <c r="BX7" s="4">
        <f t="shared" si="10"/>
        <v>355945.19</v>
      </c>
      <c r="BY7" s="4">
        <v>235540.71</v>
      </c>
      <c r="BZ7" s="4">
        <v>0</v>
      </c>
      <c r="CA7" s="4">
        <v>120404.48</v>
      </c>
      <c r="CB7" s="4">
        <f t="shared" si="11"/>
        <v>355945.19</v>
      </c>
      <c r="CC7" s="143">
        <f t="shared" si="12"/>
        <v>0</v>
      </c>
      <c r="CD7" s="74">
        <f t="shared" si="13"/>
        <v>5628.4</v>
      </c>
      <c r="CE7" s="76">
        <f t="shared" si="14"/>
        <v>5628.4</v>
      </c>
      <c r="CF7" s="76">
        <f t="shared" si="15"/>
        <v>0</v>
      </c>
      <c r="CG7" s="76">
        <f t="shared" si="35"/>
        <v>155162.55</v>
      </c>
      <c r="CH7" s="76">
        <f t="shared" si="16"/>
        <v>-964.55</v>
      </c>
      <c r="CI7" s="37">
        <f t="shared" si="17"/>
        <v>-964.55</v>
      </c>
      <c r="CJ7" s="59" t="str">
        <f t="shared" si="36"/>
        <v>-</v>
      </c>
      <c r="CK7" s="59" t="str">
        <f t="shared" si="37"/>
        <v>-</v>
      </c>
      <c r="CL7" s="141">
        <f t="shared" si="38"/>
        <v>0.03627421694216807</v>
      </c>
      <c r="CM7" s="141">
        <f t="shared" si="39"/>
        <v>0.03627421694216807</v>
      </c>
      <c r="CN7" s="141">
        <f t="shared" si="40"/>
        <v>-0.006216384043701267</v>
      </c>
      <c r="CO7" s="141">
        <f t="shared" si="41"/>
        <v>-0.006216384043701267</v>
      </c>
      <c r="CP7" s="141" t="str">
        <f t="shared" si="42"/>
        <v>-</v>
      </c>
      <c r="CQ7" s="141" t="str">
        <f t="shared" si="43"/>
        <v>-</v>
      </c>
      <c r="CR7" s="142">
        <f t="shared" si="44"/>
        <v>21.39231042569825</v>
      </c>
      <c r="CS7" s="76">
        <f t="shared" si="45"/>
        <v>120404.48000000001</v>
      </c>
      <c r="CT7" s="80">
        <f t="shared" si="18"/>
        <v>149534.15000000002</v>
      </c>
      <c r="CU7" s="80">
        <f t="shared" si="19"/>
        <v>155162.55</v>
      </c>
      <c r="CV7" s="80">
        <f t="shared" si="20"/>
        <v>5628.399999999965</v>
      </c>
      <c r="CW7" s="80">
        <f t="shared" si="21"/>
        <v>0</v>
      </c>
      <c r="CX7" s="80">
        <f t="shared" si="22"/>
        <v>5628.399999999965</v>
      </c>
      <c r="CY7" s="80">
        <f t="shared" si="23"/>
        <v>5628.399999999965</v>
      </c>
      <c r="CZ7" s="80">
        <f t="shared" si="24"/>
        <v>0</v>
      </c>
      <c r="DA7" s="80">
        <f t="shared" si="25"/>
        <v>0</v>
      </c>
      <c r="DB7" s="80">
        <f t="shared" si="26"/>
        <v>5628.399999999965</v>
      </c>
      <c r="DC7" s="80">
        <f t="shared" si="46"/>
        <v>5628.399999999965</v>
      </c>
      <c r="DD7" s="80">
        <f t="shared" si="27"/>
        <v>0</v>
      </c>
      <c r="DE7" s="80">
        <f t="shared" si="28"/>
        <v>5628.399999999965</v>
      </c>
      <c r="DF7" s="80">
        <f t="shared" si="29"/>
        <v>145998</v>
      </c>
      <c r="DG7" s="80">
        <f t="shared" si="30"/>
        <v>162.48917678812418</v>
      </c>
      <c r="DH7" s="80">
        <f t="shared" si="31"/>
        <v>-1.3016869095816463</v>
      </c>
      <c r="DI7" s="80">
        <f t="shared" si="32"/>
        <v>197.02834008097167</v>
      </c>
      <c r="DJ7" s="81">
        <f t="shared" si="33"/>
        <v>0</v>
      </c>
      <c r="DK7" s="76">
        <f t="shared" si="34"/>
        <v>7.595681511470938</v>
      </c>
      <c r="DL7" s="145">
        <f t="shared" si="49"/>
        <v>120404.48</v>
      </c>
      <c r="DM7" s="160">
        <v>0</v>
      </c>
      <c r="DN7" s="65"/>
    </row>
    <row r="8" spans="1:118" ht="12.75">
      <c r="A8" s="51" t="s">
        <v>3</v>
      </c>
      <c r="B8" s="38">
        <v>656</v>
      </c>
      <c r="C8" s="164">
        <v>1934767</v>
      </c>
      <c r="D8" s="66">
        <v>2949.34</v>
      </c>
      <c r="E8" s="167">
        <v>82.26</v>
      </c>
      <c r="F8" s="126">
        <v>4</v>
      </c>
      <c r="G8" s="132">
        <v>17542.75</v>
      </c>
      <c r="H8" s="42">
        <v>8360.8</v>
      </c>
      <c r="I8" s="42">
        <v>0</v>
      </c>
      <c r="J8" s="42">
        <v>0</v>
      </c>
      <c r="K8" s="42">
        <v>0</v>
      </c>
      <c r="L8" s="42">
        <v>0</v>
      </c>
      <c r="M8" s="43">
        <f t="shared" si="0"/>
        <v>0</v>
      </c>
      <c r="N8" s="42">
        <v>0</v>
      </c>
      <c r="O8" s="42">
        <v>0</v>
      </c>
      <c r="P8" s="42">
        <v>180886.2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0</v>
      </c>
      <c r="X8" s="42">
        <v>0</v>
      </c>
      <c r="Y8" s="43">
        <f t="shared" si="2"/>
        <v>206789.75</v>
      </c>
      <c r="Z8" s="42">
        <v>115133.85</v>
      </c>
      <c r="AA8" s="42">
        <v>14458.7</v>
      </c>
      <c r="AB8" s="42">
        <v>0</v>
      </c>
      <c r="AC8" s="42">
        <v>14449.25</v>
      </c>
      <c r="AD8" s="42">
        <v>0</v>
      </c>
      <c r="AE8" s="43">
        <f t="shared" si="3"/>
        <v>144041.8</v>
      </c>
      <c r="AF8" s="42">
        <v>0</v>
      </c>
      <c r="AG8" s="42">
        <v>2038.4</v>
      </c>
      <c r="AH8" s="42">
        <v>0</v>
      </c>
      <c r="AI8" s="42">
        <v>55923.6</v>
      </c>
      <c r="AJ8" s="42">
        <v>0</v>
      </c>
      <c r="AK8" s="42">
        <v>0</v>
      </c>
      <c r="AL8" s="42">
        <v>0</v>
      </c>
      <c r="AM8" s="42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0</v>
      </c>
      <c r="AT8" s="38">
        <v>0</v>
      </c>
      <c r="AU8" s="4">
        <f t="shared" si="5"/>
        <v>202003.8</v>
      </c>
      <c r="AV8" s="38">
        <v>0</v>
      </c>
      <c r="AW8" s="38">
        <v>4785.95</v>
      </c>
      <c r="AX8" s="143">
        <f t="shared" si="6"/>
        <v>1.1823431123048067E-11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3">
        <f t="shared" si="7"/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f t="shared" si="8"/>
        <v>0</v>
      </c>
      <c r="BP8" s="42">
        <v>0</v>
      </c>
      <c r="BQ8" s="42">
        <v>0</v>
      </c>
      <c r="BR8" s="42">
        <v>0</v>
      </c>
      <c r="BS8" s="43">
        <f t="shared" si="9"/>
        <v>0</v>
      </c>
      <c r="BT8" s="38">
        <v>279081.47</v>
      </c>
      <c r="BU8" s="38">
        <v>0</v>
      </c>
      <c r="BV8" s="38">
        <v>0</v>
      </c>
      <c r="BW8" s="38">
        <v>0</v>
      </c>
      <c r="BX8" s="4">
        <f t="shared" si="10"/>
        <v>279081.47</v>
      </c>
      <c r="BY8" s="38">
        <v>89450.85</v>
      </c>
      <c r="BZ8" s="38">
        <v>0</v>
      </c>
      <c r="CA8" s="38">
        <v>189630.62</v>
      </c>
      <c r="CB8" s="4">
        <f t="shared" si="11"/>
        <v>279081.47</v>
      </c>
      <c r="CC8" s="143">
        <f t="shared" si="12"/>
        <v>0</v>
      </c>
      <c r="CD8" s="74">
        <f t="shared" si="13"/>
        <v>-4785.95</v>
      </c>
      <c r="CE8" s="76">
        <f t="shared" si="14"/>
        <v>-4785.95</v>
      </c>
      <c r="CF8" s="76">
        <f t="shared" si="15"/>
        <v>0</v>
      </c>
      <c r="CG8" s="76">
        <f t="shared" si="35"/>
        <v>202003.8</v>
      </c>
      <c r="CH8" s="76">
        <f t="shared" si="16"/>
        <v>-2038.4</v>
      </c>
      <c r="CI8" s="37">
        <f t="shared" si="17"/>
        <v>-2038.4</v>
      </c>
      <c r="CJ8" s="59" t="str">
        <f t="shared" si="36"/>
        <v>-</v>
      </c>
      <c r="CK8" s="59" t="str">
        <f t="shared" si="37"/>
        <v>-</v>
      </c>
      <c r="CL8" s="141">
        <f t="shared" si="38"/>
        <v>-0.023692376084014262</v>
      </c>
      <c r="CM8" s="141">
        <f t="shared" si="39"/>
        <v>-0.023692376084014262</v>
      </c>
      <c r="CN8" s="141">
        <f t="shared" si="40"/>
        <v>-0.010090899280112553</v>
      </c>
      <c r="CO8" s="141">
        <f t="shared" si="41"/>
        <v>-0.010090899280112553</v>
      </c>
      <c r="CP8" s="141" t="str">
        <f t="shared" si="42"/>
        <v>-</v>
      </c>
      <c r="CQ8" s="141" t="str">
        <f t="shared" si="43"/>
        <v>-</v>
      </c>
      <c r="CR8" s="142">
        <f t="shared" si="44"/>
        <v>-39.62235710778424</v>
      </c>
      <c r="CS8" s="76">
        <f t="shared" si="45"/>
        <v>189630.61999999997</v>
      </c>
      <c r="CT8" s="80">
        <f t="shared" si="18"/>
        <v>206789.75</v>
      </c>
      <c r="CU8" s="80">
        <f t="shared" si="19"/>
        <v>202003.8</v>
      </c>
      <c r="CV8" s="80">
        <f t="shared" si="20"/>
        <v>-4785.950000000012</v>
      </c>
      <c r="CW8" s="80">
        <f t="shared" si="21"/>
        <v>0</v>
      </c>
      <c r="CX8" s="80">
        <f t="shared" si="22"/>
        <v>-4785.950000000012</v>
      </c>
      <c r="CY8" s="80">
        <f t="shared" si="23"/>
        <v>-4785.950000000012</v>
      </c>
      <c r="CZ8" s="80">
        <f t="shared" si="24"/>
        <v>0</v>
      </c>
      <c r="DA8" s="80">
        <f t="shared" si="25"/>
        <v>0</v>
      </c>
      <c r="DB8" s="80">
        <f t="shared" si="26"/>
        <v>-4785.950000000012</v>
      </c>
      <c r="DC8" s="80">
        <f t="shared" si="46"/>
        <v>-4785.950000000012</v>
      </c>
      <c r="DD8" s="80">
        <f t="shared" si="27"/>
        <v>0</v>
      </c>
      <c r="DE8" s="80">
        <f t="shared" si="28"/>
        <v>-4785.950000000012</v>
      </c>
      <c r="DF8" s="80">
        <f t="shared" si="29"/>
        <v>129592.55</v>
      </c>
      <c r="DG8" s="80">
        <f t="shared" si="30"/>
        <v>289.0710670731707</v>
      </c>
      <c r="DH8" s="80">
        <f t="shared" si="31"/>
        <v>-3.107317073170732</v>
      </c>
      <c r="DI8" s="80">
        <f t="shared" si="32"/>
        <v>197.54961890243902</v>
      </c>
      <c r="DJ8" s="81">
        <f t="shared" si="33"/>
        <v>0</v>
      </c>
      <c r="DK8" s="76">
        <f t="shared" si="34"/>
        <v>-7.295655487804896</v>
      </c>
      <c r="DL8" s="145">
        <f t="shared" si="49"/>
        <v>189630.62</v>
      </c>
      <c r="DM8" s="160">
        <v>0</v>
      </c>
      <c r="DN8" s="68"/>
    </row>
    <row r="9" spans="1:118" ht="12.75">
      <c r="A9" s="52" t="s">
        <v>4</v>
      </c>
      <c r="B9" s="4">
        <v>2708</v>
      </c>
      <c r="C9" s="76">
        <v>10188542</v>
      </c>
      <c r="D9" s="69">
        <v>3762.39</v>
      </c>
      <c r="E9" s="143">
        <v>104.94</v>
      </c>
      <c r="F9" s="8">
        <v>3</v>
      </c>
      <c r="G9" s="131">
        <v>56523.45</v>
      </c>
      <c r="H9" s="43">
        <v>23098.25</v>
      </c>
      <c r="I9" s="43">
        <v>653.45</v>
      </c>
      <c r="J9" s="43">
        <v>0</v>
      </c>
      <c r="K9" s="43">
        <v>0</v>
      </c>
      <c r="L9" s="43">
        <v>0</v>
      </c>
      <c r="M9" s="43">
        <f t="shared" si="0"/>
        <v>0</v>
      </c>
      <c r="N9" s="43">
        <v>0</v>
      </c>
      <c r="O9" s="43">
        <v>0</v>
      </c>
      <c r="P9" s="43">
        <v>1185620.45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f t="shared" si="1"/>
        <v>0</v>
      </c>
      <c r="X9" s="43">
        <v>0</v>
      </c>
      <c r="Y9" s="43">
        <f t="shared" si="2"/>
        <v>1265895.5999999999</v>
      </c>
      <c r="Z9" s="43">
        <v>440043.45</v>
      </c>
      <c r="AA9" s="43">
        <v>78006.75</v>
      </c>
      <c r="AB9" s="43">
        <v>0</v>
      </c>
      <c r="AC9" s="43">
        <v>59647.25</v>
      </c>
      <c r="AD9" s="43">
        <v>0</v>
      </c>
      <c r="AE9" s="43">
        <f t="shared" si="3"/>
        <v>577697.45</v>
      </c>
      <c r="AF9" s="43">
        <v>0</v>
      </c>
      <c r="AG9" s="43">
        <v>1010.25</v>
      </c>
      <c r="AH9" s="43">
        <v>0</v>
      </c>
      <c r="AI9" s="43">
        <v>426051.65</v>
      </c>
      <c r="AJ9" s="43">
        <v>0</v>
      </c>
      <c r="AK9" s="43">
        <v>2418</v>
      </c>
      <c r="AL9" s="43">
        <v>0</v>
      </c>
      <c r="AM9" s="43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1007177.3499999999</v>
      </c>
      <c r="AV9" s="4">
        <v>0</v>
      </c>
      <c r="AW9" s="4">
        <v>258718.25</v>
      </c>
      <c r="AX9" s="143">
        <f t="shared" si="6"/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f t="shared" si="7"/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f t="shared" si="8"/>
        <v>0</v>
      </c>
      <c r="BP9" s="43">
        <v>0</v>
      </c>
      <c r="BQ9" s="43">
        <v>0</v>
      </c>
      <c r="BR9" s="43">
        <v>0</v>
      </c>
      <c r="BS9" s="43">
        <f t="shared" si="9"/>
        <v>0</v>
      </c>
      <c r="BT9" s="4">
        <v>249921.9</v>
      </c>
      <c r="BU9" s="4">
        <v>1</v>
      </c>
      <c r="BV9" s="4">
        <v>0</v>
      </c>
      <c r="BW9" s="4">
        <v>18550.9</v>
      </c>
      <c r="BX9" s="4">
        <f t="shared" si="10"/>
        <v>268473.8</v>
      </c>
      <c r="BY9" s="4">
        <v>268473.8</v>
      </c>
      <c r="BZ9" s="4">
        <v>0</v>
      </c>
      <c r="CA9" s="4">
        <v>0</v>
      </c>
      <c r="CB9" s="4">
        <f t="shared" si="11"/>
        <v>268473.8</v>
      </c>
      <c r="CC9" s="143">
        <f t="shared" si="12"/>
        <v>0</v>
      </c>
      <c r="CD9" s="74">
        <f t="shared" si="13"/>
        <v>-258718.25</v>
      </c>
      <c r="CE9" s="76">
        <f t="shared" si="14"/>
        <v>-258718.25</v>
      </c>
      <c r="CF9" s="76">
        <f t="shared" si="15"/>
        <v>0</v>
      </c>
      <c r="CG9" s="76">
        <f t="shared" si="35"/>
        <v>1007177.3499999999</v>
      </c>
      <c r="CH9" s="76">
        <f t="shared" si="16"/>
        <v>-356.79999999999995</v>
      </c>
      <c r="CI9" s="37">
        <f t="shared" si="17"/>
        <v>-356.79999999999995</v>
      </c>
      <c r="CJ9" s="59" t="str">
        <f t="shared" si="36"/>
        <v>-</v>
      </c>
      <c r="CK9" s="59" t="str">
        <f t="shared" si="37"/>
        <v>-</v>
      </c>
      <c r="CL9" s="141">
        <f t="shared" si="38"/>
        <v>-0.2568745712957108</v>
      </c>
      <c r="CM9" s="141">
        <f t="shared" si="39"/>
        <v>-0.2568745712957108</v>
      </c>
      <c r="CN9" s="141">
        <f t="shared" si="40"/>
        <v>-0.0003542573708592633</v>
      </c>
      <c r="CO9" s="141">
        <f t="shared" si="41"/>
        <v>-0.0003542573708592633</v>
      </c>
      <c r="CP9" s="141">
        <f t="shared" si="42"/>
        <v>0</v>
      </c>
      <c r="CQ9" s="141">
        <f t="shared" si="43"/>
        <v>0</v>
      </c>
      <c r="CR9" s="142">
        <f t="shared" si="44"/>
        <v>0.0717069630766287</v>
      </c>
      <c r="CS9" s="76">
        <f t="shared" si="45"/>
        <v>-18551.899999999994</v>
      </c>
      <c r="CT9" s="80">
        <f t="shared" si="18"/>
        <v>1265895.5999999999</v>
      </c>
      <c r="CU9" s="80">
        <f t="shared" si="19"/>
        <v>1007177.3499999999</v>
      </c>
      <c r="CV9" s="80">
        <f t="shared" si="20"/>
        <v>-258718.25</v>
      </c>
      <c r="CW9" s="80">
        <f t="shared" si="21"/>
        <v>0</v>
      </c>
      <c r="CX9" s="80">
        <f t="shared" si="22"/>
        <v>-258718.25</v>
      </c>
      <c r="CY9" s="80">
        <f t="shared" si="23"/>
        <v>-258718.25</v>
      </c>
      <c r="CZ9" s="80">
        <f t="shared" si="24"/>
        <v>0</v>
      </c>
      <c r="DA9" s="80">
        <f t="shared" si="25"/>
        <v>0</v>
      </c>
      <c r="DB9" s="80">
        <f t="shared" si="26"/>
        <v>-258718.25</v>
      </c>
      <c r="DC9" s="80">
        <f t="shared" si="46"/>
        <v>-258718.25</v>
      </c>
      <c r="DD9" s="80">
        <f t="shared" si="27"/>
        <v>0</v>
      </c>
      <c r="DE9" s="80">
        <f t="shared" si="28"/>
        <v>-258718.25</v>
      </c>
      <c r="DF9" s="80">
        <f t="shared" si="29"/>
        <v>518050.2</v>
      </c>
      <c r="DG9" s="80">
        <f t="shared" si="30"/>
        <v>-6.850775480059082</v>
      </c>
      <c r="DH9" s="80">
        <f t="shared" si="31"/>
        <v>-0.13175775480059082</v>
      </c>
      <c r="DI9" s="80">
        <f t="shared" si="32"/>
        <v>191.3036189069424</v>
      </c>
      <c r="DJ9" s="81">
        <f t="shared" si="33"/>
        <v>0</v>
      </c>
      <c r="DK9" s="76">
        <f t="shared" si="34"/>
        <v>-95.53849704579025</v>
      </c>
      <c r="DL9" s="145">
        <f t="shared" si="49"/>
        <v>-18551.9</v>
      </c>
      <c r="DM9" s="162">
        <v>0</v>
      </c>
      <c r="DN9" s="65"/>
    </row>
    <row r="10" spans="1:118" ht="12.75">
      <c r="A10" s="51" t="s">
        <v>5</v>
      </c>
      <c r="B10" s="38">
        <v>536</v>
      </c>
      <c r="C10" s="164">
        <v>1377976</v>
      </c>
      <c r="D10" s="66">
        <v>2570.85</v>
      </c>
      <c r="E10" s="167">
        <v>71.7</v>
      </c>
      <c r="F10" s="126">
        <v>4</v>
      </c>
      <c r="G10" s="132">
        <v>6278.95</v>
      </c>
      <c r="H10" s="42">
        <v>9959.7</v>
      </c>
      <c r="I10" s="42">
        <v>30.25</v>
      </c>
      <c r="J10" s="42">
        <v>0</v>
      </c>
      <c r="K10" s="42">
        <v>0</v>
      </c>
      <c r="L10" s="42">
        <v>0</v>
      </c>
      <c r="M10" s="43">
        <f t="shared" si="0"/>
        <v>0</v>
      </c>
      <c r="N10" s="42">
        <v>0</v>
      </c>
      <c r="O10" s="42">
        <v>0</v>
      </c>
      <c r="P10" s="42">
        <v>131333.6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3">
        <f t="shared" si="1"/>
        <v>0</v>
      </c>
      <c r="X10" s="42">
        <v>0</v>
      </c>
      <c r="Y10" s="43">
        <f t="shared" si="2"/>
        <v>147602.5</v>
      </c>
      <c r="Z10" s="42">
        <v>70155.35</v>
      </c>
      <c r="AA10" s="42">
        <v>13777.15</v>
      </c>
      <c r="AB10" s="42">
        <v>0</v>
      </c>
      <c r="AC10" s="42">
        <v>11806.1</v>
      </c>
      <c r="AD10" s="42">
        <v>0</v>
      </c>
      <c r="AE10" s="43">
        <f t="shared" si="3"/>
        <v>95738.6</v>
      </c>
      <c r="AF10" s="42">
        <v>0</v>
      </c>
      <c r="AG10" s="42">
        <v>12100.15</v>
      </c>
      <c r="AH10" s="42">
        <v>0</v>
      </c>
      <c r="AI10" s="42">
        <v>42176.3</v>
      </c>
      <c r="AJ10" s="42">
        <v>0</v>
      </c>
      <c r="AK10" s="42">
        <v>0</v>
      </c>
      <c r="AL10" s="42">
        <v>0</v>
      </c>
      <c r="AM10" s="42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4">
        <f t="shared" si="4"/>
        <v>0</v>
      </c>
      <c r="AT10" s="38">
        <v>0</v>
      </c>
      <c r="AU10" s="4">
        <f t="shared" si="5"/>
        <v>150015.05000000002</v>
      </c>
      <c r="AV10" s="38">
        <v>2412.55</v>
      </c>
      <c r="AW10" s="38">
        <v>0</v>
      </c>
      <c r="AX10" s="143">
        <f t="shared" si="6"/>
        <v>-1.7280399333685637E-11</v>
      </c>
      <c r="AY10" s="42">
        <v>1700.4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3">
        <f t="shared" si="7"/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8"/>
        <v>0</v>
      </c>
      <c r="BP10" s="42">
        <v>0</v>
      </c>
      <c r="BQ10" s="42">
        <v>0</v>
      </c>
      <c r="BR10" s="42">
        <v>0</v>
      </c>
      <c r="BS10" s="43">
        <f t="shared" si="9"/>
        <v>0</v>
      </c>
      <c r="BT10" s="38">
        <v>350483.37</v>
      </c>
      <c r="BU10" s="38">
        <v>0</v>
      </c>
      <c r="BV10" s="38"/>
      <c r="BW10" s="38">
        <v>0</v>
      </c>
      <c r="BX10" s="4">
        <f t="shared" si="10"/>
        <v>350483.37</v>
      </c>
      <c r="BY10" s="38">
        <v>93008.6</v>
      </c>
      <c r="BZ10" s="38">
        <v>0</v>
      </c>
      <c r="CA10" s="38">
        <v>257474.77</v>
      </c>
      <c r="CB10" s="4">
        <f t="shared" si="11"/>
        <v>350483.37</v>
      </c>
      <c r="CC10" s="4">
        <f t="shared" si="12"/>
        <v>0</v>
      </c>
      <c r="CD10" s="74">
        <f t="shared" si="13"/>
        <v>2412.55</v>
      </c>
      <c r="CE10" s="76">
        <f t="shared" si="14"/>
        <v>2412.55</v>
      </c>
      <c r="CF10" s="76">
        <f t="shared" si="15"/>
        <v>0</v>
      </c>
      <c r="CG10" s="76">
        <f t="shared" si="35"/>
        <v>150015.05000000002</v>
      </c>
      <c r="CH10" s="76">
        <f t="shared" si="16"/>
        <v>-10369.5</v>
      </c>
      <c r="CI10" s="37">
        <f t="shared" si="17"/>
        <v>-10369.5</v>
      </c>
      <c r="CJ10" s="59" t="str">
        <f t="shared" si="36"/>
        <v>-</v>
      </c>
      <c r="CK10" s="59" t="str">
        <f t="shared" si="37"/>
        <v>-</v>
      </c>
      <c r="CL10" s="141">
        <f t="shared" si="38"/>
        <v>0.016082053100672233</v>
      </c>
      <c r="CM10" s="141">
        <f t="shared" si="39"/>
        <v>0.016082053100672233</v>
      </c>
      <c r="CN10" s="141">
        <f t="shared" si="40"/>
        <v>-0.0691230646525132</v>
      </c>
      <c r="CO10" s="141">
        <f t="shared" si="41"/>
        <v>-0.0691230646525132</v>
      </c>
      <c r="CP10" s="141" t="str">
        <f t="shared" si="42"/>
        <v>-</v>
      </c>
      <c r="CQ10" s="141" t="str">
        <f t="shared" si="43"/>
        <v>-</v>
      </c>
      <c r="CR10" s="142">
        <f t="shared" si="44"/>
        <v>106.72308138691425</v>
      </c>
      <c r="CS10" s="76">
        <f t="shared" si="45"/>
        <v>257474.77</v>
      </c>
      <c r="CT10" s="80">
        <f t="shared" si="18"/>
        <v>147602.5</v>
      </c>
      <c r="CU10" s="80">
        <f t="shared" si="19"/>
        <v>150015.05000000002</v>
      </c>
      <c r="CV10" s="80">
        <f t="shared" si="20"/>
        <v>2412.5500000000175</v>
      </c>
      <c r="CW10" s="80">
        <f t="shared" si="21"/>
        <v>0</v>
      </c>
      <c r="CX10" s="80">
        <f t="shared" si="22"/>
        <v>2412.5500000000175</v>
      </c>
      <c r="CY10" s="80">
        <f t="shared" si="23"/>
        <v>2412.5500000000175</v>
      </c>
      <c r="CZ10" s="80">
        <f t="shared" si="24"/>
        <v>0</v>
      </c>
      <c r="DA10" s="80">
        <f t="shared" si="25"/>
        <v>0</v>
      </c>
      <c r="DB10" s="80">
        <f t="shared" si="26"/>
        <v>2412.5500000000175</v>
      </c>
      <c r="DC10" s="80">
        <f t="shared" si="46"/>
        <v>2412.5500000000175</v>
      </c>
      <c r="DD10" s="80">
        <f t="shared" si="27"/>
        <v>0</v>
      </c>
      <c r="DE10" s="80">
        <f t="shared" si="28"/>
        <v>2412.5500000000175</v>
      </c>
      <c r="DF10" s="80">
        <f t="shared" si="29"/>
        <v>83932.5</v>
      </c>
      <c r="DG10" s="80">
        <f t="shared" si="30"/>
        <v>480.3633768656716</v>
      </c>
      <c r="DH10" s="80">
        <f t="shared" si="31"/>
        <v>-19.34608208955224</v>
      </c>
      <c r="DI10" s="80">
        <f t="shared" si="32"/>
        <v>156.59048507462686</v>
      </c>
      <c r="DJ10" s="81">
        <f t="shared" si="33"/>
        <v>0</v>
      </c>
      <c r="DK10" s="76">
        <f t="shared" si="34"/>
        <v>4.501026119403018</v>
      </c>
      <c r="DL10" s="145">
        <f t="shared" si="49"/>
        <v>257474.77</v>
      </c>
      <c r="DM10" s="162">
        <v>0</v>
      </c>
      <c r="DN10" s="68"/>
    </row>
    <row r="11" spans="1:118" ht="12.75">
      <c r="A11" s="52" t="s">
        <v>6</v>
      </c>
      <c r="B11" s="4">
        <v>5686</v>
      </c>
      <c r="C11" s="76">
        <v>25027083</v>
      </c>
      <c r="D11" s="69">
        <v>4401.53</v>
      </c>
      <c r="E11" s="143">
        <v>122.76</v>
      </c>
      <c r="F11" s="8">
        <v>3</v>
      </c>
      <c r="G11" s="131">
        <f>(G40/($B$11+$B$27)*$B$11)</f>
        <v>333635.23177746346</v>
      </c>
      <c r="H11" s="131">
        <f aca="true" t="shared" si="50" ref="H11:AD11">(H40/($B$11+$B$27)*$B$11)</f>
        <v>102132.77556184189</v>
      </c>
      <c r="I11" s="131">
        <f t="shared" si="50"/>
        <v>8165.75011786893</v>
      </c>
      <c r="J11" s="131">
        <f t="shared" si="50"/>
        <v>0</v>
      </c>
      <c r="K11" s="131">
        <f t="shared" si="50"/>
        <v>13076.012792707843</v>
      </c>
      <c r="L11" s="131">
        <f t="shared" si="50"/>
        <v>0</v>
      </c>
      <c r="M11" s="43">
        <f t="shared" si="0"/>
        <v>13076.012792707843</v>
      </c>
      <c r="N11" s="131">
        <f t="shared" si="50"/>
        <v>0</v>
      </c>
      <c r="O11" s="131">
        <f t="shared" si="50"/>
        <v>182.8759861700456</v>
      </c>
      <c r="P11" s="131">
        <f t="shared" si="50"/>
        <v>3561387.228241395</v>
      </c>
      <c r="Q11" s="131">
        <f t="shared" si="50"/>
        <v>0</v>
      </c>
      <c r="R11" s="131">
        <f t="shared" si="50"/>
        <v>0</v>
      </c>
      <c r="S11" s="131">
        <f t="shared" si="50"/>
        <v>223400.9115197234</v>
      </c>
      <c r="T11" s="131">
        <f t="shared" si="50"/>
        <v>0</v>
      </c>
      <c r="U11" s="131">
        <f t="shared" si="50"/>
        <v>0</v>
      </c>
      <c r="V11" s="131">
        <f t="shared" si="50"/>
        <v>0</v>
      </c>
      <c r="W11" s="43">
        <f t="shared" si="1"/>
        <v>223400.9115197234</v>
      </c>
      <c r="X11" s="131">
        <f t="shared" si="50"/>
        <v>103300.57255068365</v>
      </c>
      <c r="Y11" s="43">
        <f t="shared" si="2"/>
        <v>4345281.358547854</v>
      </c>
      <c r="Z11" s="131">
        <f t="shared" si="50"/>
        <v>1065425.3530253025</v>
      </c>
      <c r="AA11" s="131">
        <f t="shared" si="50"/>
        <v>228440.70204306146</v>
      </c>
      <c r="AB11" s="131">
        <f t="shared" si="50"/>
        <v>0</v>
      </c>
      <c r="AC11" s="131">
        <f t="shared" si="50"/>
        <v>125241.5445701713</v>
      </c>
      <c r="AD11" s="131">
        <f t="shared" si="50"/>
        <v>0</v>
      </c>
      <c r="AE11" s="43">
        <f t="shared" si="3"/>
        <v>1419107.5996385352</v>
      </c>
      <c r="AF11" s="131">
        <f>(AF40/($B$11+$B$27)*$B$11)</f>
        <v>0</v>
      </c>
      <c r="AG11" s="131">
        <f aca="true" t="shared" si="51" ref="AG11:CA11">(AG40/($B$11+$B$27)*$B$11)</f>
        <v>37696.088967468175</v>
      </c>
      <c r="AH11" s="131">
        <f t="shared" si="51"/>
        <v>0</v>
      </c>
      <c r="AI11" s="131">
        <f t="shared" si="51"/>
        <v>2054953.2578060664</v>
      </c>
      <c r="AJ11" s="131">
        <f t="shared" si="51"/>
        <v>0</v>
      </c>
      <c r="AK11" s="131">
        <f t="shared" si="51"/>
        <v>13438.905233380481</v>
      </c>
      <c r="AL11" s="131">
        <f t="shared" si="51"/>
        <v>0</v>
      </c>
      <c r="AM11" s="131">
        <f t="shared" si="51"/>
        <v>0</v>
      </c>
      <c r="AN11" s="131">
        <f t="shared" si="51"/>
        <v>0</v>
      </c>
      <c r="AO11" s="131">
        <f t="shared" si="51"/>
        <v>0</v>
      </c>
      <c r="AP11" s="131">
        <f t="shared" si="51"/>
        <v>0</v>
      </c>
      <c r="AQ11" s="131">
        <f t="shared" si="51"/>
        <v>0</v>
      </c>
      <c r="AR11" s="131">
        <f t="shared" si="51"/>
        <v>0</v>
      </c>
      <c r="AS11" s="4">
        <f t="shared" si="4"/>
        <v>0</v>
      </c>
      <c r="AT11" s="131">
        <f t="shared" si="51"/>
        <v>103300.49212635549</v>
      </c>
      <c r="AU11" s="4">
        <f t="shared" si="5"/>
        <v>3628496.3437718055</v>
      </c>
      <c r="AV11" s="131">
        <f t="shared" si="51"/>
        <v>0</v>
      </c>
      <c r="AW11" s="131">
        <f t="shared" si="51"/>
        <v>716784.9343517208</v>
      </c>
      <c r="AX11" s="143">
        <f t="shared" si="6"/>
        <v>0.08042432786896825</v>
      </c>
      <c r="AY11" s="131">
        <f t="shared" si="51"/>
        <v>15655.667798208393</v>
      </c>
      <c r="AZ11" s="131">
        <f t="shared" si="51"/>
        <v>0</v>
      </c>
      <c r="BA11" s="131">
        <f t="shared" si="51"/>
        <v>0</v>
      </c>
      <c r="BB11" s="131">
        <f t="shared" si="51"/>
        <v>0</v>
      </c>
      <c r="BC11" s="131">
        <f t="shared" si="51"/>
        <v>0</v>
      </c>
      <c r="BD11" s="131">
        <f t="shared" si="51"/>
        <v>0</v>
      </c>
      <c r="BE11" s="131">
        <f t="shared" si="51"/>
        <v>0</v>
      </c>
      <c r="BF11" s="43">
        <f t="shared" si="7"/>
        <v>0</v>
      </c>
      <c r="BG11" s="131">
        <f t="shared" si="51"/>
        <v>0</v>
      </c>
      <c r="BH11" s="131">
        <f t="shared" si="51"/>
        <v>0</v>
      </c>
      <c r="BI11" s="131">
        <f t="shared" si="51"/>
        <v>0</v>
      </c>
      <c r="BJ11" s="131">
        <f t="shared" si="51"/>
        <v>0</v>
      </c>
      <c r="BK11" s="131">
        <f t="shared" si="51"/>
        <v>0</v>
      </c>
      <c r="BL11" s="131">
        <f t="shared" si="51"/>
        <v>0</v>
      </c>
      <c r="BM11" s="131">
        <f t="shared" si="51"/>
        <v>0</v>
      </c>
      <c r="BN11" s="131">
        <f t="shared" si="51"/>
        <v>0</v>
      </c>
      <c r="BO11" s="43">
        <f t="shared" si="8"/>
        <v>0</v>
      </c>
      <c r="BP11" s="131">
        <f t="shared" si="51"/>
        <v>0</v>
      </c>
      <c r="BQ11" s="131">
        <f t="shared" si="51"/>
        <v>0</v>
      </c>
      <c r="BR11" s="131">
        <f t="shared" si="51"/>
        <v>0</v>
      </c>
      <c r="BS11" s="43">
        <f t="shared" si="9"/>
        <v>0</v>
      </c>
      <c r="BT11" s="131">
        <f t="shared" si="51"/>
        <v>2167232.66149615</v>
      </c>
      <c r="BU11" s="131">
        <f t="shared" si="51"/>
        <v>19614.153229608673</v>
      </c>
      <c r="BV11" s="131">
        <f t="shared" si="51"/>
        <v>0</v>
      </c>
      <c r="BW11" s="131">
        <f t="shared" si="51"/>
        <v>0</v>
      </c>
      <c r="BX11" s="4">
        <f t="shared" si="10"/>
        <v>2186846.8147257585</v>
      </c>
      <c r="BY11" s="131">
        <f t="shared" si="51"/>
        <v>1690208.0014615748</v>
      </c>
      <c r="BZ11" s="131">
        <f t="shared" si="51"/>
        <v>0</v>
      </c>
      <c r="CA11" s="131">
        <f t="shared" si="51"/>
        <v>496638.81326418364</v>
      </c>
      <c r="CB11" s="4">
        <f t="shared" si="11"/>
        <v>2186846.8147257585</v>
      </c>
      <c r="CC11" s="4">
        <f t="shared" si="12"/>
        <v>0</v>
      </c>
      <c r="CD11" s="74">
        <f t="shared" si="13"/>
        <v>-703708.921559013</v>
      </c>
      <c r="CE11" s="76">
        <f t="shared" si="14"/>
        <v>-480308.0100392896</v>
      </c>
      <c r="CF11" s="76">
        <f t="shared" si="15"/>
        <v>0</v>
      </c>
      <c r="CG11" s="76">
        <f t="shared" si="35"/>
        <v>3525195.85164545</v>
      </c>
      <c r="CH11" s="76">
        <f t="shared" si="16"/>
        <v>-13874.671051390851</v>
      </c>
      <c r="CI11" s="37">
        <f t="shared" si="17"/>
        <v>-798.6582586830082</v>
      </c>
      <c r="CJ11" s="59" t="str">
        <f t="shared" si="36"/>
        <v>-</v>
      </c>
      <c r="CK11" s="59" t="str">
        <f t="shared" si="37"/>
        <v>-</v>
      </c>
      <c r="CL11" s="141">
        <f t="shared" si="38"/>
        <v>-0.19962264542849267</v>
      </c>
      <c r="CM11" s="141">
        <f t="shared" si="39"/>
        <v>-0.13625002134706843</v>
      </c>
      <c r="CN11" s="141">
        <f t="shared" si="40"/>
        <v>-0.0039358582147753845</v>
      </c>
      <c r="CO11" s="141">
        <f t="shared" si="41"/>
        <v>-0.00022655713109109092</v>
      </c>
      <c r="CP11" s="141">
        <f t="shared" si="42"/>
        <v>0.3999983598670399</v>
      </c>
      <c r="CQ11" s="141">
        <f t="shared" si="43"/>
        <v>0.3999983598670399</v>
      </c>
      <c r="CR11" s="142">
        <f t="shared" si="44"/>
        <v>-0.9931640740189904</v>
      </c>
      <c r="CS11" s="76">
        <f t="shared" si="45"/>
        <v>477024.66003457503</v>
      </c>
      <c r="CT11" s="80">
        <f t="shared" si="18"/>
        <v>4332205.345755147</v>
      </c>
      <c r="CU11" s="80">
        <f t="shared" si="19"/>
        <v>3628496.3437718055</v>
      </c>
      <c r="CV11" s="80">
        <f t="shared" si="20"/>
        <v>-703709.0019833413</v>
      </c>
      <c r="CW11" s="80">
        <f t="shared" si="21"/>
        <v>0</v>
      </c>
      <c r="CX11" s="80">
        <f t="shared" si="22"/>
        <v>-703709.0019833413</v>
      </c>
      <c r="CY11" s="80">
        <f t="shared" si="23"/>
        <v>-716785.0147760492</v>
      </c>
      <c r="CZ11" s="80">
        <f t="shared" si="24"/>
        <v>0</v>
      </c>
      <c r="DA11" s="80">
        <f t="shared" si="25"/>
        <v>13076.012792707843</v>
      </c>
      <c r="DB11" s="80">
        <f t="shared" si="26"/>
        <v>-703709.0019833413</v>
      </c>
      <c r="DC11" s="80">
        <f t="shared" si="46"/>
        <v>-480308.09046361793</v>
      </c>
      <c r="DD11" s="80">
        <f t="shared" si="27"/>
        <v>-13076.012792707843</v>
      </c>
      <c r="DE11" s="80">
        <f t="shared" si="28"/>
        <v>-716785.0147760492</v>
      </c>
      <c r="DF11" s="80">
        <f t="shared" si="29"/>
        <v>1293866.055068364</v>
      </c>
      <c r="DG11" s="80">
        <f t="shared" si="30"/>
        <v>83.89459374508883</v>
      </c>
      <c r="DH11" s="80">
        <f t="shared" si="31"/>
        <v>-2.4401461574728898</v>
      </c>
      <c r="DI11" s="80">
        <f t="shared" si="32"/>
        <v>227.55294672324374</v>
      </c>
      <c r="DJ11" s="81">
        <f t="shared" si="33"/>
        <v>0</v>
      </c>
      <c r="DK11" s="76">
        <f t="shared" si="34"/>
        <v>-123.7616957410027</v>
      </c>
      <c r="DL11" s="145">
        <f t="shared" si="49"/>
        <v>477024.660034575</v>
      </c>
      <c r="DM11" s="131">
        <f>(DM40/($B$11+$B$27)*$B$11)</f>
        <v>0</v>
      </c>
      <c r="DN11" s="65"/>
    </row>
    <row r="12" spans="1:118" ht="12.75">
      <c r="A12" s="51" t="s">
        <v>7</v>
      </c>
      <c r="B12" s="38">
        <v>625</v>
      </c>
      <c r="C12" s="164">
        <v>1718111</v>
      </c>
      <c r="D12" s="66">
        <v>2748.98</v>
      </c>
      <c r="E12" s="167">
        <v>76.67</v>
      </c>
      <c r="F12" s="126">
        <v>3</v>
      </c>
      <c r="G12" s="132">
        <f>(G41/($B$12+$B$14+$B$23)*$B$12)</f>
        <v>14029.843151340998</v>
      </c>
      <c r="H12" s="132">
        <f aca="true" t="shared" si="52" ref="H12:BU12">(H41/($B$12+$B$14+$B$23)*$B$12)</f>
        <v>2698.784722222222</v>
      </c>
      <c r="I12" s="132">
        <f t="shared" si="52"/>
        <v>0</v>
      </c>
      <c r="J12" s="132">
        <f t="shared" si="52"/>
        <v>0</v>
      </c>
      <c r="K12" s="132">
        <f t="shared" si="52"/>
        <v>0</v>
      </c>
      <c r="L12" s="132">
        <f t="shared" si="52"/>
        <v>0</v>
      </c>
      <c r="M12" s="43">
        <f t="shared" si="0"/>
        <v>0</v>
      </c>
      <c r="N12" s="132">
        <f t="shared" si="52"/>
        <v>0</v>
      </c>
      <c r="O12" s="132">
        <f t="shared" si="52"/>
        <v>0</v>
      </c>
      <c r="P12" s="132">
        <f t="shared" si="52"/>
        <v>216521.9707854406</v>
      </c>
      <c r="Q12" s="132">
        <f t="shared" si="52"/>
        <v>0</v>
      </c>
      <c r="R12" s="132">
        <f t="shared" si="52"/>
        <v>0</v>
      </c>
      <c r="S12" s="132">
        <f t="shared" si="52"/>
        <v>0</v>
      </c>
      <c r="T12" s="132">
        <f t="shared" si="52"/>
        <v>0</v>
      </c>
      <c r="U12" s="132">
        <f t="shared" si="52"/>
        <v>0</v>
      </c>
      <c r="V12" s="132">
        <f t="shared" si="52"/>
        <v>0</v>
      </c>
      <c r="W12" s="43">
        <f t="shared" si="1"/>
        <v>0</v>
      </c>
      <c r="X12" s="132">
        <f t="shared" si="52"/>
        <v>0</v>
      </c>
      <c r="Y12" s="43">
        <f t="shared" si="2"/>
        <v>233250.5986590038</v>
      </c>
      <c r="Z12" s="132">
        <f t="shared" si="52"/>
        <v>98364.31393678162</v>
      </c>
      <c r="AA12" s="132">
        <f t="shared" si="52"/>
        <v>1931.7229406130268</v>
      </c>
      <c r="AB12" s="132">
        <f t="shared" si="52"/>
        <v>0</v>
      </c>
      <c r="AC12" s="132">
        <f t="shared" si="52"/>
        <v>13766.463122605364</v>
      </c>
      <c r="AD12" s="132">
        <f t="shared" si="52"/>
        <v>0</v>
      </c>
      <c r="AE12" s="43">
        <f t="shared" si="3"/>
        <v>114062.5</v>
      </c>
      <c r="AF12" s="132">
        <f t="shared" si="52"/>
        <v>0</v>
      </c>
      <c r="AG12" s="132">
        <f t="shared" si="52"/>
        <v>9792.295258620688</v>
      </c>
      <c r="AH12" s="132">
        <f t="shared" si="52"/>
        <v>0</v>
      </c>
      <c r="AI12" s="132">
        <f t="shared" si="52"/>
        <v>92871.34818007662</v>
      </c>
      <c r="AJ12" s="132">
        <f t="shared" si="52"/>
        <v>0</v>
      </c>
      <c r="AK12" s="132">
        <f t="shared" si="52"/>
        <v>0</v>
      </c>
      <c r="AL12" s="132">
        <f t="shared" si="52"/>
        <v>15.894396551724139</v>
      </c>
      <c r="AM12" s="132">
        <f t="shared" si="52"/>
        <v>0</v>
      </c>
      <c r="AN12" s="132">
        <f t="shared" si="52"/>
        <v>0</v>
      </c>
      <c r="AO12" s="132">
        <f t="shared" si="52"/>
        <v>0</v>
      </c>
      <c r="AP12" s="132">
        <f t="shared" si="52"/>
        <v>0</v>
      </c>
      <c r="AQ12" s="132">
        <f t="shared" si="52"/>
        <v>0</v>
      </c>
      <c r="AR12" s="132">
        <f t="shared" si="52"/>
        <v>0</v>
      </c>
      <c r="AS12" s="4">
        <f t="shared" si="4"/>
        <v>0</v>
      </c>
      <c r="AT12" s="132">
        <f t="shared" si="52"/>
        <v>0</v>
      </c>
      <c r="AU12" s="4">
        <f>SUM(Z12:AT12)-AE12-AH12-AS12</f>
        <v>216742.03783524904</v>
      </c>
      <c r="AV12" s="132">
        <f t="shared" si="52"/>
        <v>0</v>
      </c>
      <c r="AW12" s="132">
        <f t="shared" si="52"/>
        <v>16508.56082375479</v>
      </c>
      <c r="AX12" s="143">
        <f t="shared" si="6"/>
        <v>-3.2741809263825417E-11</v>
      </c>
      <c r="AY12" s="132">
        <f t="shared" si="52"/>
        <v>0</v>
      </c>
      <c r="AZ12" s="132">
        <f t="shared" si="52"/>
        <v>0</v>
      </c>
      <c r="BA12" s="132">
        <f t="shared" si="52"/>
        <v>0</v>
      </c>
      <c r="BB12" s="132">
        <f t="shared" si="52"/>
        <v>0</v>
      </c>
      <c r="BC12" s="132">
        <f t="shared" si="52"/>
        <v>0</v>
      </c>
      <c r="BD12" s="132">
        <f t="shared" si="52"/>
        <v>0</v>
      </c>
      <c r="BE12" s="132">
        <f t="shared" si="52"/>
        <v>0</v>
      </c>
      <c r="BF12" s="43">
        <f t="shared" si="7"/>
        <v>0</v>
      </c>
      <c r="BG12" s="132">
        <f t="shared" si="52"/>
        <v>0</v>
      </c>
      <c r="BH12" s="132">
        <f t="shared" si="52"/>
        <v>0</v>
      </c>
      <c r="BI12" s="132">
        <f t="shared" si="52"/>
        <v>0</v>
      </c>
      <c r="BJ12" s="132">
        <f t="shared" si="52"/>
        <v>0</v>
      </c>
      <c r="BK12" s="132">
        <f t="shared" si="52"/>
        <v>0</v>
      </c>
      <c r="BL12" s="132">
        <f t="shared" si="52"/>
        <v>0</v>
      </c>
      <c r="BM12" s="132">
        <f t="shared" si="52"/>
        <v>0</v>
      </c>
      <c r="BN12" s="132">
        <f t="shared" si="52"/>
        <v>0</v>
      </c>
      <c r="BO12" s="43">
        <f t="shared" si="8"/>
        <v>0</v>
      </c>
      <c r="BP12" s="132">
        <f t="shared" si="52"/>
        <v>0</v>
      </c>
      <c r="BQ12" s="132">
        <f t="shared" si="52"/>
        <v>0</v>
      </c>
      <c r="BR12" s="132">
        <f t="shared" si="52"/>
        <v>0</v>
      </c>
      <c r="BS12" s="43">
        <f t="shared" si="9"/>
        <v>0</v>
      </c>
      <c r="BT12" s="132">
        <f t="shared" si="52"/>
        <v>579526.7840038314</v>
      </c>
      <c r="BU12" s="132">
        <f t="shared" si="52"/>
        <v>149665.34961685824</v>
      </c>
      <c r="BV12" s="132">
        <f aca="true" t="shared" si="53" ref="BV12:CA12">(BV41/($B$12+$B$14+$B$23)*$B$12)</f>
        <v>0</v>
      </c>
      <c r="BW12" s="132">
        <f t="shared" si="53"/>
        <v>0</v>
      </c>
      <c r="BX12" s="4">
        <f t="shared" si="10"/>
        <v>729192.1336206896</v>
      </c>
      <c r="BY12" s="132">
        <f t="shared" si="53"/>
        <v>136064.68510536398</v>
      </c>
      <c r="BZ12" s="132">
        <f t="shared" si="53"/>
        <v>0</v>
      </c>
      <c r="CA12" s="132">
        <f t="shared" si="53"/>
        <v>593127.4485153257</v>
      </c>
      <c r="CB12" s="4">
        <f t="shared" si="11"/>
        <v>729192.1336206896</v>
      </c>
      <c r="CC12" s="4">
        <f t="shared" si="12"/>
        <v>0</v>
      </c>
      <c r="CD12" s="74">
        <f t="shared" si="13"/>
        <v>-16508.56082375479</v>
      </c>
      <c r="CE12" s="76">
        <f t="shared" si="14"/>
        <v>-16508.56082375479</v>
      </c>
      <c r="CF12" s="76">
        <f t="shared" si="15"/>
        <v>0</v>
      </c>
      <c r="CG12" s="76">
        <f t="shared" si="35"/>
        <v>216742.03783524904</v>
      </c>
      <c r="CH12" s="76">
        <f>I12-AG12+AY12+AH12+BQ12</f>
        <v>-9792.295258620688</v>
      </c>
      <c r="CI12" s="37">
        <f t="shared" si="17"/>
        <v>-9792.295258620688</v>
      </c>
      <c r="CJ12" s="59" t="str">
        <f t="shared" si="36"/>
        <v>-</v>
      </c>
      <c r="CK12" s="59" t="str">
        <f t="shared" si="37"/>
        <v>-</v>
      </c>
      <c r="CL12" s="141">
        <f t="shared" si="38"/>
        <v>-0.07616686171560015</v>
      </c>
      <c r="CM12" s="141">
        <f t="shared" si="39"/>
        <v>-0.07616686171560015</v>
      </c>
      <c r="CN12" s="141">
        <f t="shared" si="40"/>
        <v>-0.0451794924345228</v>
      </c>
      <c r="CO12" s="141">
        <f t="shared" si="41"/>
        <v>-0.0451794924345228</v>
      </c>
      <c r="CP12" s="141">
        <f t="shared" si="42"/>
        <v>0</v>
      </c>
      <c r="CQ12" s="141">
        <f t="shared" si="43"/>
        <v>0</v>
      </c>
      <c r="CR12" s="142">
        <f t="shared" si="44"/>
        <v>-26.86255353406417</v>
      </c>
      <c r="CS12" s="76">
        <f t="shared" si="45"/>
        <v>443462.0988984675</v>
      </c>
      <c r="CT12" s="80">
        <f t="shared" si="18"/>
        <v>233250.5986590038</v>
      </c>
      <c r="CU12" s="80">
        <f t="shared" si="19"/>
        <v>216742.03783524904</v>
      </c>
      <c r="CV12" s="80">
        <f t="shared" si="20"/>
        <v>-16508.560823754757</v>
      </c>
      <c r="CW12" s="80">
        <f t="shared" si="21"/>
        <v>0</v>
      </c>
      <c r="CX12" s="80">
        <f t="shared" si="22"/>
        <v>-16508.560823754757</v>
      </c>
      <c r="CY12" s="80">
        <f t="shared" si="23"/>
        <v>-16508.560823754757</v>
      </c>
      <c r="CZ12" s="80">
        <f t="shared" si="24"/>
        <v>0</v>
      </c>
      <c r="DA12" s="80">
        <f t="shared" si="25"/>
        <v>0</v>
      </c>
      <c r="DB12" s="80">
        <f t="shared" si="26"/>
        <v>-16508.560823754757</v>
      </c>
      <c r="DC12" s="80">
        <f t="shared" si="46"/>
        <v>-16508.560823754757</v>
      </c>
      <c r="DD12" s="80">
        <f t="shared" si="27"/>
        <v>0</v>
      </c>
      <c r="DE12" s="80">
        <f t="shared" si="28"/>
        <v>-16508.560823754757</v>
      </c>
      <c r="DF12" s="80">
        <f t="shared" si="29"/>
        <v>100296.03687739464</v>
      </c>
      <c r="DG12" s="80">
        <f t="shared" si="30"/>
        <v>709.539358237548</v>
      </c>
      <c r="DH12" s="80">
        <f t="shared" si="31"/>
        <v>-15.6676724137931</v>
      </c>
      <c r="DI12" s="80">
        <f t="shared" si="32"/>
        <v>160.47365900383141</v>
      </c>
      <c r="DJ12" s="81">
        <f t="shared" si="33"/>
        <v>0</v>
      </c>
      <c r="DK12" s="76">
        <f t="shared" si="34"/>
        <v>-26.41369731800761</v>
      </c>
      <c r="DL12" s="145">
        <f t="shared" si="49"/>
        <v>443462.09889846743</v>
      </c>
      <c r="DM12" s="132">
        <f>(DM41/($B$12+$B$14+$B$23)*$B$12)</f>
        <v>0</v>
      </c>
      <c r="DN12" s="68"/>
    </row>
    <row r="13" spans="1:118" ht="12.75">
      <c r="A13" s="52" t="s">
        <v>8</v>
      </c>
      <c r="B13" s="4"/>
      <c r="C13" s="76"/>
      <c r="D13" s="69"/>
      <c r="E13" s="143"/>
      <c r="F13" s="8"/>
      <c r="G13" s="131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f t="shared" si="0"/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0</v>
      </c>
      <c r="X13" s="43">
        <v>0</v>
      </c>
      <c r="Y13" s="43">
        <f t="shared" si="2"/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f t="shared" si="3"/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0</v>
      </c>
      <c r="AV13" s="4">
        <v>0</v>
      </c>
      <c r="AW13" s="4">
        <v>0</v>
      </c>
      <c r="AX13" s="143">
        <f t="shared" si="6"/>
        <v>0</v>
      </c>
      <c r="AY13" s="43"/>
      <c r="AZ13" s="43"/>
      <c r="BA13" s="43"/>
      <c r="BB13" s="43"/>
      <c r="BC13" s="43"/>
      <c r="BD13" s="43"/>
      <c r="BE13" s="43"/>
      <c r="BF13" s="43">
        <f t="shared" si="7"/>
        <v>0</v>
      </c>
      <c r="BG13" s="43"/>
      <c r="BH13" s="43"/>
      <c r="BI13" s="43"/>
      <c r="BJ13" s="43"/>
      <c r="BK13" s="43"/>
      <c r="BL13" s="43"/>
      <c r="BM13" s="43"/>
      <c r="BN13" s="43"/>
      <c r="BO13" s="43">
        <f t="shared" si="8"/>
        <v>0</v>
      </c>
      <c r="BP13" s="43"/>
      <c r="BQ13" s="43"/>
      <c r="BR13" s="43"/>
      <c r="BS13" s="43">
        <f t="shared" si="9"/>
        <v>0</v>
      </c>
      <c r="BT13" s="4"/>
      <c r="BU13" s="4"/>
      <c r="BV13" s="4"/>
      <c r="BW13" s="4"/>
      <c r="BX13" s="4">
        <f t="shared" si="10"/>
        <v>0</v>
      </c>
      <c r="BY13" s="4"/>
      <c r="BZ13" s="4"/>
      <c r="CA13" s="4"/>
      <c r="CB13" s="4">
        <f t="shared" si="11"/>
        <v>0</v>
      </c>
      <c r="CC13" s="4">
        <f t="shared" si="12"/>
        <v>0</v>
      </c>
      <c r="CD13" s="74">
        <f t="shared" si="13"/>
        <v>0</v>
      </c>
      <c r="CE13" s="76">
        <f t="shared" si="14"/>
        <v>0</v>
      </c>
      <c r="CF13" s="76">
        <f t="shared" si="15"/>
        <v>0</v>
      </c>
      <c r="CG13" s="76">
        <f t="shared" si="35"/>
        <v>0</v>
      </c>
      <c r="CH13" s="76">
        <f t="shared" si="16"/>
        <v>0</v>
      </c>
      <c r="CI13" s="37">
        <f t="shared" si="17"/>
        <v>0</v>
      </c>
      <c r="CJ13" s="59" t="str">
        <f t="shared" si="36"/>
        <v>-</v>
      </c>
      <c r="CK13" s="59" t="str">
        <f t="shared" si="37"/>
        <v>-</v>
      </c>
      <c r="CL13" s="141" t="str">
        <f t="shared" si="38"/>
        <v>-</v>
      </c>
      <c r="CM13" s="141" t="str">
        <f t="shared" si="39"/>
        <v>-</v>
      </c>
      <c r="CN13" s="141" t="str">
        <f t="shared" si="40"/>
        <v>-</v>
      </c>
      <c r="CO13" s="141" t="str">
        <f t="shared" si="41"/>
        <v>-</v>
      </c>
      <c r="CP13" s="141" t="str">
        <f t="shared" si="42"/>
        <v>-</v>
      </c>
      <c r="CQ13" s="141" t="str">
        <f t="shared" si="43"/>
        <v>-</v>
      </c>
      <c r="CR13" s="142" t="str">
        <f t="shared" si="44"/>
        <v>-</v>
      </c>
      <c r="CS13" s="76">
        <f t="shared" si="45"/>
        <v>0</v>
      </c>
      <c r="CT13" s="80">
        <f t="shared" si="18"/>
        <v>0</v>
      </c>
      <c r="CU13" s="80">
        <f t="shared" si="19"/>
        <v>0</v>
      </c>
      <c r="CV13" s="80">
        <f t="shared" si="20"/>
        <v>0</v>
      </c>
      <c r="CW13" s="80">
        <f t="shared" si="21"/>
        <v>0</v>
      </c>
      <c r="CX13" s="80">
        <f t="shared" si="22"/>
        <v>0</v>
      </c>
      <c r="CY13" s="80">
        <f t="shared" si="23"/>
        <v>0</v>
      </c>
      <c r="CZ13" s="80">
        <f t="shared" si="24"/>
        <v>0</v>
      </c>
      <c r="DA13" s="80">
        <f t="shared" si="25"/>
        <v>0</v>
      </c>
      <c r="DB13" s="80">
        <f t="shared" si="26"/>
        <v>0</v>
      </c>
      <c r="DC13" s="80">
        <f t="shared" si="46"/>
        <v>0</v>
      </c>
      <c r="DD13" s="80">
        <f t="shared" si="27"/>
        <v>0</v>
      </c>
      <c r="DE13" s="80">
        <f t="shared" si="28"/>
        <v>0</v>
      </c>
      <c r="DF13" s="80">
        <f t="shared" si="29"/>
        <v>0</v>
      </c>
      <c r="DG13" s="80" t="e">
        <f t="shared" si="30"/>
        <v>#DIV/0!</v>
      </c>
      <c r="DH13" s="80" t="e">
        <f t="shared" si="31"/>
        <v>#DIV/0!</v>
      </c>
      <c r="DI13" s="80" t="e">
        <f t="shared" si="32"/>
        <v>#DIV/0!</v>
      </c>
      <c r="DJ13" s="81" t="e">
        <f t="shared" si="33"/>
        <v>#DIV/0!</v>
      </c>
      <c r="DK13" s="76" t="e">
        <f t="shared" si="34"/>
        <v>#DIV/0!</v>
      </c>
      <c r="DL13" s="145">
        <f t="shared" si="49"/>
        <v>0</v>
      </c>
      <c r="DM13" s="160"/>
      <c r="DN13" s="65"/>
    </row>
    <row r="14" spans="1:118" ht="12.75">
      <c r="A14" s="51" t="s">
        <v>33</v>
      </c>
      <c r="B14" s="38">
        <v>174</v>
      </c>
      <c r="C14" s="164">
        <v>532792</v>
      </c>
      <c r="D14" s="66">
        <v>3062.02</v>
      </c>
      <c r="E14" s="167">
        <v>85.4</v>
      </c>
      <c r="F14" s="126">
        <v>3</v>
      </c>
      <c r="G14" s="132">
        <f>(G41/($B$12+$B$14+$B$23)*$B$14)</f>
        <v>3905.9083333333338</v>
      </c>
      <c r="H14" s="132">
        <f aca="true" t="shared" si="54" ref="H14:BU14">(H41/($B$12+$B$14+$B$23)*$B$14)</f>
        <v>751.3416666666667</v>
      </c>
      <c r="I14" s="132">
        <f t="shared" si="54"/>
        <v>0</v>
      </c>
      <c r="J14" s="132">
        <f t="shared" si="54"/>
        <v>0</v>
      </c>
      <c r="K14" s="132">
        <f t="shared" si="54"/>
        <v>0</v>
      </c>
      <c r="L14" s="132">
        <f t="shared" si="54"/>
        <v>0</v>
      </c>
      <c r="M14" s="43">
        <f t="shared" si="0"/>
        <v>0</v>
      </c>
      <c r="N14" s="132">
        <f t="shared" si="54"/>
        <v>0</v>
      </c>
      <c r="O14" s="132">
        <f t="shared" si="54"/>
        <v>0</v>
      </c>
      <c r="P14" s="132">
        <f t="shared" si="54"/>
        <v>60279.71666666666</v>
      </c>
      <c r="Q14" s="132">
        <f t="shared" si="54"/>
        <v>0</v>
      </c>
      <c r="R14" s="132">
        <f t="shared" si="54"/>
        <v>0</v>
      </c>
      <c r="S14" s="132">
        <f t="shared" si="54"/>
        <v>0</v>
      </c>
      <c r="T14" s="132">
        <f t="shared" si="54"/>
        <v>0</v>
      </c>
      <c r="U14" s="132">
        <f t="shared" si="54"/>
        <v>0</v>
      </c>
      <c r="V14" s="132">
        <f t="shared" si="54"/>
        <v>0</v>
      </c>
      <c r="W14" s="43">
        <f t="shared" si="1"/>
        <v>0</v>
      </c>
      <c r="X14" s="132">
        <f t="shared" si="54"/>
        <v>0</v>
      </c>
      <c r="Y14" s="43">
        <f t="shared" si="2"/>
        <v>64936.96666666666</v>
      </c>
      <c r="Z14" s="132">
        <f t="shared" si="54"/>
        <v>27384.625</v>
      </c>
      <c r="AA14" s="132">
        <f t="shared" si="54"/>
        <v>537.7916666666666</v>
      </c>
      <c r="AB14" s="132">
        <f t="shared" si="54"/>
        <v>0</v>
      </c>
      <c r="AC14" s="132">
        <f t="shared" si="54"/>
        <v>3832.583333333333</v>
      </c>
      <c r="AD14" s="132">
        <f t="shared" si="54"/>
        <v>0</v>
      </c>
      <c r="AE14" s="43">
        <f t="shared" si="3"/>
        <v>31755</v>
      </c>
      <c r="AF14" s="132">
        <f t="shared" si="54"/>
        <v>0</v>
      </c>
      <c r="AG14" s="132">
        <f t="shared" si="54"/>
        <v>2726.1749999999997</v>
      </c>
      <c r="AH14" s="132">
        <f t="shared" si="54"/>
        <v>0</v>
      </c>
      <c r="AI14" s="132">
        <f t="shared" si="54"/>
        <v>25855.38333333333</v>
      </c>
      <c r="AJ14" s="132">
        <f t="shared" si="54"/>
        <v>0</v>
      </c>
      <c r="AK14" s="132">
        <f t="shared" si="54"/>
        <v>0</v>
      </c>
      <c r="AL14" s="132">
        <f t="shared" si="54"/>
        <v>4.425000000000001</v>
      </c>
      <c r="AM14" s="132">
        <f t="shared" si="54"/>
        <v>0</v>
      </c>
      <c r="AN14" s="132">
        <f t="shared" si="54"/>
        <v>0</v>
      </c>
      <c r="AO14" s="132">
        <f t="shared" si="54"/>
        <v>0</v>
      </c>
      <c r="AP14" s="132">
        <f t="shared" si="54"/>
        <v>0</v>
      </c>
      <c r="AQ14" s="132">
        <f t="shared" si="54"/>
        <v>0</v>
      </c>
      <c r="AR14" s="132">
        <f t="shared" si="54"/>
        <v>0</v>
      </c>
      <c r="AS14" s="4">
        <f t="shared" si="4"/>
        <v>0</v>
      </c>
      <c r="AT14" s="132">
        <f t="shared" si="54"/>
        <v>0</v>
      </c>
      <c r="AU14" s="4">
        <f t="shared" si="5"/>
        <v>60340.98333333334</v>
      </c>
      <c r="AV14" s="132">
        <f t="shared" si="54"/>
        <v>0</v>
      </c>
      <c r="AW14" s="132">
        <f t="shared" si="54"/>
        <v>4595.983333333334</v>
      </c>
      <c r="AX14" s="4">
        <f t="shared" si="6"/>
        <v>-1.0913936421275139E-11</v>
      </c>
      <c r="AY14" s="132">
        <f t="shared" si="54"/>
        <v>0</v>
      </c>
      <c r="AZ14" s="132">
        <f t="shared" si="54"/>
        <v>0</v>
      </c>
      <c r="BA14" s="132">
        <f t="shared" si="54"/>
        <v>0</v>
      </c>
      <c r="BB14" s="132">
        <f t="shared" si="54"/>
        <v>0</v>
      </c>
      <c r="BC14" s="132">
        <f t="shared" si="54"/>
        <v>0</v>
      </c>
      <c r="BD14" s="132">
        <f t="shared" si="54"/>
        <v>0</v>
      </c>
      <c r="BE14" s="132">
        <f t="shared" si="54"/>
        <v>0</v>
      </c>
      <c r="BF14" s="43">
        <f t="shared" si="7"/>
        <v>0</v>
      </c>
      <c r="BG14" s="132">
        <f t="shared" si="54"/>
        <v>0</v>
      </c>
      <c r="BH14" s="132">
        <f t="shared" si="54"/>
        <v>0</v>
      </c>
      <c r="BI14" s="132">
        <f t="shared" si="54"/>
        <v>0</v>
      </c>
      <c r="BJ14" s="132">
        <f t="shared" si="54"/>
        <v>0</v>
      </c>
      <c r="BK14" s="132">
        <f t="shared" si="54"/>
        <v>0</v>
      </c>
      <c r="BL14" s="132">
        <f t="shared" si="54"/>
        <v>0</v>
      </c>
      <c r="BM14" s="132">
        <f t="shared" si="54"/>
        <v>0</v>
      </c>
      <c r="BN14" s="132">
        <f t="shared" si="54"/>
        <v>0</v>
      </c>
      <c r="BO14" s="43">
        <f t="shared" si="8"/>
        <v>0</v>
      </c>
      <c r="BP14" s="132">
        <f t="shared" si="54"/>
        <v>0</v>
      </c>
      <c r="BQ14" s="132">
        <f t="shared" si="54"/>
        <v>0</v>
      </c>
      <c r="BR14" s="132">
        <f t="shared" si="54"/>
        <v>0</v>
      </c>
      <c r="BS14" s="43">
        <f t="shared" si="9"/>
        <v>0</v>
      </c>
      <c r="BT14" s="132">
        <f t="shared" si="54"/>
        <v>161340.25666666668</v>
      </c>
      <c r="BU14" s="132">
        <f t="shared" si="54"/>
        <v>41666.833333333336</v>
      </c>
      <c r="BV14" s="132">
        <f aca="true" t="shared" si="55" ref="BV14:CA14">(BV41/($B$12+$B$14+$B$23)*$B$14)</f>
        <v>0</v>
      </c>
      <c r="BW14" s="132">
        <f t="shared" si="55"/>
        <v>0</v>
      </c>
      <c r="BX14" s="4">
        <f t="shared" si="10"/>
        <v>203007.09000000003</v>
      </c>
      <c r="BY14" s="132">
        <f t="shared" si="55"/>
        <v>37880.40833333333</v>
      </c>
      <c r="BZ14" s="132">
        <f t="shared" si="55"/>
        <v>0</v>
      </c>
      <c r="CA14" s="132">
        <f t="shared" si="55"/>
        <v>165126.68166666667</v>
      </c>
      <c r="CB14" s="4">
        <f t="shared" si="11"/>
        <v>203007.09</v>
      </c>
      <c r="CC14" s="4">
        <f t="shared" si="12"/>
        <v>0</v>
      </c>
      <c r="CD14" s="74">
        <f t="shared" si="13"/>
        <v>-4595.983333333334</v>
      </c>
      <c r="CE14" s="76">
        <f t="shared" si="14"/>
        <v>-4595.983333333334</v>
      </c>
      <c r="CF14" s="76">
        <f t="shared" si="15"/>
        <v>0</v>
      </c>
      <c r="CG14" s="76">
        <f t="shared" si="35"/>
        <v>60340.98333333334</v>
      </c>
      <c r="CH14" s="76">
        <f t="shared" si="16"/>
        <v>-2726.1749999999997</v>
      </c>
      <c r="CI14" s="37">
        <f t="shared" si="17"/>
        <v>-2726.1749999999997</v>
      </c>
      <c r="CJ14" s="59" t="str">
        <f t="shared" si="36"/>
        <v>-</v>
      </c>
      <c r="CK14" s="59" t="str">
        <f t="shared" si="37"/>
        <v>-</v>
      </c>
      <c r="CL14" s="141">
        <f t="shared" si="38"/>
        <v>-0.07616686171560015</v>
      </c>
      <c r="CM14" s="141">
        <f t="shared" si="39"/>
        <v>-0.07616686171560015</v>
      </c>
      <c r="CN14" s="141">
        <f t="shared" si="40"/>
        <v>-0.045179492434522794</v>
      </c>
      <c r="CO14" s="141">
        <f t="shared" si="41"/>
        <v>-0.045179492434522794</v>
      </c>
      <c r="CP14" s="141">
        <f t="shared" si="42"/>
        <v>0</v>
      </c>
      <c r="CQ14" s="141">
        <f t="shared" si="43"/>
        <v>0</v>
      </c>
      <c r="CR14" s="142">
        <f t="shared" si="44"/>
        <v>-26.86255353406417</v>
      </c>
      <c r="CS14" s="76">
        <f t="shared" si="45"/>
        <v>123459.84833333336</v>
      </c>
      <c r="CT14" s="80">
        <f t="shared" si="18"/>
        <v>64936.96666666666</v>
      </c>
      <c r="CU14" s="80">
        <f t="shared" si="19"/>
        <v>60340.98333333334</v>
      </c>
      <c r="CV14" s="80">
        <f t="shared" si="20"/>
        <v>-4595.983333333323</v>
      </c>
      <c r="CW14" s="80">
        <f t="shared" si="21"/>
        <v>0</v>
      </c>
      <c r="CX14" s="80">
        <f t="shared" si="22"/>
        <v>-4595.983333333323</v>
      </c>
      <c r="CY14" s="80">
        <f t="shared" si="23"/>
        <v>-4595.983333333323</v>
      </c>
      <c r="CZ14" s="80">
        <f t="shared" si="24"/>
        <v>0</v>
      </c>
      <c r="DA14" s="80">
        <f t="shared" si="25"/>
        <v>0</v>
      </c>
      <c r="DB14" s="80">
        <f t="shared" si="26"/>
        <v>-4595.983333333323</v>
      </c>
      <c r="DC14" s="80">
        <f t="shared" si="46"/>
        <v>-4595.983333333323</v>
      </c>
      <c r="DD14" s="80">
        <f t="shared" si="27"/>
        <v>0</v>
      </c>
      <c r="DE14" s="80">
        <f t="shared" si="28"/>
        <v>-4595.983333333323</v>
      </c>
      <c r="DF14" s="80">
        <f t="shared" si="29"/>
        <v>27922.416666666668</v>
      </c>
      <c r="DG14" s="80">
        <f t="shared" si="30"/>
        <v>709.5393582375481</v>
      </c>
      <c r="DH14" s="80">
        <f t="shared" si="31"/>
        <v>-15.667672413793102</v>
      </c>
      <c r="DI14" s="80">
        <f t="shared" si="32"/>
        <v>160.47365900383141</v>
      </c>
      <c r="DJ14" s="81">
        <f t="shared" si="33"/>
        <v>0</v>
      </c>
      <c r="DK14" s="76">
        <f t="shared" si="34"/>
        <v>-26.4136973180076</v>
      </c>
      <c r="DL14" s="145">
        <f t="shared" si="49"/>
        <v>123459.84833333333</v>
      </c>
      <c r="DM14" s="132">
        <f>(DM41/($B$12+$B$14+$B$23)*$B$14)</f>
        <v>0</v>
      </c>
      <c r="DN14" s="68"/>
    </row>
    <row r="15" spans="1:118" ht="12.75">
      <c r="A15" s="52" t="s">
        <v>9</v>
      </c>
      <c r="B15" s="4">
        <v>1134</v>
      </c>
      <c r="C15" s="76">
        <v>3422784</v>
      </c>
      <c r="D15" s="69">
        <v>3018.33</v>
      </c>
      <c r="E15" s="143">
        <v>84.19</v>
      </c>
      <c r="F15" s="8">
        <v>6</v>
      </c>
      <c r="G15" s="131">
        <v>22195</v>
      </c>
      <c r="H15" s="43">
        <v>9573.15</v>
      </c>
      <c r="I15" s="43">
        <v>2983.15</v>
      </c>
      <c r="J15" s="43">
        <v>0</v>
      </c>
      <c r="K15" s="43">
        <v>13000</v>
      </c>
      <c r="L15" s="43">
        <v>0</v>
      </c>
      <c r="M15" s="43">
        <f t="shared" si="0"/>
        <v>13000</v>
      </c>
      <c r="N15" s="43">
        <v>0</v>
      </c>
      <c r="O15" s="43">
        <v>9401.05</v>
      </c>
      <c r="P15" s="43">
        <v>489316.75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f>SUM(R15:V15)</f>
        <v>0</v>
      </c>
      <c r="X15" s="43">
        <v>0</v>
      </c>
      <c r="Y15" s="43">
        <f>SUM(G15:X15)-M15-W15</f>
        <v>546469.1</v>
      </c>
      <c r="Z15" s="43">
        <v>182199.85</v>
      </c>
      <c r="AA15" s="43">
        <v>106960.95</v>
      </c>
      <c r="AB15" s="43">
        <v>0</v>
      </c>
      <c r="AC15" s="43">
        <v>24977.85</v>
      </c>
      <c r="AD15" s="43">
        <v>0</v>
      </c>
      <c r="AE15" s="43">
        <f>SUM(Z15:AD15)</f>
        <v>314138.64999999997</v>
      </c>
      <c r="AF15" s="43">
        <v>0</v>
      </c>
      <c r="AG15" s="43">
        <v>1526.2</v>
      </c>
      <c r="AH15" s="43">
        <v>0</v>
      </c>
      <c r="AI15" s="43">
        <v>225580.3</v>
      </c>
      <c r="AJ15" s="43">
        <v>0</v>
      </c>
      <c r="AK15" s="43">
        <v>1431</v>
      </c>
      <c r="AL15" s="43">
        <v>0</v>
      </c>
      <c r="AM15" s="43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f>SUM(AN15:AR15)</f>
        <v>0</v>
      </c>
      <c r="AT15" s="4">
        <v>0</v>
      </c>
      <c r="AU15" s="4">
        <f>SUM(Z15:AT15)-AE15-AH15-AS15</f>
        <v>542676.1499999999</v>
      </c>
      <c r="AV15" s="4">
        <v>0</v>
      </c>
      <c r="AW15" s="4">
        <v>3792.95</v>
      </c>
      <c r="AX15" s="143">
        <f>Y15-AU15+AV15-AW15</f>
        <v>7.003109203651547E-11</v>
      </c>
      <c r="AY15" s="43"/>
      <c r="AZ15" s="43"/>
      <c r="BA15" s="43"/>
      <c r="BB15" s="43"/>
      <c r="BC15" s="43"/>
      <c r="BD15" s="43"/>
      <c r="BE15" s="43"/>
      <c r="BF15" s="43">
        <f>SUM(AZ15:BE15)</f>
        <v>0</v>
      </c>
      <c r="BG15" s="43"/>
      <c r="BH15" s="43"/>
      <c r="BI15" s="43"/>
      <c r="BJ15" s="43"/>
      <c r="BK15" s="43"/>
      <c r="BL15" s="43"/>
      <c r="BM15" s="43"/>
      <c r="BN15" s="43"/>
      <c r="BO15" s="43">
        <f>SUM(BG15:BN15)</f>
        <v>0</v>
      </c>
      <c r="BP15" s="43"/>
      <c r="BQ15" s="43"/>
      <c r="BR15" s="43"/>
      <c r="BS15" s="43">
        <f>+BF15-BO15+BP15+BQ15-BR15</f>
        <v>0</v>
      </c>
      <c r="BT15" s="4">
        <v>571403.25</v>
      </c>
      <c r="BU15" s="4">
        <v>117000</v>
      </c>
      <c r="BV15" s="4">
        <v>0</v>
      </c>
      <c r="BW15" s="4">
        <v>0</v>
      </c>
      <c r="BX15" s="4">
        <f>SUM(BT15:BW15)</f>
        <v>688403.25</v>
      </c>
      <c r="BY15" s="4">
        <v>311328.8</v>
      </c>
      <c r="BZ15" s="4">
        <v>0</v>
      </c>
      <c r="CA15" s="4">
        <v>377074.45</v>
      </c>
      <c r="CB15" s="4">
        <f>SUM(BY15:CA15)</f>
        <v>688403.25</v>
      </c>
      <c r="CC15" s="4">
        <f>BX15-CB15</f>
        <v>0</v>
      </c>
      <c r="CD15" s="74">
        <f>K15+L15+AV15-AW15</f>
        <v>9207.05</v>
      </c>
      <c r="CE15" s="76">
        <f>CD15+W15-AS15</f>
        <v>9207.05</v>
      </c>
      <c r="CF15" s="76">
        <f>BR15-BP15</f>
        <v>0</v>
      </c>
      <c r="CG15" s="76">
        <f t="shared" si="35"/>
        <v>542676.1499999999</v>
      </c>
      <c r="CH15" s="76">
        <f>I15-AG15+AY15+AH15+BQ15</f>
        <v>1456.95</v>
      </c>
      <c r="CI15" s="37">
        <f>CH15+K15</f>
        <v>14456.95</v>
      </c>
      <c r="CJ15" s="59" t="str">
        <f t="shared" si="36"/>
        <v>-</v>
      </c>
      <c r="CK15" s="59" t="str">
        <f t="shared" si="37"/>
        <v>-</v>
      </c>
      <c r="CL15" s="141">
        <f t="shared" si="38"/>
        <v>0.01696601186545604</v>
      </c>
      <c r="CM15" s="141">
        <f t="shared" si="39"/>
        <v>0.01696601186545604</v>
      </c>
      <c r="CN15" s="141">
        <f t="shared" si="40"/>
        <v>0.0026847503801300282</v>
      </c>
      <c r="CO15" s="141">
        <f t="shared" si="41"/>
        <v>0.02664010570576946</v>
      </c>
      <c r="CP15" s="141">
        <f t="shared" si="42"/>
        <v>0.1</v>
      </c>
      <c r="CQ15" s="141">
        <f t="shared" si="43"/>
        <v>0.1</v>
      </c>
      <c r="CR15" s="142">
        <f t="shared" si="44"/>
        <v>28.247315915521263</v>
      </c>
      <c r="CS15" s="76">
        <f t="shared" si="45"/>
        <v>260074.45</v>
      </c>
      <c r="CT15" s="80">
        <f>Y15-K15-L15-V15</f>
        <v>533469.1</v>
      </c>
      <c r="CU15" s="80">
        <f>AU15-AR15</f>
        <v>542676.1499999999</v>
      </c>
      <c r="CV15" s="80">
        <f>CU15-CT15</f>
        <v>9207.04999999993</v>
      </c>
      <c r="CW15" s="80">
        <f>-V15+AR15</f>
        <v>0</v>
      </c>
      <c r="CX15" s="80">
        <f>CV15+CW15</f>
        <v>9207.04999999993</v>
      </c>
      <c r="CY15" s="80">
        <f>CX15-K15-L15</f>
        <v>-3792.95000000007</v>
      </c>
      <c r="CZ15" s="80">
        <f>BR15-BP15</f>
        <v>0</v>
      </c>
      <c r="DA15" s="80">
        <f>K15+L15</f>
        <v>13000</v>
      </c>
      <c r="DB15" s="80">
        <f>-CZ15+DA15+CY15</f>
        <v>9207.04999999993</v>
      </c>
      <c r="DC15" s="80">
        <f t="shared" si="46"/>
        <v>9207.04999999993</v>
      </c>
      <c r="DD15" s="80">
        <f>-BP15-DA15</f>
        <v>-13000</v>
      </c>
      <c r="DE15" s="80">
        <f>DB15+DD15+BR15</f>
        <v>-3792.95000000007</v>
      </c>
      <c r="DF15" s="80">
        <f>Z15+AA15+AB15</f>
        <v>289160.8</v>
      </c>
      <c r="DG15" s="80">
        <f>CS15/B15</f>
        <v>229.34254850088183</v>
      </c>
      <c r="DH15" s="80">
        <f>CH15/B15</f>
        <v>1.2847883597883598</v>
      </c>
      <c r="DI15" s="80">
        <f>DF15/B15</f>
        <v>254.99188712522044</v>
      </c>
      <c r="DJ15" s="81">
        <f>CZ15/B15</f>
        <v>0</v>
      </c>
      <c r="DK15" s="76">
        <f>DB15/B15</f>
        <v>8.119091710758315</v>
      </c>
      <c r="DL15" s="145">
        <f t="shared" si="49"/>
        <v>260074.45</v>
      </c>
      <c r="DM15" s="160">
        <v>0</v>
      </c>
      <c r="DN15" s="65"/>
    </row>
    <row r="16" spans="1:118" ht="12.75">
      <c r="A16" s="51" t="s">
        <v>34</v>
      </c>
      <c r="B16" s="38">
        <v>1145</v>
      </c>
      <c r="C16" s="164">
        <v>2949932</v>
      </c>
      <c r="D16" s="66">
        <v>2576.36</v>
      </c>
      <c r="E16" s="167">
        <v>71.86</v>
      </c>
      <c r="F16" s="126">
        <v>4</v>
      </c>
      <c r="G16" s="13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3">
        <f t="shared" si="0"/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3">
        <f aca="true" t="shared" si="56" ref="W16:W31">SUM(R16:V16)</f>
        <v>0</v>
      </c>
      <c r="X16" s="42">
        <v>0</v>
      </c>
      <c r="Y16" s="43">
        <f aca="true" t="shared" si="57" ref="Y16:Y31">SUM(G16:X16)-M16-W16</f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3">
        <f aca="true" t="shared" si="58" ref="AE16:AE31">SUM(Z16:AD16)</f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4">
        <f aca="true" t="shared" si="59" ref="AS16:AS31">SUM(AN16:AR16)</f>
        <v>0</v>
      </c>
      <c r="AT16" s="38">
        <v>0</v>
      </c>
      <c r="AU16" s="4">
        <f aca="true" t="shared" si="60" ref="AU16:AU31">SUM(Z16:AT16)-AE16-AH16-AS16</f>
        <v>0</v>
      </c>
      <c r="AV16" s="38">
        <v>0</v>
      </c>
      <c r="AW16" s="38">
        <v>0</v>
      </c>
      <c r="AX16" s="4">
        <f aca="true" t="shared" si="61" ref="AX16:AX31">Y16-AU16+AV16-AW16</f>
        <v>0</v>
      </c>
      <c r="AY16" s="42"/>
      <c r="AZ16" s="42"/>
      <c r="BA16" s="42"/>
      <c r="BB16" s="42"/>
      <c r="BC16" s="42"/>
      <c r="BD16" s="42"/>
      <c r="BE16" s="42"/>
      <c r="BF16" s="43">
        <f aca="true" t="shared" si="62" ref="BF16:BF31">SUM(AZ16:BE16)</f>
        <v>0</v>
      </c>
      <c r="BG16" s="42"/>
      <c r="BH16" s="42"/>
      <c r="BI16" s="42"/>
      <c r="BJ16" s="42"/>
      <c r="BK16" s="42"/>
      <c r="BL16" s="42"/>
      <c r="BM16" s="42"/>
      <c r="BN16" s="42"/>
      <c r="BO16" s="43">
        <f aca="true" t="shared" si="63" ref="BO16:BO31">SUM(BG16:BN16)</f>
        <v>0</v>
      </c>
      <c r="BP16" s="42"/>
      <c r="BQ16" s="42"/>
      <c r="BR16" s="42"/>
      <c r="BS16" s="43">
        <f aca="true" t="shared" si="64" ref="BS16:BS31">+BF16-BO16+BP16+BQ16-BR16</f>
        <v>0</v>
      </c>
      <c r="BT16" s="38"/>
      <c r="BU16" s="38"/>
      <c r="BV16" s="38"/>
      <c r="BW16" s="38"/>
      <c r="BX16" s="4">
        <f aca="true" t="shared" si="65" ref="BX16:BX31">SUM(BT16:BW16)</f>
        <v>0</v>
      </c>
      <c r="BY16" s="38"/>
      <c r="BZ16" s="38"/>
      <c r="CA16" s="38"/>
      <c r="CB16" s="4">
        <f aca="true" t="shared" si="66" ref="CB16:CB31">SUM(BY16:CA16)</f>
        <v>0</v>
      </c>
      <c r="CC16" s="4">
        <f aca="true" t="shared" si="67" ref="CC16:CC31">BX16-CB16</f>
        <v>0</v>
      </c>
      <c r="CD16" s="74">
        <f aca="true" t="shared" si="68" ref="CD16:CD31">K16+L16+AV16-AW16</f>
        <v>0</v>
      </c>
      <c r="CE16" s="76">
        <f aca="true" t="shared" si="69" ref="CE16:CE31">CD16+W16-AS16</f>
        <v>0</v>
      </c>
      <c r="CF16" s="76">
        <f aca="true" t="shared" si="70" ref="CF16:CF31">BR16-BP16</f>
        <v>0</v>
      </c>
      <c r="CG16" s="76">
        <f t="shared" si="35"/>
        <v>0</v>
      </c>
      <c r="CH16" s="76">
        <f aca="true" t="shared" si="71" ref="CH16:CH31">I16-AG16+AY16+AH16+BQ16</f>
        <v>0</v>
      </c>
      <c r="CI16" s="37">
        <f aca="true" t="shared" si="72" ref="CI16:CI31">CH16+K16</f>
        <v>0</v>
      </c>
      <c r="CJ16" s="59" t="str">
        <f t="shared" si="36"/>
        <v>-</v>
      </c>
      <c r="CK16" s="59" t="str">
        <f t="shared" si="37"/>
        <v>-</v>
      </c>
      <c r="CL16" s="141" t="str">
        <f t="shared" si="38"/>
        <v>-</v>
      </c>
      <c r="CM16" s="141" t="str">
        <f t="shared" si="39"/>
        <v>-</v>
      </c>
      <c r="CN16" s="141" t="str">
        <f t="shared" si="40"/>
        <v>-</v>
      </c>
      <c r="CO16" s="141" t="str">
        <f t="shared" si="41"/>
        <v>-</v>
      </c>
      <c r="CP16" s="141" t="str">
        <f t="shared" si="42"/>
        <v>-</v>
      </c>
      <c r="CQ16" s="141" t="str">
        <f t="shared" si="43"/>
        <v>-</v>
      </c>
      <c r="CR16" s="142" t="str">
        <f t="shared" si="44"/>
        <v>-</v>
      </c>
      <c r="CS16" s="76">
        <f t="shared" si="45"/>
        <v>0</v>
      </c>
      <c r="CT16" s="80">
        <f aca="true" t="shared" si="73" ref="CT16:CT31">Y16-K16-L16-V16</f>
        <v>0</v>
      </c>
      <c r="CU16" s="80">
        <f aca="true" t="shared" si="74" ref="CU16:CU31">AU16-AR16</f>
        <v>0</v>
      </c>
      <c r="CV16" s="80">
        <f aca="true" t="shared" si="75" ref="CV16:CV31">CU16-CT16</f>
        <v>0</v>
      </c>
      <c r="CW16" s="80">
        <f aca="true" t="shared" si="76" ref="CW16:CW31">-V16+AR16</f>
        <v>0</v>
      </c>
      <c r="CX16" s="80">
        <f aca="true" t="shared" si="77" ref="CX16:CX31">CV16+CW16</f>
        <v>0</v>
      </c>
      <c r="CY16" s="80">
        <f aca="true" t="shared" si="78" ref="CY16:CY31">CX16-K16-L16</f>
        <v>0</v>
      </c>
      <c r="CZ16" s="80">
        <f aca="true" t="shared" si="79" ref="CZ16:CZ31">BR16-BP16</f>
        <v>0</v>
      </c>
      <c r="DA16" s="80">
        <f aca="true" t="shared" si="80" ref="DA16:DA31">K16+L16</f>
        <v>0</v>
      </c>
      <c r="DB16" s="80">
        <f aca="true" t="shared" si="81" ref="DB16:DB31">-CZ16+DA16+CY16</f>
        <v>0</v>
      </c>
      <c r="DC16" s="80">
        <f t="shared" si="46"/>
        <v>0</v>
      </c>
      <c r="DD16" s="80">
        <f aca="true" t="shared" si="82" ref="DD16:DD31">-BP16-DA16</f>
        <v>0</v>
      </c>
      <c r="DE16" s="80">
        <f aca="true" t="shared" si="83" ref="DE16:DE31">DB16+DD16+BR16</f>
        <v>0</v>
      </c>
      <c r="DF16" s="80">
        <f aca="true" t="shared" si="84" ref="DF16:DF31">Z16+AA16+AB16</f>
        <v>0</v>
      </c>
      <c r="DG16" s="80">
        <f aca="true" t="shared" si="85" ref="DG16:DG31">CS16/B16</f>
        <v>0</v>
      </c>
      <c r="DH16" s="80">
        <f aca="true" t="shared" si="86" ref="DH16:DH31">CH16/B16</f>
        <v>0</v>
      </c>
      <c r="DI16" s="80">
        <f aca="true" t="shared" si="87" ref="DI16:DI31">DF16/B16</f>
        <v>0</v>
      </c>
      <c r="DJ16" s="81">
        <f aca="true" t="shared" si="88" ref="DJ16:DJ31">CZ16/B16</f>
        <v>0</v>
      </c>
      <c r="DK16" s="76">
        <f aca="true" t="shared" si="89" ref="DK16:DK31">DB16/B16</f>
        <v>0</v>
      </c>
      <c r="DL16" s="145">
        <f t="shared" si="49"/>
        <v>0</v>
      </c>
      <c r="DM16" s="160"/>
      <c r="DN16" s="68"/>
    </row>
    <row r="17" spans="1:118" ht="12.75">
      <c r="A17" s="52" t="s">
        <v>10</v>
      </c>
      <c r="B17" s="4">
        <v>366</v>
      </c>
      <c r="C17" s="76">
        <v>1231684</v>
      </c>
      <c r="D17" s="69">
        <v>3365.26</v>
      </c>
      <c r="E17" s="143">
        <v>93.86</v>
      </c>
      <c r="F17" s="8">
        <v>4</v>
      </c>
      <c r="G17" s="131">
        <v>13212.9</v>
      </c>
      <c r="H17" s="43">
        <v>1343</v>
      </c>
      <c r="I17" s="43">
        <v>3913.5</v>
      </c>
      <c r="J17" s="43">
        <v>0</v>
      </c>
      <c r="K17" s="43">
        <v>0</v>
      </c>
      <c r="L17" s="43">
        <v>0</v>
      </c>
      <c r="M17" s="43">
        <f t="shared" si="0"/>
        <v>0</v>
      </c>
      <c r="N17" s="43">
        <v>0</v>
      </c>
      <c r="O17" s="43">
        <v>0</v>
      </c>
      <c r="P17" s="43">
        <v>60262.7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f t="shared" si="56"/>
        <v>0</v>
      </c>
      <c r="X17" s="43">
        <v>0</v>
      </c>
      <c r="Y17" s="43">
        <f t="shared" si="57"/>
        <v>78732.1</v>
      </c>
      <c r="Z17" s="43">
        <v>67782.75</v>
      </c>
      <c r="AA17" s="43">
        <v>7665.2</v>
      </c>
      <c r="AB17" s="43">
        <v>0</v>
      </c>
      <c r="AC17" s="43">
        <v>8061.65</v>
      </c>
      <c r="AD17" s="43">
        <v>0</v>
      </c>
      <c r="AE17" s="43">
        <f t="shared" si="58"/>
        <v>83509.59999999999</v>
      </c>
      <c r="AF17" s="43">
        <v>0</v>
      </c>
      <c r="AG17" s="43">
        <v>488.75</v>
      </c>
      <c r="AH17" s="43">
        <v>0</v>
      </c>
      <c r="AI17" s="43">
        <v>900</v>
      </c>
      <c r="AJ17" s="43">
        <v>0</v>
      </c>
      <c r="AK17" s="43">
        <v>0</v>
      </c>
      <c r="AL17" s="43">
        <v>0</v>
      </c>
      <c r="AM17" s="43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9"/>
        <v>0</v>
      </c>
      <c r="AT17" s="4">
        <v>0</v>
      </c>
      <c r="AU17" s="4">
        <f t="shared" si="60"/>
        <v>84898.34999999999</v>
      </c>
      <c r="AV17" s="4">
        <v>6166.25</v>
      </c>
      <c r="AW17" s="4">
        <v>0</v>
      </c>
      <c r="AX17" s="143">
        <f t="shared" si="61"/>
        <v>1.4551915228366852E-11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f t="shared" si="62"/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f t="shared" si="63"/>
        <v>0</v>
      </c>
      <c r="BP17" s="43">
        <v>0</v>
      </c>
      <c r="BQ17" s="43">
        <v>0</v>
      </c>
      <c r="BR17" s="43">
        <v>0</v>
      </c>
      <c r="BS17" s="148">
        <f t="shared" si="64"/>
        <v>0</v>
      </c>
      <c r="BT17" s="4">
        <v>38475.3</v>
      </c>
      <c r="BU17" s="4">
        <v>45000</v>
      </c>
      <c r="BV17" s="4">
        <v>0</v>
      </c>
      <c r="BW17" s="4">
        <v>56063.5</v>
      </c>
      <c r="BX17" s="4">
        <f t="shared" si="65"/>
        <v>139538.8</v>
      </c>
      <c r="BY17" s="4">
        <v>127783.65</v>
      </c>
      <c r="BZ17" s="4">
        <v>11755.15</v>
      </c>
      <c r="CA17" s="4">
        <v>0</v>
      </c>
      <c r="CB17" s="4">
        <f t="shared" si="66"/>
        <v>139538.8</v>
      </c>
      <c r="CC17" s="143">
        <f t="shared" si="67"/>
        <v>0</v>
      </c>
      <c r="CD17" s="74">
        <f t="shared" si="68"/>
        <v>6166.25</v>
      </c>
      <c r="CE17" s="76">
        <f t="shared" si="69"/>
        <v>6166.25</v>
      </c>
      <c r="CF17" s="76">
        <f t="shared" si="70"/>
        <v>0</v>
      </c>
      <c r="CG17" s="76">
        <f t="shared" si="35"/>
        <v>84898.34999999999</v>
      </c>
      <c r="CH17" s="76">
        <f t="shared" si="71"/>
        <v>3424.75</v>
      </c>
      <c r="CI17" s="37">
        <f t="shared" si="72"/>
        <v>3424.75</v>
      </c>
      <c r="CJ17" s="59" t="str">
        <f t="shared" si="36"/>
        <v>-</v>
      </c>
      <c r="CK17" s="59" t="str">
        <f t="shared" si="37"/>
        <v>-</v>
      </c>
      <c r="CL17" s="141">
        <f t="shared" si="38"/>
        <v>0.07263097574923424</v>
      </c>
      <c r="CM17" s="141">
        <f t="shared" si="39"/>
        <v>0.07263097574923424</v>
      </c>
      <c r="CN17" s="141">
        <f t="shared" si="40"/>
        <v>0.04033941766830569</v>
      </c>
      <c r="CO17" s="141">
        <f t="shared" si="41"/>
        <v>0.04033941766830569</v>
      </c>
      <c r="CP17" s="141">
        <f t="shared" si="42"/>
        <v>0</v>
      </c>
      <c r="CQ17" s="141">
        <f t="shared" si="43"/>
        <v>0</v>
      </c>
      <c r="CR17" s="142">
        <f t="shared" si="44"/>
        <v>-14.483413744171902</v>
      </c>
      <c r="CS17" s="76">
        <f t="shared" si="45"/>
        <v>-89308.34999999999</v>
      </c>
      <c r="CT17" s="80">
        <f t="shared" si="73"/>
        <v>78732.1</v>
      </c>
      <c r="CU17" s="80">
        <f t="shared" si="74"/>
        <v>84898.34999999999</v>
      </c>
      <c r="CV17" s="80">
        <f t="shared" si="75"/>
        <v>6166.249999999985</v>
      </c>
      <c r="CW17" s="80">
        <f t="shared" si="76"/>
        <v>0</v>
      </c>
      <c r="CX17" s="80">
        <f t="shared" si="77"/>
        <v>6166.249999999985</v>
      </c>
      <c r="CY17" s="80">
        <f t="shared" si="78"/>
        <v>6166.249999999985</v>
      </c>
      <c r="CZ17" s="80">
        <f t="shared" si="79"/>
        <v>0</v>
      </c>
      <c r="DA17" s="80">
        <f t="shared" si="80"/>
        <v>0</v>
      </c>
      <c r="DB17" s="80">
        <f t="shared" si="81"/>
        <v>6166.249999999985</v>
      </c>
      <c r="DC17" s="80">
        <f t="shared" si="46"/>
        <v>6166.249999999985</v>
      </c>
      <c r="DD17" s="80">
        <f t="shared" si="82"/>
        <v>0</v>
      </c>
      <c r="DE17" s="80">
        <f t="shared" si="83"/>
        <v>6166.249999999985</v>
      </c>
      <c r="DF17" s="80">
        <f t="shared" si="84"/>
        <v>75447.95</v>
      </c>
      <c r="DG17" s="80">
        <f t="shared" si="85"/>
        <v>-244.01188524590162</v>
      </c>
      <c r="DH17" s="80">
        <f t="shared" si="86"/>
        <v>9.35724043715847</v>
      </c>
      <c r="DI17" s="80">
        <f t="shared" si="87"/>
        <v>206.14193989071038</v>
      </c>
      <c r="DJ17" s="81">
        <f t="shared" si="88"/>
        <v>0</v>
      </c>
      <c r="DK17" s="76">
        <f t="shared" si="89"/>
        <v>16.847677595628376</v>
      </c>
      <c r="DL17" s="145">
        <f t="shared" si="49"/>
        <v>-101063.5</v>
      </c>
      <c r="DM17" s="160">
        <v>0</v>
      </c>
      <c r="DN17" s="65"/>
    </row>
    <row r="18" spans="1:118" ht="12.75">
      <c r="A18" s="51" t="s">
        <v>11</v>
      </c>
      <c r="B18" s="38">
        <v>1084</v>
      </c>
      <c r="C18" s="164">
        <v>5417651</v>
      </c>
      <c r="D18" s="66">
        <v>4997.83</v>
      </c>
      <c r="E18" s="167">
        <v>139.4</v>
      </c>
      <c r="F18" s="126">
        <v>1</v>
      </c>
      <c r="G18" s="132">
        <v>22652.2</v>
      </c>
      <c r="H18" s="42">
        <v>18902.25</v>
      </c>
      <c r="I18" s="42">
        <f>239</f>
        <v>239</v>
      </c>
      <c r="J18" s="42">
        <v>0</v>
      </c>
      <c r="K18" s="42">
        <v>0</v>
      </c>
      <c r="L18" s="42">
        <v>0</v>
      </c>
      <c r="M18" s="43">
        <f t="shared" si="0"/>
        <v>0</v>
      </c>
      <c r="N18" s="42">
        <v>0</v>
      </c>
      <c r="O18" s="42">
        <v>0</v>
      </c>
      <c r="P18" s="42">
        <f>85236.1+7825.6+8824.85+2834+52588.65+89459.5+44675.4</f>
        <v>291444.10000000003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3">
        <f t="shared" si="56"/>
        <v>0</v>
      </c>
      <c r="X18" s="42">
        <v>0</v>
      </c>
      <c r="Y18" s="43">
        <f t="shared" si="57"/>
        <v>333237.55000000005</v>
      </c>
      <c r="Z18" s="42">
        <f>62752.65+39463.85</f>
        <v>102216.5</v>
      </c>
      <c r="AA18" s="42">
        <f>25484.9+16026.95</f>
        <v>41511.850000000006</v>
      </c>
      <c r="AB18" s="42">
        <v>0</v>
      </c>
      <c r="AC18" s="42">
        <f>23876.55</f>
        <v>23876.55</v>
      </c>
      <c r="AD18" s="42">
        <v>0</v>
      </c>
      <c r="AE18" s="43">
        <f t="shared" si="58"/>
        <v>167604.9</v>
      </c>
      <c r="AF18" s="42">
        <v>0</v>
      </c>
      <c r="AG18" s="42">
        <f>690.25+1241.95+28537.75</f>
        <v>30469.95</v>
      </c>
      <c r="AH18" s="42">
        <v>0</v>
      </c>
      <c r="AI18" s="42">
        <f>28278.65+26128+6000</f>
        <v>60406.65</v>
      </c>
      <c r="AJ18" s="42">
        <v>0</v>
      </c>
      <c r="AK18" s="42">
        <v>0</v>
      </c>
      <c r="AL18" s="42">
        <v>0</v>
      </c>
      <c r="AM18" s="42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59"/>
        <v>0</v>
      </c>
      <c r="AT18" s="38">
        <v>0</v>
      </c>
      <c r="AU18" s="4">
        <f t="shared" si="60"/>
        <v>258481.50000000003</v>
      </c>
      <c r="AV18" s="38">
        <v>0</v>
      </c>
      <c r="AW18" s="38">
        <f>74756.05</f>
        <v>74756.05</v>
      </c>
      <c r="AX18" s="149">
        <f t="shared" si="61"/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62"/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3">
        <f t="shared" si="63"/>
        <v>0</v>
      </c>
      <c r="BP18" s="42">
        <v>0</v>
      </c>
      <c r="BQ18" s="42">
        <v>0</v>
      </c>
      <c r="BR18" s="42">
        <v>0</v>
      </c>
      <c r="BS18" s="43">
        <f t="shared" si="64"/>
        <v>0</v>
      </c>
      <c r="BT18" s="38">
        <v>1373776.1</v>
      </c>
      <c r="BU18" s="38">
        <v>0</v>
      </c>
      <c r="BV18" s="38">
        <v>0</v>
      </c>
      <c r="BW18" s="38">
        <v>0</v>
      </c>
      <c r="BX18" s="4">
        <f t="shared" si="65"/>
        <v>1373776.1</v>
      </c>
      <c r="BY18" s="38">
        <f>85736.1+43055.5</f>
        <v>128791.6</v>
      </c>
      <c r="BZ18" s="38">
        <v>0</v>
      </c>
      <c r="CA18" s="38">
        <v>1244984.95</v>
      </c>
      <c r="CB18" s="4">
        <f t="shared" si="66"/>
        <v>1373776.55</v>
      </c>
      <c r="CC18" s="4">
        <f t="shared" si="67"/>
        <v>-0.44999999995343387</v>
      </c>
      <c r="CD18" s="74">
        <f t="shared" si="68"/>
        <v>-74756.05</v>
      </c>
      <c r="CE18" s="76">
        <f t="shared" si="69"/>
        <v>-74756.05</v>
      </c>
      <c r="CF18" s="76">
        <f t="shared" si="70"/>
        <v>0</v>
      </c>
      <c r="CG18" s="76">
        <f t="shared" si="35"/>
        <v>258481.50000000003</v>
      </c>
      <c r="CH18" s="76">
        <f t="shared" si="71"/>
        <v>-30230.95</v>
      </c>
      <c r="CI18" s="37">
        <f t="shared" si="72"/>
        <v>-30230.95</v>
      </c>
      <c r="CJ18" s="59" t="str">
        <f t="shared" si="36"/>
        <v>-</v>
      </c>
      <c r="CK18" s="59" t="str">
        <f t="shared" si="37"/>
        <v>-</v>
      </c>
      <c r="CL18" s="141">
        <f t="shared" si="38"/>
        <v>-0.28921238076999706</v>
      </c>
      <c r="CM18" s="141">
        <f t="shared" si="39"/>
        <v>-0.28921238076999706</v>
      </c>
      <c r="CN18" s="141">
        <f t="shared" si="40"/>
        <v>-0.11695595236022693</v>
      </c>
      <c r="CO18" s="141">
        <f t="shared" si="41"/>
        <v>-0.11695595236022693</v>
      </c>
      <c r="CP18" s="141" t="str">
        <f t="shared" si="42"/>
        <v>-</v>
      </c>
      <c r="CQ18" s="141" t="str">
        <f t="shared" si="43"/>
        <v>-</v>
      </c>
      <c r="CR18" s="142">
        <f t="shared" si="44"/>
        <v>-16.65396312405484</v>
      </c>
      <c r="CS18" s="76">
        <f t="shared" si="45"/>
        <v>1244984.5</v>
      </c>
      <c r="CT18" s="80">
        <f t="shared" si="73"/>
        <v>333237.55000000005</v>
      </c>
      <c r="CU18" s="80">
        <f t="shared" si="74"/>
        <v>258481.50000000003</v>
      </c>
      <c r="CV18" s="80">
        <f t="shared" si="75"/>
        <v>-74756.05000000002</v>
      </c>
      <c r="CW18" s="80">
        <f t="shared" si="76"/>
        <v>0</v>
      </c>
      <c r="CX18" s="80">
        <f t="shared" si="77"/>
        <v>-74756.05000000002</v>
      </c>
      <c r="CY18" s="80">
        <f t="shared" si="78"/>
        <v>-74756.05000000002</v>
      </c>
      <c r="CZ18" s="80">
        <f t="shared" si="79"/>
        <v>0</v>
      </c>
      <c r="DA18" s="80">
        <f t="shared" si="80"/>
        <v>0</v>
      </c>
      <c r="DB18" s="80">
        <f t="shared" si="81"/>
        <v>-74756.05000000002</v>
      </c>
      <c r="DC18" s="80">
        <f t="shared" si="46"/>
        <v>-74756.05000000002</v>
      </c>
      <c r="DD18" s="80">
        <f t="shared" si="82"/>
        <v>0</v>
      </c>
      <c r="DE18" s="80">
        <f t="shared" si="83"/>
        <v>-74756.05000000002</v>
      </c>
      <c r="DF18" s="80">
        <f t="shared" si="84"/>
        <v>143728.35</v>
      </c>
      <c r="DG18" s="80">
        <f t="shared" si="85"/>
        <v>1148.5096863468634</v>
      </c>
      <c r="DH18" s="80">
        <f t="shared" si="86"/>
        <v>-27.888330258302584</v>
      </c>
      <c r="DI18" s="80">
        <f t="shared" si="87"/>
        <v>132.59072878228784</v>
      </c>
      <c r="DJ18" s="81">
        <f t="shared" si="88"/>
        <v>0</v>
      </c>
      <c r="DK18" s="76">
        <f t="shared" si="89"/>
        <v>-68.96314575645758</v>
      </c>
      <c r="DL18" s="145">
        <f t="shared" si="49"/>
        <v>1244984.95</v>
      </c>
      <c r="DM18" s="162">
        <v>0</v>
      </c>
      <c r="DN18" s="68"/>
    </row>
    <row r="19" spans="1:118" ht="12.75">
      <c r="A19" s="52" t="s">
        <v>35</v>
      </c>
      <c r="B19" s="4">
        <v>3008</v>
      </c>
      <c r="C19" s="76">
        <v>11470026</v>
      </c>
      <c r="D19" s="69">
        <v>3813.17</v>
      </c>
      <c r="E19" s="143">
        <v>106.35</v>
      </c>
      <c r="F19" s="8">
        <v>4</v>
      </c>
      <c r="G19" s="131">
        <v>76657.3</v>
      </c>
      <c r="H19" s="43">
        <v>17488.55</v>
      </c>
      <c r="I19" s="43">
        <v>35004.8</v>
      </c>
      <c r="J19" s="43">
        <v>14411.5</v>
      </c>
      <c r="K19" s="43">
        <v>0</v>
      </c>
      <c r="L19" s="43">
        <v>0</v>
      </c>
      <c r="M19" s="43">
        <f t="shared" si="0"/>
        <v>0</v>
      </c>
      <c r="N19" s="43">
        <v>0</v>
      </c>
      <c r="O19" s="43">
        <v>0</v>
      </c>
      <c r="P19" s="43">
        <v>1545503.05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f t="shared" si="56"/>
        <v>0</v>
      </c>
      <c r="X19" s="43">
        <v>0</v>
      </c>
      <c r="Y19" s="43">
        <f t="shared" si="57"/>
        <v>1689065.2000000002</v>
      </c>
      <c r="Z19" s="43">
        <v>640931.35</v>
      </c>
      <c r="AA19" s="43">
        <v>60695.3</v>
      </c>
      <c r="AB19" s="43">
        <v>0</v>
      </c>
      <c r="AC19" s="43">
        <v>66255.15</v>
      </c>
      <c r="AD19" s="43">
        <v>0</v>
      </c>
      <c r="AE19" s="43">
        <f t="shared" si="58"/>
        <v>767881.8</v>
      </c>
      <c r="AF19" s="43">
        <v>0</v>
      </c>
      <c r="AG19" s="43">
        <v>42772.35</v>
      </c>
      <c r="AH19" s="43">
        <v>1757.15</v>
      </c>
      <c r="AI19" s="43">
        <v>892441.1</v>
      </c>
      <c r="AJ19" s="43">
        <v>-200</v>
      </c>
      <c r="AK19" s="43">
        <v>0</v>
      </c>
      <c r="AL19" s="43">
        <v>5000</v>
      </c>
      <c r="AM19" s="43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9"/>
        <v>0</v>
      </c>
      <c r="AT19" s="4">
        <v>0</v>
      </c>
      <c r="AU19" s="4">
        <f t="shared" si="60"/>
        <v>1707895.2500000002</v>
      </c>
      <c r="AV19" s="4">
        <v>18830.05</v>
      </c>
      <c r="AW19" s="4">
        <v>0</v>
      </c>
      <c r="AX19" s="143">
        <f t="shared" si="61"/>
        <v>-4.729372449219227E-11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f t="shared" si="62"/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f t="shared" si="63"/>
        <v>0</v>
      </c>
      <c r="BP19" s="43">
        <v>0</v>
      </c>
      <c r="BQ19" s="43">
        <v>0</v>
      </c>
      <c r="BR19" s="43">
        <v>0</v>
      </c>
      <c r="BS19" s="43">
        <f t="shared" si="64"/>
        <v>0</v>
      </c>
      <c r="BT19" s="4">
        <v>2375638.1</v>
      </c>
      <c r="BU19" s="4">
        <v>0</v>
      </c>
      <c r="BV19" s="4"/>
      <c r="BW19" s="4">
        <v>0</v>
      </c>
      <c r="BX19" s="4">
        <f t="shared" si="65"/>
        <v>2375638.1</v>
      </c>
      <c r="BY19" s="4">
        <v>1186749</v>
      </c>
      <c r="BZ19" s="4">
        <v>0</v>
      </c>
      <c r="CA19" s="4">
        <v>1188889.1</v>
      </c>
      <c r="CB19" s="4">
        <f t="shared" si="66"/>
        <v>2375638.1</v>
      </c>
      <c r="CC19" s="143">
        <f t="shared" si="67"/>
        <v>0</v>
      </c>
      <c r="CD19" s="74">
        <f t="shared" si="68"/>
        <v>18830.05</v>
      </c>
      <c r="CE19" s="76">
        <f t="shared" si="69"/>
        <v>18830.05</v>
      </c>
      <c r="CF19" s="76">
        <f t="shared" si="70"/>
        <v>0</v>
      </c>
      <c r="CG19" s="76">
        <f t="shared" si="35"/>
        <v>1707895.2500000002</v>
      </c>
      <c r="CH19" s="76">
        <f t="shared" si="71"/>
        <v>-6010.399999999996</v>
      </c>
      <c r="CI19" s="37">
        <f t="shared" si="72"/>
        <v>-6010.399999999996</v>
      </c>
      <c r="CJ19" s="59" t="str">
        <f t="shared" si="36"/>
        <v>-</v>
      </c>
      <c r="CK19" s="59" t="str">
        <f t="shared" si="37"/>
        <v>-</v>
      </c>
      <c r="CL19" s="141">
        <f t="shared" si="38"/>
        <v>0.011025295608732442</v>
      </c>
      <c r="CM19" s="141">
        <f t="shared" si="39"/>
        <v>0.011025295608732442</v>
      </c>
      <c r="CN19" s="141">
        <f t="shared" si="40"/>
        <v>-0.0035191853832956064</v>
      </c>
      <c r="CO19" s="141">
        <f t="shared" si="41"/>
        <v>-0.0035191853832956064</v>
      </c>
      <c r="CP19" s="141" t="str">
        <f t="shared" si="42"/>
        <v>-</v>
      </c>
      <c r="CQ19" s="141" t="str">
        <f t="shared" si="43"/>
        <v>-</v>
      </c>
      <c r="CR19" s="142">
        <f t="shared" si="44"/>
        <v>63.13786208746127</v>
      </c>
      <c r="CS19" s="76">
        <f t="shared" si="45"/>
        <v>1188889.1</v>
      </c>
      <c r="CT19" s="80">
        <f t="shared" si="73"/>
        <v>1689065.2000000002</v>
      </c>
      <c r="CU19" s="80">
        <f t="shared" si="74"/>
        <v>1707895.2500000002</v>
      </c>
      <c r="CV19" s="80">
        <f t="shared" si="75"/>
        <v>18830.050000000047</v>
      </c>
      <c r="CW19" s="80">
        <f t="shared" si="76"/>
        <v>0</v>
      </c>
      <c r="CX19" s="80">
        <f t="shared" si="77"/>
        <v>18830.050000000047</v>
      </c>
      <c r="CY19" s="80">
        <f t="shared" si="78"/>
        <v>18830.050000000047</v>
      </c>
      <c r="CZ19" s="80">
        <f t="shared" si="79"/>
        <v>0</v>
      </c>
      <c r="DA19" s="80">
        <f t="shared" si="80"/>
        <v>0</v>
      </c>
      <c r="DB19" s="80">
        <f t="shared" si="81"/>
        <v>18830.050000000047</v>
      </c>
      <c r="DC19" s="80">
        <f t="shared" si="46"/>
        <v>18830.050000000047</v>
      </c>
      <c r="DD19" s="80">
        <f t="shared" si="82"/>
        <v>0</v>
      </c>
      <c r="DE19" s="80">
        <f t="shared" si="83"/>
        <v>18830.050000000047</v>
      </c>
      <c r="DF19" s="80">
        <f t="shared" si="84"/>
        <v>701626.65</v>
      </c>
      <c r="DG19" s="80">
        <f t="shared" si="85"/>
        <v>395.24238696808516</v>
      </c>
      <c r="DH19" s="80">
        <f t="shared" si="86"/>
        <v>-1.998138297872339</v>
      </c>
      <c r="DI19" s="80">
        <f t="shared" si="87"/>
        <v>233.25354055851065</v>
      </c>
      <c r="DJ19" s="81">
        <f t="shared" si="88"/>
        <v>0</v>
      </c>
      <c r="DK19" s="76">
        <f t="shared" si="89"/>
        <v>6.25999002659576</v>
      </c>
      <c r="DL19" s="145">
        <f t="shared" si="49"/>
        <v>1188889.1</v>
      </c>
      <c r="DM19" s="162">
        <v>0</v>
      </c>
      <c r="DN19" s="65"/>
    </row>
    <row r="20" spans="1:118" ht="12.75">
      <c r="A20" s="51" t="s">
        <v>12</v>
      </c>
      <c r="B20" s="38">
        <v>444</v>
      </c>
      <c r="C20" s="164">
        <v>1458695</v>
      </c>
      <c r="D20" s="66">
        <v>3285.35</v>
      </c>
      <c r="E20" s="167">
        <v>91.63</v>
      </c>
      <c r="F20" s="126">
        <v>4</v>
      </c>
      <c r="G20" s="132">
        <v>5150</v>
      </c>
      <c r="H20" s="42">
        <v>1147.1</v>
      </c>
      <c r="I20" s="42">
        <v>0</v>
      </c>
      <c r="J20" s="42">
        <v>0</v>
      </c>
      <c r="K20" s="42">
        <v>0</v>
      </c>
      <c r="L20" s="42">
        <v>0</v>
      </c>
      <c r="M20" s="43">
        <f t="shared" si="0"/>
        <v>0</v>
      </c>
      <c r="N20" s="42">
        <v>0</v>
      </c>
      <c r="O20" s="42">
        <v>2000</v>
      </c>
      <c r="P20" s="42">
        <v>226508.85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3">
        <f t="shared" si="56"/>
        <v>0</v>
      </c>
      <c r="X20" s="42">
        <v>0</v>
      </c>
      <c r="Y20" s="43">
        <f t="shared" si="57"/>
        <v>234805.95</v>
      </c>
      <c r="Z20" s="42">
        <v>73457.35</v>
      </c>
      <c r="AA20" s="42">
        <v>18918.1</v>
      </c>
      <c r="AB20" s="42">
        <v>0</v>
      </c>
      <c r="AC20" s="42">
        <v>9779.7</v>
      </c>
      <c r="AD20" s="42">
        <v>0</v>
      </c>
      <c r="AE20" s="43">
        <f t="shared" si="58"/>
        <v>102155.15000000001</v>
      </c>
      <c r="AF20" s="42">
        <v>0</v>
      </c>
      <c r="AG20" s="42">
        <v>362.35</v>
      </c>
      <c r="AH20" s="42">
        <v>0</v>
      </c>
      <c r="AI20" s="42">
        <v>119607.15</v>
      </c>
      <c r="AJ20" s="42">
        <v>0</v>
      </c>
      <c r="AK20" s="42">
        <v>0</v>
      </c>
      <c r="AL20" s="42">
        <v>0</v>
      </c>
      <c r="AM20" s="42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59"/>
        <v>0</v>
      </c>
      <c r="AT20" s="38">
        <v>0</v>
      </c>
      <c r="AU20" s="4">
        <f t="shared" si="60"/>
        <v>222124.65000000002</v>
      </c>
      <c r="AV20" s="38">
        <v>0</v>
      </c>
      <c r="AW20" s="38">
        <v>12681.3</v>
      </c>
      <c r="AX20" s="4">
        <f t="shared" si="61"/>
        <v>0</v>
      </c>
      <c r="AY20" s="42"/>
      <c r="AZ20" s="42"/>
      <c r="BA20" s="42"/>
      <c r="BB20" s="42"/>
      <c r="BC20" s="42"/>
      <c r="BD20" s="42"/>
      <c r="BE20" s="42"/>
      <c r="BF20" s="43">
        <f t="shared" si="62"/>
        <v>0</v>
      </c>
      <c r="BG20" s="42"/>
      <c r="BH20" s="42"/>
      <c r="BI20" s="42"/>
      <c r="BJ20" s="42"/>
      <c r="BK20" s="42"/>
      <c r="BL20" s="42"/>
      <c r="BM20" s="42"/>
      <c r="BN20" s="42"/>
      <c r="BO20" s="43">
        <f t="shared" si="63"/>
        <v>0</v>
      </c>
      <c r="BP20" s="42"/>
      <c r="BQ20" s="42"/>
      <c r="BR20" s="42"/>
      <c r="BS20" s="43">
        <f t="shared" si="64"/>
        <v>0</v>
      </c>
      <c r="BT20" s="38">
        <v>303071.98</v>
      </c>
      <c r="BU20" s="38">
        <v>0</v>
      </c>
      <c r="BV20" s="38">
        <v>0</v>
      </c>
      <c r="BW20" s="38">
        <v>0</v>
      </c>
      <c r="BX20" s="4">
        <f t="shared" si="65"/>
        <v>303071.98</v>
      </c>
      <c r="BY20" s="38">
        <v>95759.75</v>
      </c>
      <c r="BZ20" s="38">
        <v>0</v>
      </c>
      <c r="CA20" s="38">
        <v>207312.23</v>
      </c>
      <c r="CB20" s="4">
        <f t="shared" si="66"/>
        <v>303071.98</v>
      </c>
      <c r="CC20" s="143">
        <f t="shared" si="67"/>
        <v>0</v>
      </c>
      <c r="CD20" s="74">
        <f t="shared" si="68"/>
        <v>-12681.3</v>
      </c>
      <c r="CE20" s="76">
        <f t="shared" si="69"/>
        <v>-12681.3</v>
      </c>
      <c r="CF20" s="76">
        <f t="shared" si="70"/>
        <v>0</v>
      </c>
      <c r="CG20" s="76">
        <f t="shared" si="35"/>
        <v>222124.65000000002</v>
      </c>
      <c r="CH20" s="76">
        <f t="shared" si="71"/>
        <v>-362.35</v>
      </c>
      <c r="CI20" s="37">
        <f t="shared" si="72"/>
        <v>-362.35</v>
      </c>
      <c r="CJ20" s="59" t="str">
        <f t="shared" si="36"/>
        <v>-</v>
      </c>
      <c r="CK20" s="59" t="str">
        <f t="shared" si="37"/>
        <v>-</v>
      </c>
      <c r="CL20" s="141">
        <f t="shared" si="38"/>
        <v>-0.05709091719446715</v>
      </c>
      <c r="CM20" s="141">
        <f t="shared" si="39"/>
        <v>-0.05709091719446715</v>
      </c>
      <c r="CN20" s="141">
        <f t="shared" si="40"/>
        <v>-0.0016312912592096375</v>
      </c>
      <c r="CO20" s="141">
        <f t="shared" si="41"/>
        <v>-0.0016312912592096375</v>
      </c>
      <c r="CP20" s="141" t="str">
        <f t="shared" si="42"/>
        <v>-</v>
      </c>
      <c r="CQ20" s="141" t="str">
        <f t="shared" si="43"/>
        <v>-</v>
      </c>
      <c r="CR20" s="142">
        <f t="shared" si="44"/>
        <v>-16.34786890933895</v>
      </c>
      <c r="CS20" s="76">
        <f t="shared" si="45"/>
        <v>207312.22999999998</v>
      </c>
      <c r="CT20" s="80">
        <f t="shared" si="73"/>
        <v>234805.95</v>
      </c>
      <c r="CU20" s="80">
        <f t="shared" si="74"/>
        <v>222124.65000000002</v>
      </c>
      <c r="CV20" s="80">
        <f t="shared" si="75"/>
        <v>-12681.299999999988</v>
      </c>
      <c r="CW20" s="80">
        <f t="shared" si="76"/>
        <v>0</v>
      </c>
      <c r="CX20" s="80">
        <f t="shared" si="77"/>
        <v>-12681.299999999988</v>
      </c>
      <c r="CY20" s="80">
        <f t="shared" si="78"/>
        <v>-12681.299999999988</v>
      </c>
      <c r="CZ20" s="80">
        <f t="shared" si="79"/>
        <v>0</v>
      </c>
      <c r="DA20" s="80">
        <f t="shared" si="80"/>
        <v>0</v>
      </c>
      <c r="DB20" s="80">
        <f t="shared" si="81"/>
        <v>-12681.299999999988</v>
      </c>
      <c r="DC20" s="80">
        <f t="shared" si="46"/>
        <v>-12681.299999999988</v>
      </c>
      <c r="DD20" s="80">
        <f t="shared" si="82"/>
        <v>0</v>
      </c>
      <c r="DE20" s="80">
        <f t="shared" si="83"/>
        <v>-12681.299999999988</v>
      </c>
      <c r="DF20" s="80">
        <f t="shared" si="84"/>
        <v>92375.45000000001</v>
      </c>
      <c r="DG20" s="80">
        <f t="shared" si="85"/>
        <v>466.9194369369369</v>
      </c>
      <c r="DH20" s="80">
        <f t="shared" si="86"/>
        <v>-0.8161036036036037</v>
      </c>
      <c r="DI20" s="80">
        <f t="shared" si="87"/>
        <v>208.05281531531534</v>
      </c>
      <c r="DJ20" s="81">
        <f t="shared" si="88"/>
        <v>0</v>
      </c>
      <c r="DK20" s="76">
        <f t="shared" si="89"/>
        <v>-28.56148648648646</v>
      </c>
      <c r="DL20" s="145">
        <f t="shared" si="49"/>
        <v>207312.23</v>
      </c>
      <c r="DM20" s="162">
        <v>0</v>
      </c>
      <c r="DN20" s="68"/>
    </row>
    <row r="21" spans="1:118" ht="12.75">
      <c r="A21" s="52" t="s">
        <v>13</v>
      </c>
      <c r="B21" s="4">
        <v>3982</v>
      </c>
      <c r="C21" s="76">
        <v>15069064</v>
      </c>
      <c r="D21" s="69">
        <v>3784.3</v>
      </c>
      <c r="E21" s="143">
        <v>105.55</v>
      </c>
      <c r="F21" s="8">
        <v>4</v>
      </c>
      <c r="G21" s="131">
        <v>208936.8</v>
      </c>
      <c r="H21" s="43">
        <v>134306.15</v>
      </c>
      <c r="I21" s="43">
        <v>939.7</v>
      </c>
      <c r="J21" s="43">
        <v>0</v>
      </c>
      <c r="K21" s="43">
        <v>0</v>
      </c>
      <c r="L21" s="43">
        <v>0</v>
      </c>
      <c r="M21" s="43">
        <f t="shared" si="0"/>
        <v>0</v>
      </c>
      <c r="N21" s="43">
        <v>0</v>
      </c>
      <c r="O21" s="43">
        <v>0</v>
      </c>
      <c r="P21" s="43">
        <v>2072556.55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f t="shared" si="56"/>
        <v>0</v>
      </c>
      <c r="X21" s="43">
        <v>116434</v>
      </c>
      <c r="Y21" s="43">
        <f t="shared" si="57"/>
        <v>2533173.2</v>
      </c>
      <c r="Z21" s="43">
        <v>822573.1</v>
      </c>
      <c r="AA21" s="43">
        <v>91230.35</v>
      </c>
      <c r="AB21" s="43">
        <v>0</v>
      </c>
      <c r="AC21" s="43">
        <v>87708.8</v>
      </c>
      <c r="AD21" s="43">
        <v>0</v>
      </c>
      <c r="AE21" s="43">
        <f t="shared" si="58"/>
        <v>1001512.25</v>
      </c>
      <c r="AF21" s="43">
        <v>0</v>
      </c>
      <c r="AG21" s="43">
        <v>592.7</v>
      </c>
      <c r="AH21" s="43">
        <v>0</v>
      </c>
      <c r="AI21" s="43">
        <v>1217689.75</v>
      </c>
      <c r="AJ21" s="43">
        <v>0</v>
      </c>
      <c r="AK21" s="43">
        <v>168120.4</v>
      </c>
      <c r="AL21" s="43">
        <v>0</v>
      </c>
      <c r="AM21" s="43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59"/>
        <v>0</v>
      </c>
      <c r="AT21" s="4">
        <v>116434</v>
      </c>
      <c r="AU21" s="4">
        <f t="shared" si="60"/>
        <v>2504349.1</v>
      </c>
      <c r="AV21" s="4">
        <v>0</v>
      </c>
      <c r="AW21" s="4">
        <v>28824.1</v>
      </c>
      <c r="AX21" s="143">
        <f t="shared" si="61"/>
        <v>9.458744898438454E-11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f t="shared" si="62"/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f t="shared" si="63"/>
        <v>0</v>
      </c>
      <c r="BP21" s="43">
        <v>0</v>
      </c>
      <c r="BQ21" s="43">
        <v>0</v>
      </c>
      <c r="BR21" s="43">
        <v>0</v>
      </c>
      <c r="BS21" s="43">
        <f t="shared" si="64"/>
        <v>0</v>
      </c>
      <c r="BT21" s="4">
        <v>494592.12</v>
      </c>
      <c r="BU21" s="4">
        <v>0</v>
      </c>
      <c r="BV21" s="4">
        <v>0</v>
      </c>
      <c r="BW21" s="4"/>
      <c r="BX21" s="4">
        <f t="shared" si="65"/>
        <v>494592.12</v>
      </c>
      <c r="BY21" s="4">
        <v>257666.33</v>
      </c>
      <c r="BZ21" s="4">
        <v>0</v>
      </c>
      <c r="CA21" s="4">
        <v>236925.79</v>
      </c>
      <c r="CB21" s="4">
        <f t="shared" si="66"/>
        <v>494592.12</v>
      </c>
      <c r="CC21" s="4">
        <f t="shared" si="67"/>
        <v>0</v>
      </c>
      <c r="CD21" s="74">
        <f t="shared" si="68"/>
        <v>-28824.1</v>
      </c>
      <c r="CE21" s="76">
        <f t="shared" si="69"/>
        <v>-28824.1</v>
      </c>
      <c r="CF21" s="76">
        <f t="shared" si="70"/>
        <v>0</v>
      </c>
      <c r="CG21" s="76">
        <f t="shared" si="35"/>
        <v>2387915.1</v>
      </c>
      <c r="CH21" s="76">
        <f t="shared" si="71"/>
        <v>347</v>
      </c>
      <c r="CI21" s="37">
        <f t="shared" si="72"/>
        <v>347</v>
      </c>
      <c r="CJ21" s="59" t="str">
        <f t="shared" si="36"/>
        <v>-</v>
      </c>
      <c r="CK21" s="59" t="str">
        <f t="shared" si="37"/>
        <v>-</v>
      </c>
      <c r="CL21" s="141">
        <f t="shared" si="38"/>
        <v>-0.01207082278595248</v>
      </c>
      <c r="CM21" s="141">
        <f t="shared" si="39"/>
        <v>-0.01207082278595248</v>
      </c>
      <c r="CN21" s="141">
        <f t="shared" si="40"/>
        <v>0.00014531504909868863</v>
      </c>
      <c r="CO21" s="141">
        <f t="shared" si="41"/>
        <v>0.00014531504909868863</v>
      </c>
      <c r="CP21" s="141" t="str">
        <f t="shared" si="42"/>
        <v>-</v>
      </c>
      <c r="CQ21" s="141" t="str">
        <f t="shared" si="43"/>
        <v>-</v>
      </c>
      <c r="CR21" s="142">
        <f t="shared" si="44"/>
        <v>-8.219711630198342</v>
      </c>
      <c r="CS21" s="76">
        <f t="shared" si="45"/>
        <v>236925.79</v>
      </c>
      <c r="CT21" s="80">
        <f t="shared" si="73"/>
        <v>2533173.2</v>
      </c>
      <c r="CU21" s="80">
        <f t="shared" si="74"/>
        <v>2504349.1</v>
      </c>
      <c r="CV21" s="80">
        <f t="shared" si="75"/>
        <v>-28824.100000000093</v>
      </c>
      <c r="CW21" s="80">
        <f t="shared" si="76"/>
        <v>0</v>
      </c>
      <c r="CX21" s="80">
        <f t="shared" si="77"/>
        <v>-28824.100000000093</v>
      </c>
      <c r="CY21" s="80">
        <f t="shared" si="78"/>
        <v>-28824.100000000093</v>
      </c>
      <c r="CZ21" s="80">
        <f t="shared" si="79"/>
        <v>0</v>
      </c>
      <c r="DA21" s="80">
        <f t="shared" si="80"/>
        <v>0</v>
      </c>
      <c r="DB21" s="80">
        <f t="shared" si="81"/>
        <v>-28824.100000000093</v>
      </c>
      <c r="DC21" s="80">
        <f t="shared" si="46"/>
        <v>-28824.100000000093</v>
      </c>
      <c r="DD21" s="80">
        <f t="shared" si="82"/>
        <v>0</v>
      </c>
      <c r="DE21" s="80">
        <f t="shared" si="83"/>
        <v>-28824.100000000093</v>
      </c>
      <c r="DF21" s="80">
        <f t="shared" si="84"/>
        <v>913803.45</v>
      </c>
      <c r="DG21" s="80">
        <f t="shared" si="85"/>
        <v>59.49919387242592</v>
      </c>
      <c r="DH21" s="80">
        <f t="shared" si="86"/>
        <v>0.08714213962832747</v>
      </c>
      <c r="DI21" s="80">
        <f t="shared" si="87"/>
        <v>229.48353842290305</v>
      </c>
      <c r="DJ21" s="81">
        <f t="shared" si="88"/>
        <v>0</v>
      </c>
      <c r="DK21" s="76">
        <f t="shared" si="89"/>
        <v>-7.23859869412358</v>
      </c>
      <c r="DL21" s="145">
        <f t="shared" si="49"/>
        <v>236925.79</v>
      </c>
      <c r="DM21" s="162">
        <v>0</v>
      </c>
      <c r="DN21" s="65"/>
    </row>
    <row r="22" spans="1:118" ht="12.75">
      <c r="A22" s="51" t="s">
        <v>14</v>
      </c>
      <c r="B22" s="38">
        <v>2881</v>
      </c>
      <c r="C22" s="164">
        <v>10066966</v>
      </c>
      <c r="D22" s="66">
        <v>3494.26</v>
      </c>
      <c r="E22" s="167">
        <v>97.46</v>
      </c>
      <c r="F22" s="126">
        <v>4</v>
      </c>
      <c r="G22" s="132">
        <v>60343.05</v>
      </c>
      <c r="H22" s="42">
        <v>9521.65</v>
      </c>
      <c r="I22" s="42">
        <v>0</v>
      </c>
      <c r="J22" s="42">
        <v>0</v>
      </c>
      <c r="K22" s="42">
        <v>0</v>
      </c>
      <c r="L22" s="42">
        <v>0</v>
      </c>
      <c r="M22" s="43">
        <f t="shared" si="0"/>
        <v>0</v>
      </c>
      <c r="N22" s="42">
        <v>0</v>
      </c>
      <c r="O22" s="42">
        <v>0</v>
      </c>
      <c r="P22" s="42">
        <v>1424649.15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3">
        <f t="shared" si="56"/>
        <v>0</v>
      </c>
      <c r="X22" s="42">
        <v>0</v>
      </c>
      <c r="Y22" s="43">
        <f t="shared" si="57"/>
        <v>1494513.8499999999</v>
      </c>
      <c r="Z22" s="42">
        <v>501841.65</v>
      </c>
      <c r="AA22" s="42">
        <v>129536.35</v>
      </c>
      <c r="AB22" s="42">
        <v>0</v>
      </c>
      <c r="AC22" s="42">
        <v>63457.85</v>
      </c>
      <c r="AD22" s="42">
        <v>0</v>
      </c>
      <c r="AE22" s="43">
        <f t="shared" si="58"/>
        <v>694835.85</v>
      </c>
      <c r="AF22" s="42">
        <v>0</v>
      </c>
      <c r="AG22" s="42">
        <v>11670.9</v>
      </c>
      <c r="AH22" s="42">
        <v>3992.4</v>
      </c>
      <c r="AI22" s="42">
        <v>777482.8</v>
      </c>
      <c r="AJ22" s="42">
        <v>0</v>
      </c>
      <c r="AK22" s="42">
        <v>0</v>
      </c>
      <c r="AL22" s="42">
        <v>0</v>
      </c>
      <c r="AM22" s="42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4">
        <f t="shared" si="59"/>
        <v>0</v>
      </c>
      <c r="AT22" s="38">
        <v>0</v>
      </c>
      <c r="AU22" s="4">
        <f t="shared" si="60"/>
        <v>1483989.5499999998</v>
      </c>
      <c r="AV22" s="38">
        <v>0</v>
      </c>
      <c r="AW22" s="38">
        <v>10524.3</v>
      </c>
      <c r="AX22" s="143">
        <f t="shared" si="61"/>
        <v>4.729372449219227E-11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3">
        <f t="shared" si="62"/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3">
        <f t="shared" si="63"/>
        <v>0</v>
      </c>
      <c r="BP22" s="42">
        <v>0</v>
      </c>
      <c r="BQ22" s="42">
        <v>0</v>
      </c>
      <c r="BR22" s="42">
        <v>0</v>
      </c>
      <c r="BS22" s="43">
        <f t="shared" si="64"/>
        <v>0</v>
      </c>
      <c r="BT22" s="38">
        <v>961723.68</v>
      </c>
      <c r="BU22" s="38">
        <v>1</v>
      </c>
      <c r="BV22" s="38">
        <v>0</v>
      </c>
      <c r="BW22" s="38">
        <v>0</v>
      </c>
      <c r="BX22" s="4">
        <f t="shared" si="65"/>
        <v>961724.68</v>
      </c>
      <c r="BY22" s="38">
        <v>357268.8</v>
      </c>
      <c r="BZ22" s="38">
        <v>0</v>
      </c>
      <c r="CA22" s="38">
        <v>604455.88</v>
      </c>
      <c r="CB22" s="4">
        <f t="shared" si="66"/>
        <v>961724.6799999999</v>
      </c>
      <c r="CC22" s="143">
        <f t="shared" si="67"/>
        <v>0</v>
      </c>
      <c r="CD22" s="74">
        <f t="shared" si="68"/>
        <v>-10524.3</v>
      </c>
      <c r="CE22" s="76">
        <f t="shared" si="69"/>
        <v>-10524.3</v>
      </c>
      <c r="CF22" s="76">
        <f t="shared" si="70"/>
        <v>0</v>
      </c>
      <c r="CG22" s="76">
        <f t="shared" si="35"/>
        <v>1483989.5499999998</v>
      </c>
      <c r="CH22" s="76">
        <f t="shared" si="71"/>
        <v>-7678.5</v>
      </c>
      <c r="CI22" s="37">
        <f t="shared" si="72"/>
        <v>-7678.5</v>
      </c>
      <c r="CJ22" s="59" t="str">
        <f t="shared" si="36"/>
        <v>-</v>
      </c>
      <c r="CK22" s="59" t="str">
        <f t="shared" si="37"/>
        <v>-</v>
      </c>
      <c r="CL22" s="141">
        <f t="shared" si="38"/>
        <v>-0.007091896300752253</v>
      </c>
      <c r="CM22" s="141">
        <f t="shared" si="39"/>
        <v>-0.007091896300752253</v>
      </c>
      <c r="CN22" s="141">
        <f t="shared" si="40"/>
        <v>-0.005174227810431684</v>
      </c>
      <c r="CO22" s="141">
        <f t="shared" si="41"/>
        <v>-0.005174227810431684</v>
      </c>
      <c r="CP22" s="141">
        <f t="shared" si="42"/>
        <v>0</v>
      </c>
      <c r="CQ22" s="141">
        <f t="shared" si="43"/>
        <v>0</v>
      </c>
      <c r="CR22" s="142">
        <f t="shared" si="44"/>
        <v>-57.43421225164621</v>
      </c>
      <c r="CS22" s="76">
        <f t="shared" si="45"/>
        <v>604454.8800000001</v>
      </c>
      <c r="CT22" s="80">
        <f t="shared" si="73"/>
        <v>1494513.8499999999</v>
      </c>
      <c r="CU22" s="80">
        <f t="shared" si="74"/>
        <v>1483989.5499999998</v>
      </c>
      <c r="CV22" s="80">
        <f t="shared" si="75"/>
        <v>-10524.300000000047</v>
      </c>
      <c r="CW22" s="80">
        <f t="shared" si="76"/>
        <v>0</v>
      </c>
      <c r="CX22" s="80">
        <f t="shared" si="77"/>
        <v>-10524.300000000047</v>
      </c>
      <c r="CY22" s="80">
        <f t="shared" si="78"/>
        <v>-10524.300000000047</v>
      </c>
      <c r="CZ22" s="80">
        <f t="shared" si="79"/>
        <v>0</v>
      </c>
      <c r="DA22" s="80">
        <f t="shared" si="80"/>
        <v>0</v>
      </c>
      <c r="DB22" s="80">
        <f t="shared" si="81"/>
        <v>-10524.300000000047</v>
      </c>
      <c r="DC22" s="80">
        <f t="shared" si="46"/>
        <v>-10524.300000000047</v>
      </c>
      <c r="DD22" s="80">
        <f t="shared" si="82"/>
        <v>0</v>
      </c>
      <c r="DE22" s="80">
        <f t="shared" si="83"/>
        <v>-10524.300000000047</v>
      </c>
      <c r="DF22" s="80">
        <f t="shared" si="84"/>
        <v>631378</v>
      </c>
      <c r="DG22" s="80">
        <f t="shared" si="85"/>
        <v>209.80731690385286</v>
      </c>
      <c r="DH22" s="80">
        <f t="shared" si="86"/>
        <v>-2.665220409580007</v>
      </c>
      <c r="DI22" s="80">
        <f t="shared" si="87"/>
        <v>219.15237764665048</v>
      </c>
      <c r="DJ22" s="81">
        <f t="shared" si="88"/>
        <v>0</v>
      </c>
      <c r="DK22" s="76">
        <f t="shared" si="89"/>
        <v>-3.653002429711922</v>
      </c>
      <c r="DL22" s="145">
        <f t="shared" si="49"/>
        <v>604454.88</v>
      </c>
      <c r="DM22" s="162">
        <v>0</v>
      </c>
      <c r="DN22" s="68"/>
    </row>
    <row r="23" spans="1:118" ht="12.75">
      <c r="A23" s="52" t="s">
        <v>15</v>
      </c>
      <c r="B23" s="4">
        <v>245</v>
      </c>
      <c r="C23" s="76">
        <v>791358</v>
      </c>
      <c r="D23" s="69">
        <v>3230.03</v>
      </c>
      <c r="E23" s="143">
        <v>90.09</v>
      </c>
      <c r="F23" s="8">
        <v>3</v>
      </c>
      <c r="G23" s="137">
        <f>(G41/($B$12+$B$14+$B$23)*$B$23)</f>
        <v>5499.698515325671</v>
      </c>
      <c r="H23" s="137">
        <f aca="true" t="shared" si="90" ref="H23:BU23">(H41/($B$12+$B$14+$B$23)*$B$23)</f>
        <v>1057.923611111111</v>
      </c>
      <c r="I23" s="137">
        <f t="shared" si="90"/>
        <v>0</v>
      </c>
      <c r="J23" s="137">
        <f t="shared" si="90"/>
        <v>0</v>
      </c>
      <c r="K23" s="137">
        <f t="shared" si="90"/>
        <v>0</v>
      </c>
      <c r="L23" s="137">
        <f t="shared" si="90"/>
        <v>0</v>
      </c>
      <c r="M23" s="43">
        <f t="shared" si="0"/>
        <v>0</v>
      </c>
      <c r="N23" s="137">
        <f t="shared" si="90"/>
        <v>0</v>
      </c>
      <c r="O23" s="137">
        <f t="shared" si="90"/>
        <v>0</v>
      </c>
      <c r="P23" s="137">
        <f t="shared" si="90"/>
        <v>84876.61254789271</v>
      </c>
      <c r="Q23" s="137">
        <f t="shared" si="90"/>
        <v>0</v>
      </c>
      <c r="R23" s="137">
        <f t="shared" si="90"/>
        <v>0</v>
      </c>
      <c r="S23" s="137">
        <f t="shared" si="90"/>
        <v>0</v>
      </c>
      <c r="T23" s="137">
        <f t="shared" si="90"/>
        <v>0</v>
      </c>
      <c r="U23" s="137">
        <f t="shared" si="90"/>
        <v>0</v>
      </c>
      <c r="V23" s="137">
        <f t="shared" si="90"/>
        <v>0</v>
      </c>
      <c r="W23" s="43">
        <f t="shared" si="56"/>
        <v>0</v>
      </c>
      <c r="X23" s="137">
        <f t="shared" si="90"/>
        <v>0</v>
      </c>
      <c r="Y23" s="43">
        <f>SUM(G23:X23)-M23-W23</f>
        <v>91434.23467432949</v>
      </c>
      <c r="Z23" s="137">
        <f t="shared" si="90"/>
        <v>38558.81106321839</v>
      </c>
      <c r="AA23" s="137">
        <f t="shared" si="90"/>
        <v>757.2353927203065</v>
      </c>
      <c r="AB23" s="137">
        <f t="shared" si="90"/>
        <v>0</v>
      </c>
      <c r="AC23" s="137">
        <f t="shared" si="90"/>
        <v>5396.453544061303</v>
      </c>
      <c r="AD23" s="137">
        <f t="shared" si="90"/>
        <v>0</v>
      </c>
      <c r="AE23" s="43">
        <f t="shared" si="58"/>
        <v>44712.5</v>
      </c>
      <c r="AF23" s="137">
        <f t="shared" si="90"/>
        <v>0</v>
      </c>
      <c r="AG23" s="137">
        <f t="shared" si="90"/>
        <v>3838.5797413793102</v>
      </c>
      <c r="AH23" s="137">
        <f t="shared" si="90"/>
        <v>0</v>
      </c>
      <c r="AI23" s="137">
        <f t="shared" si="90"/>
        <v>36405.56848659003</v>
      </c>
      <c r="AJ23" s="137">
        <f t="shared" si="90"/>
        <v>0</v>
      </c>
      <c r="AK23" s="137">
        <f t="shared" si="90"/>
        <v>0</v>
      </c>
      <c r="AL23" s="137">
        <f t="shared" si="90"/>
        <v>6.230603448275863</v>
      </c>
      <c r="AM23" s="137">
        <f t="shared" si="90"/>
        <v>0</v>
      </c>
      <c r="AN23" s="137">
        <f t="shared" si="90"/>
        <v>0</v>
      </c>
      <c r="AO23" s="137">
        <f t="shared" si="90"/>
        <v>0</v>
      </c>
      <c r="AP23" s="137">
        <f t="shared" si="90"/>
        <v>0</v>
      </c>
      <c r="AQ23" s="137">
        <f t="shared" si="90"/>
        <v>0</v>
      </c>
      <c r="AR23" s="137">
        <f t="shared" si="90"/>
        <v>0</v>
      </c>
      <c r="AS23" s="4">
        <f t="shared" si="59"/>
        <v>0</v>
      </c>
      <c r="AT23" s="137">
        <f t="shared" si="90"/>
        <v>0</v>
      </c>
      <c r="AU23" s="4">
        <f t="shared" si="60"/>
        <v>84962.8788314176</v>
      </c>
      <c r="AV23" s="137">
        <f t="shared" si="90"/>
        <v>0</v>
      </c>
      <c r="AW23" s="137">
        <f t="shared" si="90"/>
        <v>6471.3558429118775</v>
      </c>
      <c r="AX23" s="4">
        <f t="shared" si="61"/>
        <v>8.185452315956354E-12</v>
      </c>
      <c r="AY23" s="137">
        <f t="shared" si="90"/>
        <v>0</v>
      </c>
      <c r="AZ23" s="137">
        <f t="shared" si="90"/>
        <v>0</v>
      </c>
      <c r="BA23" s="137">
        <f t="shared" si="90"/>
        <v>0</v>
      </c>
      <c r="BB23" s="137">
        <f t="shared" si="90"/>
        <v>0</v>
      </c>
      <c r="BC23" s="137">
        <f t="shared" si="90"/>
        <v>0</v>
      </c>
      <c r="BD23" s="137">
        <f t="shared" si="90"/>
        <v>0</v>
      </c>
      <c r="BE23" s="137">
        <f t="shared" si="90"/>
        <v>0</v>
      </c>
      <c r="BF23" s="43">
        <f t="shared" si="62"/>
        <v>0</v>
      </c>
      <c r="BG23" s="137">
        <f t="shared" si="90"/>
        <v>0</v>
      </c>
      <c r="BH23" s="137">
        <f t="shared" si="90"/>
        <v>0</v>
      </c>
      <c r="BI23" s="137">
        <f t="shared" si="90"/>
        <v>0</v>
      </c>
      <c r="BJ23" s="137">
        <f t="shared" si="90"/>
        <v>0</v>
      </c>
      <c r="BK23" s="137">
        <f t="shared" si="90"/>
        <v>0</v>
      </c>
      <c r="BL23" s="137">
        <f t="shared" si="90"/>
        <v>0</v>
      </c>
      <c r="BM23" s="137">
        <f t="shared" si="90"/>
        <v>0</v>
      </c>
      <c r="BN23" s="137">
        <f t="shared" si="90"/>
        <v>0</v>
      </c>
      <c r="BO23" s="43">
        <f t="shared" si="63"/>
        <v>0</v>
      </c>
      <c r="BP23" s="137">
        <f t="shared" si="90"/>
        <v>0</v>
      </c>
      <c r="BQ23" s="137">
        <f t="shared" si="90"/>
        <v>0</v>
      </c>
      <c r="BR23" s="137">
        <f t="shared" si="90"/>
        <v>0</v>
      </c>
      <c r="BS23" s="43">
        <f t="shared" si="64"/>
        <v>0</v>
      </c>
      <c r="BT23" s="137">
        <f t="shared" si="90"/>
        <v>227174.4993295019</v>
      </c>
      <c r="BU23" s="137">
        <f t="shared" si="90"/>
        <v>58668.81704980843</v>
      </c>
      <c r="BV23" s="137">
        <f aca="true" t="shared" si="91" ref="BV23:CA23">(BV41/($B$12+$B$14+$B$23)*$B$23)</f>
        <v>0</v>
      </c>
      <c r="BW23" s="137">
        <f t="shared" si="91"/>
        <v>0</v>
      </c>
      <c r="BX23" s="4">
        <f t="shared" si="65"/>
        <v>285843.31637931033</v>
      </c>
      <c r="BY23" s="137">
        <f t="shared" si="91"/>
        <v>53337.35656130268</v>
      </c>
      <c r="BZ23" s="137">
        <f t="shared" si="91"/>
        <v>0</v>
      </c>
      <c r="CA23" s="137">
        <f t="shared" si="91"/>
        <v>232505.95981800766</v>
      </c>
      <c r="CB23" s="4">
        <f t="shared" si="66"/>
        <v>285843.31637931033</v>
      </c>
      <c r="CC23" s="4">
        <f t="shared" si="67"/>
        <v>0</v>
      </c>
      <c r="CD23" s="74">
        <f t="shared" si="68"/>
        <v>-6471.3558429118775</v>
      </c>
      <c r="CE23" s="76">
        <f t="shared" si="69"/>
        <v>-6471.3558429118775</v>
      </c>
      <c r="CF23" s="76">
        <f t="shared" si="70"/>
        <v>0</v>
      </c>
      <c r="CG23" s="76">
        <f t="shared" si="35"/>
        <v>84962.8788314176</v>
      </c>
      <c r="CH23" s="76">
        <f t="shared" si="71"/>
        <v>-3838.5797413793102</v>
      </c>
      <c r="CI23" s="37">
        <f t="shared" si="72"/>
        <v>-3838.5797413793102</v>
      </c>
      <c r="CJ23" s="59" t="str">
        <f t="shared" si="36"/>
        <v>-</v>
      </c>
      <c r="CK23" s="59" t="str">
        <f t="shared" si="37"/>
        <v>-</v>
      </c>
      <c r="CL23" s="141">
        <f t="shared" si="38"/>
        <v>-0.07616686171560016</v>
      </c>
      <c r="CM23" s="141">
        <f t="shared" si="39"/>
        <v>-0.07616686171560016</v>
      </c>
      <c r="CN23" s="141">
        <f t="shared" si="40"/>
        <v>-0.045179492434522815</v>
      </c>
      <c r="CO23" s="141">
        <f t="shared" si="41"/>
        <v>-0.045179492434522815</v>
      </c>
      <c r="CP23" s="141">
        <f t="shared" si="42"/>
        <v>0</v>
      </c>
      <c r="CQ23" s="141">
        <f t="shared" si="43"/>
        <v>0</v>
      </c>
      <c r="CR23" s="142">
        <f t="shared" si="44"/>
        <v>-26.862553534064165</v>
      </c>
      <c r="CS23" s="76">
        <f t="shared" si="45"/>
        <v>173837.14276819924</v>
      </c>
      <c r="CT23" s="80">
        <f t="shared" si="73"/>
        <v>91434.23467432949</v>
      </c>
      <c r="CU23" s="80">
        <f t="shared" si="74"/>
        <v>84962.8788314176</v>
      </c>
      <c r="CV23" s="80">
        <f t="shared" si="75"/>
        <v>-6471.355842911886</v>
      </c>
      <c r="CW23" s="80">
        <f t="shared" si="76"/>
        <v>0</v>
      </c>
      <c r="CX23" s="80">
        <f t="shared" si="77"/>
        <v>-6471.355842911886</v>
      </c>
      <c r="CY23" s="80">
        <f t="shared" si="78"/>
        <v>-6471.355842911886</v>
      </c>
      <c r="CZ23" s="80">
        <f t="shared" si="79"/>
        <v>0</v>
      </c>
      <c r="DA23" s="80">
        <f t="shared" si="80"/>
        <v>0</v>
      </c>
      <c r="DB23" s="80">
        <f t="shared" si="81"/>
        <v>-6471.355842911886</v>
      </c>
      <c r="DC23" s="80">
        <f t="shared" si="46"/>
        <v>-6471.355842911886</v>
      </c>
      <c r="DD23" s="80">
        <f t="shared" si="82"/>
        <v>0</v>
      </c>
      <c r="DE23" s="80">
        <f t="shared" si="83"/>
        <v>-6471.355842911886</v>
      </c>
      <c r="DF23" s="80">
        <f t="shared" si="84"/>
        <v>39316.0464559387</v>
      </c>
      <c r="DG23" s="80">
        <f t="shared" si="85"/>
        <v>709.5393582375478</v>
      </c>
      <c r="DH23" s="80">
        <f t="shared" si="86"/>
        <v>-15.667672413793102</v>
      </c>
      <c r="DI23" s="80">
        <f t="shared" si="87"/>
        <v>160.47365900383141</v>
      </c>
      <c r="DJ23" s="81">
        <f t="shared" si="88"/>
        <v>0</v>
      </c>
      <c r="DK23" s="76">
        <f t="shared" si="89"/>
        <v>-26.413697318007696</v>
      </c>
      <c r="DL23" s="145">
        <f t="shared" si="49"/>
        <v>173837.14276819924</v>
      </c>
      <c r="DM23" s="137">
        <f>(DM41/($B$12+$B$14+$B$23)*$B$23)</f>
        <v>0</v>
      </c>
      <c r="DN23" s="65"/>
    </row>
    <row r="24" spans="1:118" ht="12.75">
      <c r="A24" s="51" t="s">
        <v>16</v>
      </c>
      <c r="B24" s="38">
        <v>3700</v>
      </c>
      <c r="C24" s="164">
        <v>13003771</v>
      </c>
      <c r="D24" s="66">
        <v>3514.53</v>
      </c>
      <c r="E24" s="167">
        <v>98.03</v>
      </c>
      <c r="F24" s="126">
        <v>2</v>
      </c>
      <c r="G24" s="132">
        <v>63473.6</v>
      </c>
      <c r="H24" s="42">
        <v>13333.55</v>
      </c>
      <c r="I24" s="42">
        <v>0</v>
      </c>
      <c r="J24" s="42">
        <v>0</v>
      </c>
      <c r="K24" s="42">
        <v>0</v>
      </c>
      <c r="L24" s="42">
        <v>0</v>
      </c>
      <c r="M24" s="43">
        <f t="shared" si="0"/>
        <v>0</v>
      </c>
      <c r="N24" s="42">
        <v>0</v>
      </c>
      <c r="O24" s="42">
        <v>0</v>
      </c>
      <c r="P24" s="42">
        <v>1309387.85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3">
        <f t="shared" si="56"/>
        <v>0</v>
      </c>
      <c r="X24" s="42">
        <v>0</v>
      </c>
      <c r="Y24" s="43">
        <f t="shared" si="57"/>
        <v>1386195</v>
      </c>
      <c r="Z24" s="42">
        <v>466735.6</v>
      </c>
      <c r="AA24" s="42">
        <v>63218.35</v>
      </c>
      <c r="AB24" s="42">
        <v>0</v>
      </c>
      <c r="AC24" s="42">
        <v>81497.4</v>
      </c>
      <c r="AD24" s="42">
        <v>0</v>
      </c>
      <c r="AE24" s="43">
        <f t="shared" si="58"/>
        <v>611451.35</v>
      </c>
      <c r="AF24" s="42">
        <v>0</v>
      </c>
      <c r="AG24" s="42">
        <v>20927</v>
      </c>
      <c r="AH24" s="42">
        <v>0</v>
      </c>
      <c r="AI24" s="42">
        <v>832364.65</v>
      </c>
      <c r="AJ24" s="42">
        <v>0</v>
      </c>
      <c r="AK24" s="42">
        <v>20150</v>
      </c>
      <c r="AL24" s="42">
        <v>0</v>
      </c>
      <c r="AM24" s="42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59"/>
        <v>0</v>
      </c>
      <c r="AT24" s="38">
        <v>0</v>
      </c>
      <c r="AU24" s="4">
        <f t="shared" si="60"/>
        <v>1484893</v>
      </c>
      <c r="AV24" s="38">
        <v>98698</v>
      </c>
      <c r="AW24" s="38">
        <v>0</v>
      </c>
      <c r="AX24" s="143">
        <f t="shared" si="61"/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3">
        <f t="shared" si="62"/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3">
        <f t="shared" si="63"/>
        <v>0</v>
      </c>
      <c r="BP24" s="42">
        <v>0</v>
      </c>
      <c r="BQ24" s="42">
        <v>0</v>
      </c>
      <c r="BR24" s="42">
        <v>0</v>
      </c>
      <c r="BS24" s="43">
        <f t="shared" si="64"/>
        <v>0</v>
      </c>
      <c r="BT24" s="38">
        <v>1725512.67</v>
      </c>
      <c r="BU24" s="38">
        <v>0</v>
      </c>
      <c r="BV24" s="38">
        <v>0</v>
      </c>
      <c r="BW24" s="38">
        <v>0</v>
      </c>
      <c r="BX24" s="4">
        <f t="shared" si="65"/>
        <v>1725512.67</v>
      </c>
      <c r="BY24" s="38">
        <v>480299.1</v>
      </c>
      <c r="BZ24" s="38">
        <v>20000</v>
      </c>
      <c r="CA24" s="38">
        <v>1225213.57</v>
      </c>
      <c r="CB24" s="4">
        <f t="shared" si="66"/>
        <v>1725512.67</v>
      </c>
      <c r="CC24" s="143">
        <f t="shared" si="67"/>
        <v>0</v>
      </c>
      <c r="CD24" s="74">
        <f t="shared" si="68"/>
        <v>98698</v>
      </c>
      <c r="CE24" s="76">
        <f t="shared" si="69"/>
        <v>98698</v>
      </c>
      <c r="CF24" s="76">
        <f t="shared" si="70"/>
        <v>0</v>
      </c>
      <c r="CG24" s="76">
        <f t="shared" si="35"/>
        <v>1484893</v>
      </c>
      <c r="CH24" s="76">
        <f t="shared" si="71"/>
        <v>-20927</v>
      </c>
      <c r="CI24" s="37">
        <f t="shared" si="72"/>
        <v>-20927</v>
      </c>
      <c r="CJ24" s="59" t="str">
        <f t="shared" si="36"/>
        <v>-</v>
      </c>
      <c r="CK24" s="59" t="str">
        <f t="shared" si="37"/>
        <v>-</v>
      </c>
      <c r="CL24" s="141">
        <f t="shared" si="38"/>
        <v>0.06646808894647628</v>
      </c>
      <c r="CM24" s="141">
        <f t="shared" si="39"/>
        <v>0.06646808894647628</v>
      </c>
      <c r="CN24" s="141">
        <f t="shared" si="40"/>
        <v>-0.014093271367027793</v>
      </c>
      <c r="CO24" s="141">
        <f t="shared" si="41"/>
        <v>-0.014093271367027793</v>
      </c>
      <c r="CP24" s="141" t="str">
        <f t="shared" si="42"/>
        <v>-</v>
      </c>
      <c r="CQ24" s="141" t="str">
        <f t="shared" si="43"/>
        <v>-</v>
      </c>
      <c r="CR24" s="142">
        <f t="shared" si="44"/>
        <v>12.616401244199475</v>
      </c>
      <c r="CS24" s="76">
        <f t="shared" si="45"/>
        <v>1245213.5699999998</v>
      </c>
      <c r="CT24" s="80">
        <f t="shared" si="73"/>
        <v>1386195</v>
      </c>
      <c r="CU24" s="80">
        <f t="shared" si="74"/>
        <v>1484893</v>
      </c>
      <c r="CV24" s="80">
        <f t="shared" si="75"/>
        <v>98698</v>
      </c>
      <c r="CW24" s="80">
        <f t="shared" si="76"/>
        <v>0</v>
      </c>
      <c r="CX24" s="80">
        <f t="shared" si="77"/>
        <v>98698</v>
      </c>
      <c r="CY24" s="80">
        <f t="shared" si="78"/>
        <v>98698</v>
      </c>
      <c r="CZ24" s="80">
        <f t="shared" si="79"/>
        <v>0</v>
      </c>
      <c r="DA24" s="80">
        <f t="shared" si="80"/>
        <v>0</v>
      </c>
      <c r="DB24" s="80">
        <f t="shared" si="81"/>
        <v>98698</v>
      </c>
      <c r="DC24" s="80">
        <f t="shared" si="46"/>
        <v>98698</v>
      </c>
      <c r="DD24" s="80">
        <f t="shared" si="82"/>
        <v>0</v>
      </c>
      <c r="DE24" s="80">
        <f t="shared" si="83"/>
        <v>98698</v>
      </c>
      <c r="DF24" s="80">
        <f t="shared" si="84"/>
        <v>529953.95</v>
      </c>
      <c r="DG24" s="80">
        <f t="shared" si="85"/>
        <v>336.5442081081081</v>
      </c>
      <c r="DH24" s="80">
        <f t="shared" si="86"/>
        <v>-5.655945945945946</v>
      </c>
      <c r="DI24" s="80">
        <f t="shared" si="87"/>
        <v>143.23079729729727</v>
      </c>
      <c r="DJ24" s="81">
        <f t="shared" si="88"/>
        <v>0</v>
      </c>
      <c r="DK24" s="76">
        <f t="shared" si="89"/>
        <v>26.675135135135136</v>
      </c>
      <c r="DL24" s="145">
        <f t="shared" si="49"/>
        <v>1225213.57</v>
      </c>
      <c r="DM24" s="162">
        <v>0</v>
      </c>
      <c r="DN24" s="68"/>
    </row>
    <row r="25" spans="1:118" ht="12.75">
      <c r="A25" s="52" t="s">
        <v>36</v>
      </c>
      <c r="B25" s="4">
        <v>1825</v>
      </c>
      <c r="C25" s="76">
        <v>5509188</v>
      </c>
      <c r="D25" s="69">
        <v>3018.73</v>
      </c>
      <c r="E25" s="143">
        <v>84.2</v>
      </c>
      <c r="F25" s="8">
        <v>5</v>
      </c>
      <c r="G25" s="131">
        <v>37160.15</v>
      </c>
      <c r="H25" s="43">
        <v>9408.45</v>
      </c>
      <c r="I25" s="43">
        <v>911.7</v>
      </c>
      <c r="J25" s="43">
        <v>0</v>
      </c>
      <c r="K25" s="43">
        <v>0</v>
      </c>
      <c r="L25" s="43">
        <v>0</v>
      </c>
      <c r="M25" s="43">
        <f t="shared" si="0"/>
        <v>0</v>
      </c>
      <c r="N25" s="43">
        <v>0</v>
      </c>
      <c r="O25" s="43">
        <v>0</v>
      </c>
      <c r="P25" s="43">
        <v>831362.05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f t="shared" si="56"/>
        <v>0</v>
      </c>
      <c r="X25" s="43">
        <v>0</v>
      </c>
      <c r="Y25" s="43">
        <f t="shared" si="57"/>
        <v>878842.3500000001</v>
      </c>
      <c r="Z25" s="43">
        <v>302374.3</v>
      </c>
      <c r="AA25" s="43">
        <v>31915.35</v>
      </c>
      <c r="AB25" s="43">
        <v>0</v>
      </c>
      <c r="AC25" s="43">
        <f>40198.05</f>
        <v>40198.05</v>
      </c>
      <c r="AD25" s="43">
        <v>0</v>
      </c>
      <c r="AE25" s="43">
        <f t="shared" si="58"/>
        <v>374487.69999999995</v>
      </c>
      <c r="AF25" s="43">
        <v>0</v>
      </c>
      <c r="AG25" s="43">
        <f>222+1044</f>
        <v>1266</v>
      </c>
      <c r="AH25" s="43">
        <v>0</v>
      </c>
      <c r="AI25" s="43">
        <v>344860.7</v>
      </c>
      <c r="AJ25" s="43">
        <v>0</v>
      </c>
      <c r="AK25" s="43">
        <f>11481.65</f>
        <v>11481.65</v>
      </c>
      <c r="AL25" s="43">
        <f>14451.35</f>
        <v>14451.35</v>
      </c>
      <c r="AM25" s="43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9"/>
        <v>0</v>
      </c>
      <c r="AT25" s="4">
        <v>0</v>
      </c>
      <c r="AU25" s="4">
        <f t="shared" si="60"/>
        <v>746547.3999999999</v>
      </c>
      <c r="AV25" s="4">
        <v>0</v>
      </c>
      <c r="AW25" s="4">
        <f>132294.95</f>
        <v>132294.95</v>
      </c>
      <c r="AX25" s="147">
        <f t="shared" si="61"/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f t="shared" si="62"/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/>
      <c r="BM25" s="43">
        <v>0</v>
      </c>
      <c r="BN25" s="43">
        <v>0</v>
      </c>
      <c r="BO25" s="43">
        <f t="shared" si="63"/>
        <v>0</v>
      </c>
      <c r="BP25" s="43">
        <v>0</v>
      </c>
      <c r="BQ25" s="43">
        <v>0</v>
      </c>
      <c r="BR25" s="43">
        <v>0</v>
      </c>
      <c r="BS25" s="43">
        <f t="shared" si="64"/>
        <v>0</v>
      </c>
      <c r="BT25" s="4">
        <f>584.7+13741.6+15015.8+5297.55+48546+2439.75+7713.6+71.35+165393.9</f>
        <v>258804.25</v>
      </c>
      <c r="BU25" s="4">
        <v>0</v>
      </c>
      <c r="BV25" s="4">
        <v>0</v>
      </c>
      <c r="BW25" s="4"/>
      <c r="BX25" s="4">
        <f t="shared" si="65"/>
        <v>258804.25</v>
      </c>
      <c r="BY25" s="4">
        <f>149866.55+17192.15+79746.8</f>
        <v>246805.5</v>
      </c>
      <c r="BZ25" s="4">
        <v>0</v>
      </c>
      <c r="CA25" s="4">
        <v>11998.75</v>
      </c>
      <c r="CB25" s="4">
        <f t="shared" si="66"/>
        <v>258804.25</v>
      </c>
      <c r="CC25" s="143">
        <f t="shared" si="67"/>
        <v>0</v>
      </c>
      <c r="CD25" s="74">
        <f t="shared" si="68"/>
        <v>-132294.95</v>
      </c>
      <c r="CE25" s="76">
        <f t="shared" si="69"/>
        <v>-132294.95</v>
      </c>
      <c r="CF25" s="76">
        <f t="shared" si="70"/>
        <v>0</v>
      </c>
      <c r="CG25" s="76">
        <f t="shared" si="35"/>
        <v>746547.3999999999</v>
      </c>
      <c r="CH25" s="76">
        <f t="shared" si="71"/>
        <v>-354.29999999999995</v>
      </c>
      <c r="CI25" s="37">
        <f t="shared" si="72"/>
        <v>-354.29999999999995</v>
      </c>
      <c r="CJ25" s="59" t="str">
        <f t="shared" si="36"/>
        <v>-</v>
      </c>
      <c r="CK25" s="59" t="str">
        <f t="shared" si="37"/>
        <v>-</v>
      </c>
      <c r="CL25" s="141">
        <f t="shared" si="38"/>
        <v>-0.177209042587249</v>
      </c>
      <c r="CM25" s="141">
        <f t="shared" si="39"/>
        <v>-0.177209042587249</v>
      </c>
      <c r="CN25" s="141">
        <f t="shared" si="40"/>
        <v>-0.0004745847350081187</v>
      </c>
      <c r="CO25" s="141">
        <f t="shared" si="41"/>
        <v>-0.0004745847350081187</v>
      </c>
      <c r="CP25" s="141" t="str">
        <f t="shared" si="42"/>
        <v>-</v>
      </c>
      <c r="CQ25" s="141" t="str">
        <f t="shared" si="43"/>
        <v>-</v>
      </c>
      <c r="CR25" s="142">
        <f t="shared" si="44"/>
        <v>-0.09069696159981919</v>
      </c>
      <c r="CS25" s="76">
        <f t="shared" si="45"/>
        <v>11998.75</v>
      </c>
      <c r="CT25" s="80">
        <f t="shared" si="73"/>
        <v>878842.3500000001</v>
      </c>
      <c r="CU25" s="80">
        <f t="shared" si="74"/>
        <v>746547.3999999999</v>
      </c>
      <c r="CV25" s="80">
        <f t="shared" si="75"/>
        <v>-132294.9500000002</v>
      </c>
      <c r="CW25" s="80">
        <f t="shared" si="76"/>
        <v>0</v>
      </c>
      <c r="CX25" s="80">
        <f t="shared" si="77"/>
        <v>-132294.9500000002</v>
      </c>
      <c r="CY25" s="80">
        <f t="shared" si="78"/>
        <v>-132294.9500000002</v>
      </c>
      <c r="CZ25" s="80">
        <f t="shared" si="79"/>
        <v>0</v>
      </c>
      <c r="DA25" s="80">
        <f t="shared" si="80"/>
        <v>0</v>
      </c>
      <c r="DB25" s="80">
        <f t="shared" si="81"/>
        <v>-132294.9500000002</v>
      </c>
      <c r="DC25" s="80">
        <f t="shared" si="46"/>
        <v>-132294.9500000002</v>
      </c>
      <c r="DD25" s="80">
        <f t="shared" si="82"/>
        <v>0</v>
      </c>
      <c r="DE25" s="80">
        <f t="shared" si="83"/>
        <v>-132294.9500000002</v>
      </c>
      <c r="DF25" s="80">
        <f t="shared" si="84"/>
        <v>334289.64999999997</v>
      </c>
      <c r="DG25" s="80">
        <f t="shared" si="85"/>
        <v>6.574657534246575</v>
      </c>
      <c r="DH25" s="80">
        <f t="shared" si="86"/>
        <v>-0.19413698630136983</v>
      </c>
      <c r="DI25" s="80">
        <f t="shared" si="87"/>
        <v>183.1724109589041</v>
      </c>
      <c r="DJ25" s="81">
        <f t="shared" si="88"/>
        <v>0</v>
      </c>
      <c r="DK25" s="76">
        <f t="shared" si="89"/>
        <v>-72.49038356164394</v>
      </c>
      <c r="DL25" s="145">
        <f t="shared" si="49"/>
        <v>11998.75</v>
      </c>
      <c r="DM25" s="162">
        <v>0</v>
      </c>
      <c r="DN25" s="65"/>
    </row>
    <row r="26" spans="1:118" ht="12.75">
      <c r="A26" s="51" t="s">
        <v>17</v>
      </c>
      <c r="B26" s="38">
        <v>453</v>
      </c>
      <c r="C26" s="164">
        <v>1383397</v>
      </c>
      <c r="D26" s="66">
        <v>3053.86</v>
      </c>
      <c r="E26" s="167">
        <v>85.18</v>
      </c>
      <c r="F26" s="126">
        <v>4</v>
      </c>
      <c r="G26" s="132">
        <v>5074.7</v>
      </c>
      <c r="H26" s="42">
        <v>3610.3</v>
      </c>
      <c r="I26" s="42">
        <v>0</v>
      </c>
      <c r="J26" s="42">
        <v>0</v>
      </c>
      <c r="K26" s="42">
        <v>0</v>
      </c>
      <c r="L26" s="42">
        <v>0</v>
      </c>
      <c r="M26" s="43">
        <f t="shared" si="0"/>
        <v>0</v>
      </c>
      <c r="N26" s="42">
        <v>0</v>
      </c>
      <c r="O26" s="42">
        <v>0</v>
      </c>
      <c r="P26" s="42">
        <v>127048.2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3">
        <f t="shared" si="56"/>
        <v>0</v>
      </c>
      <c r="X26" s="42">
        <v>0</v>
      </c>
      <c r="Y26" s="43">
        <f t="shared" si="57"/>
        <v>135733.2</v>
      </c>
      <c r="Z26" s="42">
        <v>57453.8</v>
      </c>
      <c r="AA26" s="42">
        <v>29182.25</v>
      </c>
      <c r="AB26" s="42">
        <v>0</v>
      </c>
      <c r="AC26" s="42">
        <v>9977.9</v>
      </c>
      <c r="AD26" s="42">
        <v>0</v>
      </c>
      <c r="AE26" s="43">
        <f t="shared" si="58"/>
        <v>96613.95</v>
      </c>
      <c r="AF26" s="42">
        <v>0</v>
      </c>
      <c r="AG26" s="42">
        <v>323.55</v>
      </c>
      <c r="AH26" s="42">
        <v>0</v>
      </c>
      <c r="AI26" s="42">
        <v>62644.8</v>
      </c>
      <c r="AJ26" s="42">
        <v>0</v>
      </c>
      <c r="AK26" s="42">
        <v>0</v>
      </c>
      <c r="AL26" s="42">
        <v>0</v>
      </c>
      <c r="AM26" s="42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59"/>
        <v>0</v>
      </c>
      <c r="AT26" s="38">
        <v>0</v>
      </c>
      <c r="AU26" s="4">
        <f t="shared" si="60"/>
        <v>159582.3</v>
      </c>
      <c r="AV26" s="38">
        <v>23849.1</v>
      </c>
      <c r="AW26" s="38">
        <v>0</v>
      </c>
      <c r="AX26" s="143">
        <f t="shared" si="61"/>
        <v>2.1827872842550278E-11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62"/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3">
        <f t="shared" si="63"/>
        <v>0</v>
      </c>
      <c r="BP26" s="42">
        <v>0</v>
      </c>
      <c r="BQ26" s="42">
        <v>0</v>
      </c>
      <c r="BR26" s="42">
        <v>0</v>
      </c>
      <c r="BS26" s="43">
        <f t="shared" si="64"/>
        <v>0</v>
      </c>
      <c r="BT26" s="38">
        <v>208430.01</v>
      </c>
      <c r="BU26" s="38">
        <v>0</v>
      </c>
      <c r="BV26" s="38">
        <v>0</v>
      </c>
      <c r="BW26" s="38"/>
      <c r="BX26" s="4">
        <f t="shared" si="65"/>
        <v>208430.01</v>
      </c>
      <c r="BY26" s="38">
        <v>75030.2</v>
      </c>
      <c r="BZ26" s="38">
        <v>0</v>
      </c>
      <c r="CA26" s="38">
        <v>133399.81</v>
      </c>
      <c r="CB26" s="4">
        <f t="shared" si="66"/>
        <v>208430.01</v>
      </c>
      <c r="CC26" s="4">
        <f t="shared" si="67"/>
        <v>0</v>
      </c>
      <c r="CD26" s="74">
        <f t="shared" si="68"/>
        <v>23849.1</v>
      </c>
      <c r="CE26" s="76">
        <f t="shared" si="69"/>
        <v>23849.1</v>
      </c>
      <c r="CF26" s="76">
        <f t="shared" si="70"/>
        <v>0</v>
      </c>
      <c r="CG26" s="76">
        <f t="shared" si="35"/>
        <v>159582.3</v>
      </c>
      <c r="CH26" s="76">
        <f t="shared" si="71"/>
        <v>-323.55</v>
      </c>
      <c r="CI26" s="37">
        <f t="shared" si="72"/>
        <v>-323.55</v>
      </c>
      <c r="CJ26" s="59" t="str">
        <f t="shared" si="36"/>
        <v>-</v>
      </c>
      <c r="CK26" s="59" t="str">
        <f t="shared" si="37"/>
        <v>-</v>
      </c>
      <c r="CL26" s="141">
        <f t="shared" si="38"/>
        <v>0.14944702514000613</v>
      </c>
      <c r="CM26" s="141">
        <f t="shared" si="39"/>
        <v>0.14944702514000613</v>
      </c>
      <c r="CN26" s="141">
        <f t="shared" si="40"/>
        <v>-0.0020274804912574895</v>
      </c>
      <c r="CO26" s="141">
        <f t="shared" si="41"/>
        <v>-0.0020274804912574895</v>
      </c>
      <c r="CP26" s="141" t="str">
        <f t="shared" si="42"/>
        <v>-</v>
      </c>
      <c r="CQ26" s="141" t="str">
        <f t="shared" si="43"/>
        <v>-</v>
      </c>
      <c r="CR26" s="142">
        <f t="shared" si="44"/>
        <v>5.5934945134197935</v>
      </c>
      <c r="CS26" s="76">
        <f t="shared" si="45"/>
        <v>133399.81</v>
      </c>
      <c r="CT26" s="80">
        <f t="shared" si="73"/>
        <v>135733.2</v>
      </c>
      <c r="CU26" s="80">
        <f t="shared" si="74"/>
        <v>159582.3</v>
      </c>
      <c r="CV26" s="80">
        <f t="shared" si="75"/>
        <v>23849.099999999977</v>
      </c>
      <c r="CW26" s="80">
        <f t="shared" si="76"/>
        <v>0</v>
      </c>
      <c r="CX26" s="80">
        <f t="shared" si="77"/>
        <v>23849.099999999977</v>
      </c>
      <c r="CY26" s="80">
        <f t="shared" si="78"/>
        <v>23849.099999999977</v>
      </c>
      <c r="CZ26" s="80">
        <f t="shared" si="79"/>
        <v>0</v>
      </c>
      <c r="DA26" s="80">
        <f t="shared" si="80"/>
        <v>0</v>
      </c>
      <c r="DB26" s="80">
        <f t="shared" si="81"/>
        <v>23849.099999999977</v>
      </c>
      <c r="DC26" s="80">
        <f t="shared" si="46"/>
        <v>23849.099999999977</v>
      </c>
      <c r="DD26" s="80">
        <f t="shared" si="82"/>
        <v>0</v>
      </c>
      <c r="DE26" s="80">
        <f t="shared" si="83"/>
        <v>23849.099999999977</v>
      </c>
      <c r="DF26" s="80">
        <f t="shared" si="84"/>
        <v>86636.05</v>
      </c>
      <c r="DG26" s="80">
        <f t="shared" si="85"/>
        <v>294.4808167770419</v>
      </c>
      <c r="DH26" s="80">
        <f t="shared" si="86"/>
        <v>-0.7142384105960266</v>
      </c>
      <c r="DI26" s="80">
        <f t="shared" si="87"/>
        <v>191.24955849889625</v>
      </c>
      <c r="DJ26" s="81">
        <f t="shared" si="88"/>
        <v>0</v>
      </c>
      <c r="DK26" s="76">
        <f t="shared" si="89"/>
        <v>52.647019867549616</v>
      </c>
      <c r="DL26" s="145">
        <f t="shared" si="49"/>
        <v>133399.81</v>
      </c>
      <c r="DM26" s="162">
        <v>0</v>
      </c>
      <c r="DN26" s="68"/>
    </row>
    <row r="27" spans="1:118" ht="12.75">
      <c r="A27" s="52" t="s">
        <v>18</v>
      </c>
      <c r="B27" s="4">
        <v>677</v>
      </c>
      <c r="C27" s="76">
        <v>2263932</v>
      </c>
      <c r="D27" s="69">
        <v>3344.06</v>
      </c>
      <c r="E27" s="143">
        <v>93.27</v>
      </c>
      <c r="F27" s="8">
        <v>3</v>
      </c>
      <c r="G27" s="131">
        <f>(G40/($B$11+$B$27)*$B$27)</f>
        <v>39724.06822253654</v>
      </c>
      <c r="H27" s="131">
        <f aca="true" t="shared" si="92" ref="H27:BU27">(H40/($B$11+$B$27)*$B$27)</f>
        <v>12160.3744381581</v>
      </c>
      <c r="I27" s="131">
        <f t="shared" si="92"/>
        <v>972.2498821310702</v>
      </c>
      <c r="J27" s="131">
        <f t="shared" si="92"/>
        <v>0</v>
      </c>
      <c r="K27" s="131">
        <f t="shared" si="92"/>
        <v>1556.8872072921579</v>
      </c>
      <c r="L27" s="131">
        <f t="shared" si="92"/>
        <v>0</v>
      </c>
      <c r="M27" s="43">
        <f t="shared" si="0"/>
        <v>1556.8872072921579</v>
      </c>
      <c r="N27" s="131">
        <f t="shared" si="92"/>
        <v>0</v>
      </c>
      <c r="O27" s="131">
        <f t="shared" si="92"/>
        <v>21.774013829954423</v>
      </c>
      <c r="P27" s="131">
        <f t="shared" si="92"/>
        <v>424034.32175860443</v>
      </c>
      <c r="Q27" s="131">
        <f t="shared" si="92"/>
        <v>0</v>
      </c>
      <c r="R27" s="131">
        <f t="shared" si="92"/>
        <v>0</v>
      </c>
      <c r="S27" s="131">
        <f t="shared" si="92"/>
        <v>26599.0884802766</v>
      </c>
      <c r="T27" s="131">
        <f t="shared" si="92"/>
        <v>0</v>
      </c>
      <c r="U27" s="131">
        <f t="shared" si="92"/>
        <v>0</v>
      </c>
      <c r="V27" s="131">
        <f t="shared" si="92"/>
        <v>0</v>
      </c>
      <c r="W27" s="43">
        <f t="shared" si="56"/>
        <v>26599.0884802766</v>
      </c>
      <c r="X27" s="131">
        <f t="shared" si="92"/>
        <v>12299.417449316361</v>
      </c>
      <c r="Y27" s="43">
        <f t="shared" si="57"/>
        <v>517368.1814521453</v>
      </c>
      <c r="Z27" s="131">
        <f t="shared" si="92"/>
        <v>126854.19697469746</v>
      </c>
      <c r="AA27" s="131">
        <f t="shared" si="92"/>
        <v>27199.147956938552</v>
      </c>
      <c r="AB27" s="131">
        <f t="shared" si="92"/>
        <v>0</v>
      </c>
      <c r="AC27" s="131">
        <f t="shared" si="92"/>
        <v>14911.805429828697</v>
      </c>
      <c r="AD27" s="131">
        <f t="shared" si="92"/>
        <v>0</v>
      </c>
      <c r="AE27" s="43">
        <f t="shared" si="58"/>
        <v>168965.1503614647</v>
      </c>
      <c r="AF27" s="131">
        <f t="shared" si="92"/>
        <v>0</v>
      </c>
      <c r="AG27" s="131">
        <f t="shared" si="92"/>
        <v>4488.261032531825</v>
      </c>
      <c r="AH27" s="131">
        <f t="shared" si="92"/>
        <v>0</v>
      </c>
      <c r="AI27" s="131">
        <f t="shared" si="92"/>
        <v>244671.7121939337</v>
      </c>
      <c r="AJ27" s="131">
        <f t="shared" si="92"/>
        <v>0</v>
      </c>
      <c r="AK27" s="131">
        <f t="shared" si="92"/>
        <v>1600.094766619519</v>
      </c>
      <c r="AL27" s="131">
        <f t="shared" si="92"/>
        <v>0</v>
      </c>
      <c r="AM27" s="131">
        <f t="shared" si="92"/>
        <v>0</v>
      </c>
      <c r="AN27" s="131">
        <f t="shared" si="92"/>
        <v>0</v>
      </c>
      <c r="AO27" s="131">
        <f t="shared" si="92"/>
        <v>0</v>
      </c>
      <c r="AP27" s="131">
        <f t="shared" si="92"/>
        <v>0</v>
      </c>
      <c r="AQ27" s="131">
        <f t="shared" si="92"/>
        <v>0</v>
      </c>
      <c r="AR27" s="131">
        <f t="shared" si="92"/>
        <v>0</v>
      </c>
      <c r="AS27" s="4">
        <f t="shared" si="59"/>
        <v>0</v>
      </c>
      <c r="AT27" s="131">
        <f t="shared" si="92"/>
        <v>12299.407873644506</v>
      </c>
      <c r="AU27" s="4">
        <f t="shared" si="60"/>
        <v>432024.6262281942</v>
      </c>
      <c r="AV27" s="131">
        <f t="shared" si="92"/>
        <v>0</v>
      </c>
      <c r="AW27" s="131">
        <f t="shared" si="92"/>
        <v>85343.5456482791</v>
      </c>
      <c r="AX27" s="4">
        <f t="shared" si="61"/>
        <v>0.00957567195291631</v>
      </c>
      <c r="AY27" s="131">
        <f t="shared" si="92"/>
        <v>1864.0322017916078</v>
      </c>
      <c r="AZ27" s="131">
        <f t="shared" si="92"/>
        <v>0</v>
      </c>
      <c r="BA27" s="131">
        <f t="shared" si="92"/>
        <v>0</v>
      </c>
      <c r="BB27" s="131">
        <f t="shared" si="92"/>
        <v>0</v>
      </c>
      <c r="BC27" s="131">
        <f t="shared" si="92"/>
        <v>0</v>
      </c>
      <c r="BD27" s="131">
        <f t="shared" si="92"/>
        <v>0</v>
      </c>
      <c r="BE27" s="131">
        <f t="shared" si="92"/>
        <v>0</v>
      </c>
      <c r="BF27" s="43">
        <f t="shared" si="62"/>
        <v>0</v>
      </c>
      <c r="BG27" s="131">
        <f t="shared" si="92"/>
        <v>0</v>
      </c>
      <c r="BH27" s="131">
        <f t="shared" si="92"/>
        <v>0</v>
      </c>
      <c r="BI27" s="131">
        <f t="shared" si="92"/>
        <v>0</v>
      </c>
      <c r="BJ27" s="131">
        <f t="shared" si="92"/>
        <v>0</v>
      </c>
      <c r="BK27" s="131">
        <f t="shared" si="92"/>
        <v>0</v>
      </c>
      <c r="BL27" s="131">
        <f t="shared" si="92"/>
        <v>0</v>
      </c>
      <c r="BM27" s="131">
        <f t="shared" si="92"/>
        <v>0</v>
      </c>
      <c r="BN27" s="131">
        <f t="shared" si="92"/>
        <v>0</v>
      </c>
      <c r="BO27" s="43">
        <f t="shared" si="63"/>
        <v>0</v>
      </c>
      <c r="BP27" s="131">
        <f t="shared" si="92"/>
        <v>0</v>
      </c>
      <c r="BQ27" s="131">
        <f t="shared" si="92"/>
        <v>0</v>
      </c>
      <c r="BR27" s="131">
        <f t="shared" si="92"/>
        <v>0</v>
      </c>
      <c r="BS27" s="43">
        <f t="shared" si="64"/>
        <v>0</v>
      </c>
      <c r="BT27" s="131">
        <f t="shared" si="92"/>
        <v>258040.1885038504</v>
      </c>
      <c r="BU27" s="131">
        <f t="shared" si="92"/>
        <v>2335.3467703913248</v>
      </c>
      <c r="BV27" s="131">
        <f aca="true" t="shared" si="93" ref="BV27:CA27">(BV40/($B$11+$B$27)*$B$27)</f>
        <v>0</v>
      </c>
      <c r="BW27" s="131">
        <f t="shared" si="93"/>
        <v>0</v>
      </c>
      <c r="BX27" s="4">
        <f t="shared" si="65"/>
        <v>260375.53527424173</v>
      </c>
      <c r="BY27" s="131">
        <f t="shared" si="93"/>
        <v>201243.54853842527</v>
      </c>
      <c r="BZ27" s="131">
        <f t="shared" si="93"/>
        <v>0</v>
      </c>
      <c r="CA27" s="131">
        <f t="shared" si="93"/>
        <v>59131.98673581645</v>
      </c>
      <c r="CB27" s="4">
        <f t="shared" si="66"/>
        <v>260375.5352742417</v>
      </c>
      <c r="CC27" s="4">
        <f t="shared" si="67"/>
        <v>0</v>
      </c>
      <c r="CD27" s="74">
        <f t="shared" si="68"/>
        <v>-83786.65844098695</v>
      </c>
      <c r="CE27" s="76">
        <f t="shared" si="69"/>
        <v>-57187.56996071035</v>
      </c>
      <c r="CF27" s="76">
        <f t="shared" si="70"/>
        <v>0</v>
      </c>
      <c r="CG27" s="76">
        <f t="shared" si="35"/>
        <v>419725.2183545497</v>
      </c>
      <c r="CH27" s="76">
        <f t="shared" si="71"/>
        <v>-1651.9789486091468</v>
      </c>
      <c r="CI27" s="37">
        <f t="shared" si="72"/>
        <v>-95.09174131698887</v>
      </c>
      <c r="CJ27" s="59" t="str">
        <f t="shared" si="36"/>
        <v>-</v>
      </c>
      <c r="CK27" s="59" t="str">
        <f t="shared" si="37"/>
        <v>-</v>
      </c>
      <c r="CL27" s="141">
        <f t="shared" si="38"/>
        <v>-0.1996226454284927</v>
      </c>
      <c r="CM27" s="141">
        <f t="shared" si="39"/>
        <v>-0.13625002134706843</v>
      </c>
      <c r="CN27" s="141">
        <f t="shared" si="40"/>
        <v>-0.003935858214775385</v>
      </c>
      <c r="CO27" s="141">
        <f t="shared" si="41"/>
        <v>-0.00022655713109109185</v>
      </c>
      <c r="CP27" s="141">
        <f t="shared" si="42"/>
        <v>0.3999983598670399</v>
      </c>
      <c r="CQ27" s="141">
        <f t="shared" si="43"/>
        <v>0.3999983598670399</v>
      </c>
      <c r="CR27" s="142">
        <f t="shared" si="44"/>
        <v>-0.9931640740189904</v>
      </c>
      <c r="CS27" s="76">
        <f t="shared" si="45"/>
        <v>56796.63996542513</v>
      </c>
      <c r="CT27" s="80">
        <f t="shared" si="73"/>
        <v>515811.29424485314</v>
      </c>
      <c r="CU27" s="80">
        <f t="shared" si="74"/>
        <v>432024.6262281942</v>
      </c>
      <c r="CV27" s="80">
        <f t="shared" si="75"/>
        <v>-83786.66801665892</v>
      </c>
      <c r="CW27" s="80">
        <f t="shared" si="76"/>
        <v>0</v>
      </c>
      <c r="CX27" s="80">
        <f t="shared" si="77"/>
        <v>-83786.66801665892</v>
      </c>
      <c r="CY27" s="80">
        <f t="shared" si="78"/>
        <v>-85343.55522395107</v>
      </c>
      <c r="CZ27" s="80">
        <f t="shared" si="79"/>
        <v>0</v>
      </c>
      <c r="DA27" s="80">
        <f t="shared" si="80"/>
        <v>1556.8872072921579</v>
      </c>
      <c r="DB27" s="80">
        <f t="shared" si="81"/>
        <v>-83786.66801665892</v>
      </c>
      <c r="DC27" s="80">
        <f t="shared" si="46"/>
        <v>-57187.57953638232</v>
      </c>
      <c r="DD27" s="80">
        <f t="shared" si="82"/>
        <v>-1556.8872072921579</v>
      </c>
      <c r="DE27" s="80">
        <f t="shared" si="83"/>
        <v>-85343.55522395107</v>
      </c>
      <c r="DF27" s="80">
        <f t="shared" si="84"/>
        <v>154053.344931636</v>
      </c>
      <c r="DG27" s="80">
        <f t="shared" si="85"/>
        <v>83.89459374508881</v>
      </c>
      <c r="DH27" s="80">
        <f t="shared" si="86"/>
        <v>-2.44014615747289</v>
      </c>
      <c r="DI27" s="80">
        <f t="shared" si="87"/>
        <v>227.55294672324374</v>
      </c>
      <c r="DJ27" s="81">
        <f t="shared" si="88"/>
        <v>0</v>
      </c>
      <c r="DK27" s="76">
        <f t="shared" si="89"/>
        <v>-123.76169574100284</v>
      </c>
      <c r="DL27" s="145">
        <f t="shared" si="49"/>
        <v>56796.63996542512</v>
      </c>
      <c r="DM27" s="131">
        <f>(DM40/($B$11+$B$27)*$B$27)</f>
        <v>0</v>
      </c>
      <c r="DN27" s="65"/>
    </row>
    <row r="28" spans="1:118" ht="12.75">
      <c r="A28" s="51" t="s">
        <v>19</v>
      </c>
      <c r="B28" s="38">
        <v>389</v>
      </c>
      <c r="C28" s="164">
        <v>828632</v>
      </c>
      <c r="D28" s="66">
        <v>2130.16</v>
      </c>
      <c r="E28" s="167">
        <v>59.41</v>
      </c>
      <c r="F28" s="126">
        <v>3</v>
      </c>
      <c r="G28" s="132">
        <f>(G42/($B$5+$B$28)*$B$28)</f>
        <v>9786.933545108004</v>
      </c>
      <c r="H28" s="132">
        <f aca="true" t="shared" si="94" ref="H28:BU28">(H42/($B$5+$B$28)*$B$28)</f>
        <v>1543.0745235069885</v>
      </c>
      <c r="I28" s="132">
        <f t="shared" si="94"/>
        <v>0</v>
      </c>
      <c r="J28" s="132">
        <f t="shared" si="94"/>
        <v>0</v>
      </c>
      <c r="K28" s="132">
        <f t="shared" si="94"/>
        <v>0</v>
      </c>
      <c r="L28" s="132">
        <f t="shared" si="94"/>
        <v>0</v>
      </c>
      <c r="M28" s="43">
        <f t="shared" si="0"/>
        <v>0</v>
      </c>
      <c r="N28" s="132">
        <f t="shared" si="94"/>
        <v>0</v>
      </c>
      <c r="O28" s="132">
        <f t="shared" si="94"/>
        <v>0</v>
      </c>
      <c r="P28" s="132">
        <f t="shared" si="94"/>
        <v>176855.36531130876</v>
      </c>
      <c r="Q28" s="132">
        <f t="shared" si="94"/>
        <v>0</v>
      </c>
      <c r="R28" s="132">
        <f t="shared" si="94"/>
        <v>0</v>
      </c>
      <c r="S28" s="132">
        <f t="shared" si="94"/>
        <v>0</v>
      </c>
      <c r="T28" s="132">
        <f t="shared" si="94"/>
        <v>0</v>
      </c>
      <c r="U28" s="132">
        <f t="shared" si="94"/>
        <v>0</v>
      </c>
      <c r="V28" s="132">
        <f t="shared" si="94"/>
        <v>0</v>
      </c>
      <c r="W28" s="43">
        <f t="shared" si="56"/>
        <v>0</v>
      </c>
      <c r="X28" s="132">
        <f t="shared" si="94"/>
        <v>0</v>
      </c>
      <c r="Y28" s="43">
        <f t="shared" si="57"/>
        <v>188185.37337992375</v>
      </c>
      <c r="Z28" s="132">
        <f t="shared" si="94"/>
        <v>63162.77522236341</v>
      </c>
      <c r="AA28" s="132">
        <f t="shared" si="94"/>
        <v>5319.389644218551</v>
      </c>
      <c r="AB28" s="132">
        <f t="shared" si="94"/>
        <v>0</v>
      </c>
      <c r="AC28" s="132">
        <f t="shared" si="94"/>
        <v>8568.256353240153</v>
      </c>
      <c r="AD28" s="132">
        <f t="shared" si="94"/>
        <v>0</v>
      </c>
      <c r="AE28" s="43">
        <f t="shared" si="58"/>
        <v>77050.42121982212</v>
      </c>
      <c r="AF28" s="132">
        <f t="shared" si="94"/>
        <v>0</v>
      </c>
      <c r="AG28" s="132">
        <f t="shared" si="94"/>
        <v>1176.5890724269377</v>
      </c>
      <c r="AH28" s="132">
        <f t="shared" si="94"/>
        <v>0</v>
      </c>
      <c r="AI28" s="132">
        <f t="shared" si="94"/>
        <v>66390.93151207115</v>
      </c>
      <c r="AJ28" s="132">
        <f t="shared" si="94"/>
        <v>0</v>
      </c>
      <c r="AK28" s="132">
        <f t="shared" si="94"/>
        <v>1593.5654383735707</v>
      </c>
      <c r="AL28" s="132">
        <f t="shared" si="94"/>
        <v>0</v>
      </c>
      <c r="AM28" s="132">
        <f t="shared" si="94"/>
        <v>0</v>
      </c>
      <c r="AN28" s="132">
        <f t="shared" si="94"/>
        <v>0</v>
      </c>
      <c r="AO28" s="132">
        <f t="shared" si="94"/>
        <v>0</v>
      </c>
      <c r="AP28" s="132">
        <f t="shared" si="94"/>
        <v>0</v>
      </c>
      <c r="AQ28" s="132">
        <f t="shared" si="94"/>
        <v>0</v>
      </c>
      <c r="AR28" s="132">
        <f t="shared" si="94"/>
        <v>0</v>
      </c>
      <c r="AS28" s="4">
        <f t="shared" si="59"/>
        <v>0</v>
      </c>
      <c r="AT28" s="132">
        <f t="shared" si="94"/>
        <v>0</v>
      </c>
      <c r="AU28" s="4">
        <f t="shared" si="60"/>
        <v>146211.5072426938</v>
      </c>
      <c r="AV28" s="132">
        <f t="shared" si="94"/>
        <v>0</v>
      </c>
      <c r="AW28" s="132">
        <f t="shared" si="94"/>
        <v>41973.86613722999</v>
      </c>
      <c r="AX28" s="4">
        <f t="shared" si="61"/>
        <v>0</v>
      </c>
      <c r="AY28" s="132">
        <f t="shared" si="94"/>
        <v>0</v>
      </c>
      <c r="AZ28" s="132">
        <f t="shared" si="94"/>
        <v>0</v>
      </c>
      <c r="BA28" s="132">
        <f t="shared" si="94"/>
        <v>0</v>
      </c>
      <c r="BB28" s="132">
        <f t="shared" si="94"/>
        <v>0</v>
      </c>
      <c r="BC28" s="132">
        <f t="shared" si="94"/>
        <v>0</v>
      </c>
      <c r="BD28" s="132">
        <f t="shared" si="94"/>
        <v>0</v>
      </c>
      <c r="BE28" s="132">
        <f t="shared" si="94"/>
        <v>0</v>
      </c>
      <c r="BF28" s="43">
        <f t="shared" si="62"/>
        <v>0</v>
      </c>
      <c r="BG28" s="132">
        <f t="shared" si="94"/>
        <v>0</v>
      </c>
      <c r="BH28" s="132">
        <f t="shared" si="94"/>
        <v>0</v>
      </c>
      <c r="BI28" s="132">
        <f t="shared" si="94"/>
        <v>0</v>
      </c>
      <c r="BJ28" s="132">
        <f t="shared" si="94"/>
        <v>0</v>
      </c>
      <c r="BK28" s="132">
        <f t="shared" si="94"/>
        <v>0</v>
      </c>
      <c r="BL28" s="132">
        <f t="shared" si="94"/>
        <v>0</v>
      </c>
      <c r="BM28" s="132">
        <f t="shared" si="94"/>
        <v>0</v>
      </c>
      <c r="BN28" s="132">
        <f t="shared" si="94"/>
        <v>0</v>
      </c>
      <c r="BO28" s="43">
        <f t="shared" si="63"/>
        <v>0</v>
      </c>
      <c r="BP28" s="132">
        <f t="shared" si="94"/>
        <v>0</v>
      </c>
      <c r="BQ28" s="132">
        <f t="shared" si="94"/>
        <v>0</v>
      </c>
      <c r="BR28" s="132">
        <f t="shared" si="94"/>
        <v>0</v>
      </c>
      <c r="BS28" s="43">
        <f t="shared" si="64"/>
        <v>0</v>
      </c>
      <c r="BT28" s="132">
        <f t="shared" si="94"/>
        <v>179345.73144853875</v>
      </c>
      <c r="BU28" s="132">
        <f t="shared" si="94"/>
        <v>0</v>
      </c>
      <c r="BV28" s="132">
        <f aca="true" t="shared" si="95" ref="BV28:CA28">(BV42/($B$5+$B$28)*$B$28)</f>
        <v>0</v>
      </c>
      <c r="BW28" s="132">
        <f t="shared" si="95"/>
        <v>0</v>
      </c>
      <c r="BX28" s="4">
        <f t="shared" si="65"/>
        <v>179345.73144853875</v>
      </c>
      <c r="BY28" s="132">
        <f t="shared" si="95"/>
        <v>73407.85883100382</v>
      </c>
      <c r="BZ28" s="132">
        <f t="shared" si="95"/>
        <v>0</v>
      </c>
      <c r="CA28" s="132">
        <f t="shared" si="95"/>
        <v>105937.87261753496</v>
      </c>
      <c r="CB28" s="4">
        <f t="shared" si="66"/>
        <v>179345.73144853878</v>
      </c>
      <c r="CC28" s="4">
        <f t="shared" si="67"/>
        <v>0</v>
      </c>
      <c r="CD28" s="74">
        <f t="shared" si="68"/>
        <v>-41973.86613722999</v>
      </c>
      <c r="CE28" s="76">
        <f t="shared" si="69"/>
        <v>-41973.86613722999</v>
      </c>
      <c r="CF28" s="76">
        <f t="shared" si="70"/>
        <v>0</v>
      </c>
      <c r="CG28" s="76">
        <f t="shared" si="35"/>
        <v>146211.5072426938</v>
      </c>
      <c r="CH28" s="76">
        <f t="shared" si="71"/>
        <v>-1176.5890724269377</v>
      </c>
      <c r="CI28" s="37">
        <f t="shared" si="72"/>
        <v>-1176.5890724269377</v>
      </c>
      <c r="CJ28" s="59" t="str">
        <f t="shared" si="36"/>
        <v>-</v>
      </c>
      <c r="CK28" s="59" t="str">
        <f t="shared" si="37"/>
        <v>-</v>
      </c>
      <c r="CL28" s="141">
        <f t="shared" si="38"/>
        <v>-0.28707635212020854</v>
      </c>
      <c r="CM28" s="141">
        <f t="shared" si="39"/>
        <v>-0.28707635212020854</v>
      </c>
      <c r="CN28" s="141">
        <f t="shared" si="40"/>
        <v>-0.008047171488861948</v>
      </c>
      <c r="CO28" s="141">
        <f t="shared" si="41"/>
        <v>-0.008047171488861948</v>
      </c>
      <c r="CP28" s="141" t="str">
        <f t="shared" si="42"/>
        <v>-</v>
      </c>
      <c r="CQ28" s="141" t="str">
        <f t="shared" si="43"/>
        <v>-</v>
      </c>
      <c r="CR28" s="142">
        <f t="shared" si="44"/>
        <v>-2.5239007593720353</v>
      </c>
      <c r="CS28" s="76">
        <f t="shared" si="45"/>
        <v>105937.87261753493</v>
      </c>
      <c r="CT28" s="80">
        <f t="shared" si="73"/>
        <v>188185.37337992375</v>
      </c>
      <c r="CU28" s="80">
        <f t="shared" si="74"/>
        <v>146211.5072426938</v>
      </c>
      <c r="CV28" s="80">
        <f t="shared" si="75"/>
        <v>-41973.866137229954</v>
      </c>
      <c r="CW28" s="80">
        <f t="shared" si="76"/>
        <v>0</v>
      </c>
      <c r="CX28" s="80">
        <f t="shared" si="77"/>
        <v>-41973.866137229954</v>
      </c>
      <c r="CY28" s="80">
        <f t="shared" si="78"/>
        <v>-41973.866137229954</v>
      </c>
      <c r="CZ28" s="80">
        <f t="shared" si="79"/>
        <v>0</v>
      </c>
      <c r="DA28" s="80">
        <f t="shared" si="80"/>
        <v>0</v>
      </c>
      <c r="DB28" s="80">
        <f t="shared" si="81"/>
        <v>-41973.866137229954</v>
      </c>
      <c r="DC28" s="80">
        <f t="shared" si="46"/>
        <v>-41973.866137229954</v>
      </c>
      <c r="DD28" s="80">
        <f t="shared" si="82"/>
        <v>0</v>
      </c>
      <c r="DE28" s="80">
        <f t="shared" si="83"/>
        <v>-41973.866137229954</v>
      </c>
      <c r="DF28" s="80">
        <f t="shared" si="84"/>
        <v>68482.16486658197</v>
      </c>
      <c r="DG28" s="80">
        <f t="shared" si="85"/>
        <v>272.3338627700127</v>
      </c>
      <c r="DH28" s="80">
        <f t="shared" si="86"/>
        <v>-3.0246505717916135</v>
      </c>
      <c r="DI28" s="80">
        <f t="shared" si="87"/>
        <v>176.04669631512073</v>
      </c>
      <c r="DJ28" s="81">
        <f t="shared" si="88"/>
        <v>0</v>
      </c>
      <c r="DK28" s="76">
        <f t="shared" si="89"/>
        <v>-107.90196950444718</v>
      </c>
      <c r="DL28" s="145">
        <f t="shared" si="49"/>
        <v>105937.87261753496</v>
      </c>
      <c r="DM28" s="132">
        <f>(DM42/($B$5+$B$28)*$B$28)</f>
        <v>0</v>
      </c>
      <c r="DN28" s="68"/>
    </row>
    <row r="29" spans="1:118" ht="12.75">
      <c r="A29" s="52" t="s">
        <v>21</v>
      </c>
      <c r="B29" s="4">
        <v>2557</v>
      </c>
      <c r="C29" s="76">
        <v>9147539</v>
      </c>
      <c r="D29" s="69">
        <v>3577.45</v>
      </c>
      <c r="E29" s="143">
        <v>99.78</v>
      </c>
      <c r="F29" s="8">
        <v>4</v>
      </c>
      <c r="G29" s="131">
        <v>86691.5</v>
      </c>
      <c r="H29" s="43">
        <v>11658</v>
      </c>
      <c r="I29" s="43">
        <v>0</v>
      </c>
      <c r="J29" s="43">
        <v>0</v>
      </c>
      <c r="K29" s="43">
        <v>0</v>
      </c>
      <c r="L29" s="43">
        <v>0</v>
      </c>
      <c r="M29" s="43">
        <f t="shared" si="0"/>
        <v>0</v>
      </c>
      <c r="N29" s="43">
        <v>0</v>
      </c>
      <c r="O29" s="43">
        <v>19.85</v>
      </c>
      <c r="P29" s="43">
        <v>236096.6</v>
      </c>
      <c r="Q29" s="43">
        <v>654175.85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f t="shared" si="56"/>
        <v>0</v>
      </c>
      <c r="X29" s="43">
        <v>38.3</v>
      </c>
      <c r="Y29" s="43">
        <f t="shared" si="57"/>
        <v>988680.1000000001</v>
      </c>
      <c r="Z29" s="43">
        <v>635268.4</v>
      </c>
      <c r="AA29" s="43">
        <v>0</v>
      </c>
      <c r="AB29" s="43">
        <v>0</v>
      </c>
      <c r="AC29" s="43">
        <v>0</v>
      </c>
      <c r="AD29" s="43">
        <v>0</v>
      </c>
      <c r="AE29" s="43">
        <f t="shared" si="58"/>
        <v>635268.4</v>
      </c>
      <c r="AF29" s="43">
        <v>0</v>
      </c>
      <c r="AG29" s="43">
        <v>725.65</v>
      </c>
      <c r="AH29" s="43">
        <v>0</v>
      </c>
      <c r="AI29" s="43">
        <v>301667.1</v>
      </c>
      <c r="AJ29" s="43">
        <v>0</v>
      </c>
      <c r="AK29" s="43">
        <v>0</v>
      </c>
      <c r="AL29" s="43">
        <v>0</v>
      </c>
      <c r="AM29" s="43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9"/>
        <v>0</v>
      </c>
      <c r="AT29" s="4">
        <v>524.3</v>
      </c>
      <c r="AU29" s="4">
        <f t="shared" si="60"/>
        <v>938185.4499999998</v>
      </c>
      <c r="AV29" s="4">
        <v>0</v>
      </c>
      <c r="AW29" s="4">
        <v>50494.65</v>
      </c>
      <c r="AX29" s="143">
        <f t="shared" si="61"/>
        <v>2.546585164964199E-10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f t="shared" si="62"/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f t="shared" si="63"/>
        <v>0</v>
      </c>
      <c r="BP29" s="43">
        <v>0</v>
      </c>
      <c r="BQ29" s="43">
        <v>0</v>
      </c>
      <c r="BR29" s="43">
        <v>0</v>
      </c>
      <c r="BS29" s="43">
        <f t="shared" si="64"/>
        <v>0</v>
      </c>
      <c r="BT29" s="4">
        <v>869171.45</v>
      </c>
      <c r="BU29" s="4">
        <v>0</v>
      </c>
      <c r="BV29" s="4">
        <v>0</v>
      </c>
      <c r="BW29" s="4"/>
      <c r="BX29" s="4">
        <f t="shared" si="65"/>
        <v>869171.45</v>
      </c>
      <c r="BY29" s="4">
        <v>410144.4</v>
      </c>
      <c r="BZ29" s="4">
        <v>0</v>
      </c>
      <c r="CA29" s="4">
        <v>459027.05</v>
      </c>
      <c r="CB29" s="4">
        <f t="shared" si="66"/>
        <v>869171.45</v>
      </c>
      <c r="CC29" s="143">
        <f t="shared" si="67"/>
        <v>0</v>
      </c>
      <c r="CD29" s="74">
        <f t="shared" si="68"/>
        <v>-50494.65</v>
      </c>
      <c r="CE29" s="76">
        <f t="shared" si="69"/>
        <v>-50494.65</v>
      </c>
      <c r="CF29" s="76">
        <f t="shared" si="70"/>
        <v>0</v>
      </c>
      <c r="CG29" s="76">
        <f t="shared" si="35"/>
        <v>937661.1499999998</v>
      </c>
      <c r="CH29" s="76">
        <f t="shared" si="71"/>
        <v>-725.65</v>
      </c>
      <c r="CI29" s="37">
        <f t="shared" si="72"/>
        <v>-725.65</v>
      </c>
      <c r="CJ29" s="59" t="str">
        <f t="shared" si="36"/>
        <v>-</v>
      </c>
      <c r="CK29" s="59" t="str">
        <f t="shared" si="37"/>
        <v>-</v>
      </c>
      <c r="CL29" s="141">
        <f t="shared" si="38"/>
        <v>-0.05385170325122248</v>
      </c>
      <c r="CM29" s="141">
        <f t="shared" si="39"/>
        <v>-0.05385170325122248</v>
      </c>
      <c r="CN29" s="141">
        <f t="shared" si="40"/>
        <v>-0.0007738936395093261</v>
      </c>
      <c r="CO29" s="141">
        <f t="shared" si="41"/>
        <v>-0.0007738936395093261</v>
      </c>
      <c r="CP29" s="141" t="str">
        <f t="shared" si="42"/>
        <v>-</v>
      </c>
      <c r="CQ29" s="141" t="str">
        <f t="shared" si="43"/>
        <v>-</v>
      </c>
      <c r="CR29" s="142">
        <f t="shared" si="44"/>
        <v>-9.090607618826944</v>
      </c>
      <c r="CS29" s="76">
        <f t="shared" si="45"/>
        <v>459027.04999999993</v>
      </c>
      <c r="CT29" s="80">
        <f t="shared" si="73"/>
        <v>988680.1000000001</v>
      </c>
      <c r="CU29" s="80">
        <f t="shared" si="74"/>
        <v>938185.4499999998</v>
      </c>
      <c r="CV29" s="80">
        <f t="shared" si="75"/>
        <v>-50494.650000000256</v>
      </c>
      <c r="CW29" s="80">
        <f t="shared" si="76"/>
        <v>0</v>
      </c>
      <c r="CX29" s="80">
        <f t="shared" si="77"/>
        <v>-50494.650000000256</v>
      </c>
      <c r="CY29" s="80">
        <f t="shared" si="78"/>
        <v>-50494.650000000256</v>
      </c>
      <c r="CZ29" s="80">
        <f t="shared" si="79"/>
        <v>0</v>
      </c>
      <c r="DA29" s="80">
        <f t="shared" si="80"/>
        <v>0</v>
      </c>
      <c r="DB29" s="80">
        <f t="shared" si="81"/>
        <v>-50494.650000000256</v>
      </c>
      <c r="DC29" s="80">
        <f t="shared" si="46"/>
        <v>-50494.650000000256</v>
      </c>
      <c r="DD29" s="80">
        <f t="shared" si="82"/>
        <v>0</v>
      </c>
      <c r="DE29" s="80">
        <f t="shared" si="83"/>
        <v>-50494.650000000256</v>
      </c>
      <c r="DF29" s="80">
        <f t="shared" si="84"/>
        <v>635268.4</v>
      </c>
      <c r="DG29" s="80">
        <f t="shared" si="85"/>
        <v>179.5178138443488</v>
      </c>
      <c r="DH29" s="80">
        <f t="shared" si="86"/>
        <v>-0.2837895971842002</v>
      </c>
      <c r="DI29" s="80">
        <f t="shared" si="87"/>
        <v>248.44286272976146</v>
      </c>
      <c r="DJ29" s="81">
        <f t="shared" si="88"/>
        <v>0</v>
      </c>
      <c r="DK29" s="76">
        <f t="shared" si="89"/>
        <v>-19.747614391865568</v>
      </c>
      <c r="DL29" s="145">
        <f t="shared" si="49"/>
        <v>459027.05</v>
      </c>
      <c r="DM29" s="160"/>
      <c r="DN29" s="65"/>
    </row>
    <row r="30" spans="1:118" ht="12.75">
      <c r="A30" s="51" t="s">
        <v>31</v>
      </c>
      <c r="B30" s="38">
        <v>406</v>
      </c>
      <c r="C30" s="164">
        <v>1249702</v>
      </c>
      <c r="D30" s="66">
        <v>3078.08</v>
      </c>
      <c r="E30" s="167">
        <v>85.85</v>
      </c>
      <c r="F30" s="126">
        <v>2</v>
      </c>
      <c r="G30" s="132">
        <v>8855.25</v>
      </c>
      <c r="H30" s="42">
        <v>3949.75</v>
      </c>
      <c r="I30" s="42">
        <v>0</v>
      </c>
      <c r="J30" s="42">
        <v>0</v>
      </c>
      <c r="K30" s="42">
        <v>0</v>
      </c>
      <c r="L30" s="42">
        <v>0</v>
      </c>
      <c r="M30" s="43">
        <f t="shared" si="0"/>
        <v>0</v>
      </c>
      <c r="N30" s="42">
        <v>0</v>
      </c>
      <c r="O30" s="42">
        <v>0</v>
      </c>
      <c r="P30" s="42">
        <v>116419.15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3">
        <f t="shared" si="56"/>
        <v>0</v>
      </c>
      <c r="X30" s="42">
        <v>0</v>
      </c>
      <c r="Y30" s="43">
        <f t="shared" si="57"/>
        <v>129224.15</v>
      </c>
      <c r="Z30" s="42">
        <v>52912.25</v>
      </c>
      <c r="AA30" s="42">
        <v>0</v>
      </c>
      <c r="AB30" s="42">
        <v>0</v>
      </c>
      <c r="AC30" s="42">
        <v>8942.7</v>
      </c>
      <c r="AD30" s="42">
        <v>0</v>
      </c>
      <c r="AE30" s="43">
        <f t="shared" si="58"/>
        <v>61854.95</v>
      </c>
      <c r="AF30" s="42">
        <v>0</v>
      </c>
      <c r="AG30" s="42">
        <v>686.05</v>
      </c>
      <c r="AH30" s="42">
        <v>0</v>
      </c>
      <c r="AI30" s="42">
        <v>1100</v>
      </c>
      <c r="AJ30" s="42">
        <v>0</v>
      </c>
      <c r="AK30" s="42">
        <v>0</v>
      </c>
      <c r="AL30" s="42">
        <v>0</v>
      </c>
      <c r="AM30" s="42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4">
        <f t="shared" si="59"/>
        <v>0</v>
      </c>
      <c r="AT30" s="38">
        <v>0</v>
      </c>
      <c r="AU30" s="4">
        <f t="shared" si="60"/>
        <v>63641</v>
      </c>
      <c r="AV30" s="38">
        <v>0</v>
      </c>
      <c r="AW30" s="38">
        <v>65583.15</v>
      </c>
      <c r="AX30" s="143">
        <f t="shared" si="61"/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62"/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3">
        <f t="shared" si="63"/>
        <v>0</v>
      </c>
      <c r="BP30" s="42">
        <v>0</v>
      </c>
      <c r="BQ30" s="42">
        <v>0</v>
      </c>
      <c r="BR30" s="42">
        <v>0</v>
      </c>
      <c r="BS30" s="148">
        <f t="shared" si="64"/>
        <v>0</v>
      </c>
      <c r="BT30" s="38">
        <v>118666.08</v>
      </c>
      <c r="BU30" s="38">
        <v>0</v>
      </c>
      <c r="BV30" s="38">
        <v>0</v>
      </c>
      <c r="BW30" s="38"/>
      <c r="BX30" s="4">
        <f t="shared" si="65"/>
        <v>118666.08</v>
      </c>
      <c r="BY30" s="38">
        <v>47931.1</v>
      </c>
      <c r="BZ30" s="38">
        <v>0</v>
      </c>
      <c r="CA30" s="38">
        <v>70734.98</v>
      </c>
      <c r="CB30" s="4">
        <f t="shared" si="66"/>
        <v>118666.07999999999</v>
      </c>
      <c r="CC30" s="143">
        <f t="shared" si="67"/>
        <v>0</v>
      </c>
      <c r="CD30" s="74">
        <f t="shared" si="68"/>
        <v>-65583.15</v>
      </c>
      <c r="CE30" s="76">
        <f t="shared" si="69"/>
        <v>-65583.15</v>
      </c>
      <c r="CF30" s="76">
        <f t="shared" si="70"/>
        <v>0</v>
      </c>
      <c r="CG30" s="76">
        <f t="shared" si="35"/>
        <v>63641</v>
      </c>
      <c r="CH30" s="76">
        <f t="shared" si="71"/>
        <v>-686.05</v>
      </c>
      <c r="CI30" s="37">
        <f t="shared" si="72"/>
        <v>-686.05</v>
      </c>
      <c r="CJ30" s="59" t="str">
        <f t="shared" si="36"/>
        <v>-</v>
      </c>
      <c r="CK30" s="59" t="str">
        <f t="shared" si="37"/>
        <v>-</v>
      </c>
      <c r="CL30" s="141">
        <f t="shared" si="38"/>
        <v>-1.0305172765984192</v>
      </c>
      <c r="CM30" s="141">
        <f t="shared" si="39"/>
        <v>-1.0305172765984192</v>
      </c>
      <c r="CN30" s="141">
        <f t="shared" si="40"/>
        <v>-0.010780000314262817</v>
      </c>
      <c r="CO30" s="141">
        <f t="shared" si="41"/>
        <v>-0.010780000314262817</v>
      </c>
      <c r="CP30" s="141" t="str">
        <f t="shared" si="42"/>
        <v>-</v>
      </c>
      <c r="CQ30" s="141" t="str">
        <f t="shared" si="43"/>
        <v>-</v>
      </c>
      <c r="CR30" s="142">
        <f t="shared" si="44"/>
        <v>-1.0785541713077218</v>
      </c>
      <c r="CS30" s="76">
        <f t="shared" si="45"/>
        <v>70734.98000000001</v>
      </c>
      <c r="CT30" s="80">
        <f t="shared" si="73"/>
        <v>129224.15</v>
      </c>
      <c r="CU30" s="80">
        <f t="shared" si="74"/>
        <v>63641</v>
      </c>
      <c r="CV30" s="80">
        <f t="shared" si="75"/>
        <v>-65583.15</v>
      </c>
      <c r="CW30" s="80">
        <f t="shared" si="76"/>
        <v>0</v>
      </c>
      <c r="CX30" s="80">
        <f t="shared" si="77"/>
        <v>-65583.15</v>
      </c>
      <c r="CY30" s="80">
        <f t="shared" si="78"/>
        <v>-65583.15</v>
      </c>
      <c r="CZ30" s="80">
        <f t="shared" si="79"/>
        <v>0</v>
      </c>
      <c r="DA30" s="80">
        <f t="shared" si="80"/>
        <v>0</v>
      </c>
      <c r="DB30" s="80">
        <f t="shared" si="81"/>
        <v>-65583.15</v>
      </c>
      <c r="DC30" s="80">
        <f t="shared" si="46"/>
        <v>-65583.15</v>
      </c>
      <c r="DD30" s="80">
        <f t="shared" si="82"/>
        <v>0</v>
      </c>
      <c r="DE30" s="80">
        <f t="shared" si="83"/>
        <v>-65583.15</v>
      </c>
      <c r="DF30" s="80">
        <f t="shared" si="84"/>
        <v>52912.25</v>
      </c>
      <c r="DG30" s="80">
        <f t="shared" si="85"/>
        <v>174.22408866995076</v>
      </c>
      <c r="DH30" s="80">
        <f t="shared" si="86"/>
        <v>-1.6897783251231526</v>
      </c>
      <c r="DI30" s="80">
        <f t="shared" si="87"/>
        <v>130.32573891625617</v>
      </c>
      <c r="DJ30" s="81">
        <f t="shared" si="88"/>
        <v>0</v>
      </c>
      <c r="DK30" s="76">
        <f t="shared" si="89"/>
        <v>-161.53485221674876</v>
      </c>
      <c r="DL30" s="145">
        <f t="shared" si="49"/>
        <v>70734.98</v>
      </c>
      <c r="DM30" s="162">
        <v>0</v>
      </c>
      <c r="DN30" s="68"/>
    </row>
    <row r="31" spans="1:118" ht="13.5" thickBot="1">
      <c r="A31" s="53" t="s">
        <v>20</v>
      </c>
      <c r="B31" s="7">
        <v>303</v>
      </c>
      <c r="C31" s="165">
        <v>1064294</v>
      </c>
      <c r="D31" s="70">
        <v>3512.52</v>
      </c>
      <c r="E31" s="168">
        <v>97.97</v>
      </c>
      <c r="F31" s="127">
        <v>4</v>
      </c>
      <c r="G31" s="131">
        <v>3039.2</v>
      </c>
      <c r="H31" s="43">
        <v>846.7</v>
      </c>
      <c r="I31" s="43">
        <v>333.05</v>
      </c>
      <c r="J31" s="43">
        <v>0</v>
      </c>
      <c r="K31" s="43">
        <v>0</v>
      </c>
      <c r="L31" s="43">
        <v>0</v>
      </c>
      <c r="M31" s="43">
        <f t="shared" si="0"/>
        <v>0</v>
      </c>
      <c r="N31" s="43">
        <v>1600</v>
      </c>
      <c r="O31" s="43">
        <v>0</v>
      </c>
      <c r="P31" s="43">
        <v>117781.1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f t="shared" si="56"/>
        <v>0</v>
      </c>
      <c r="X31" s="43">
        <v>0</v>
      </c>
      <c r="Y31" s="43">
        <f t="shared" si="57"/>
        <v>123600.05</v>
      </c>
      <c r="Z31" s="43">
        <v>52642.65</v>
      </c>
      <c r="AA31" s="43">
        <v>4992.6</v>
      </c>
      <c r="AB31" s="43">
        <v>0</v>
      </c>
      <c r="AC31" s="43">
        <v>6673.95</v>
      </c>
      <c r="AD31" s="43">
        <v>0</v>
      </c>
      <c r="AE31" s="43">
        <f t="shared" si="58"/>
        <v>64309.2</v>
      </c>
      <c r="AF31" s="43">
        <v>0</v>
      </c>
      <c r="AG31" s="43">
        <v>358.45</v>
      </c>
      <c r="AH31" s="43">
        <v>0</v>
      </c>
      <c r="AI31" s="43">
        <v>11.75</v>
      </c>
      <c r="AJ31" s="43">
        <v>0</v>
      </c>
      <c r="AK31" s="43">
        <v>0</v>
      </c>
      <c r="AL31" s="43">
        <v>0</v>
      </c>
      <c r="AM31" s="43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9"/>
        <v>0</v>
      </c>
      <c r="AT31" s="4">
        <v>0</v>
      </c>
      <c r="AU31" s="4">
        <f t="shared" si="60"/>
        <v>64679.399999999994</v>
      </c>
      <c r="AV31" s="4">
        <v>0</v>
      </c>
      <c r="AW31" s="4">
        <v>58920.65</v>
      </c>
      <c r="AX31" s="143">
        <f t="shared" si="61"/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f t="shared" si="62"/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f t="shared" si="63"/>
        <v>0</v>
      </c>
      <c r="BP31" s="43">
        <v>0</v>
      </c>
      <c r="BQ31" s="43">
        <v>0</v>
      </c>
      <c r="BR31" s="43">
        <v>0</v>
      </c>
      <c r="BS31" s="43">
        <f t="shared" si="64"/>
        <v>0</v>
      </c>
      <c r="BT31" s="4">
        <v>141877.1</v>
      </c>
      <c r="BU31" s="4"/>
      <c r="BV31" s="4">
        <v>0</v>
      </c>
      <c r="BW31" s="4">
        <v>0</v>
      </c>
      <c r="BX31" s="4">
        <f t="shared" si="65"/>
        <v>141877.1</v>
      </c>
      <c r="BY31" s="4">
        <v>65403.7</v>
      </c>
      <c r="BZ31" s="4"/>
      <c r="CA31" s="4">
        <v>76473.4</v>
      </c>
      <c r="CB31" s="4">
        <f t="shared" si="66"/>
        <v>141877.09999999998</v>
      </c>
      <c r="CC31" s="143">
        <f t="shared" si="67"/>
        <v>0</v>
      </c>
      <c r="CD31" s="74">
        <f t="shared" si="68"/>
        <v>-58920.65</v>
      </c>
      <c r="CE31" s="76">
        <f t="shared" si="69"/>
        <v>-58920.65</v>
      </c>
      <c r="CF31" s="76">
        <f t="shared" si="70"/>
        <v>0</v>
      </c>
      <c r="CG31" s="76">
        <f t="shared" si="35"/>
        <v>64679.399999999994</v>
      </c>
      <c r="CH31" s="76">
        <f t="shared" si="71"/>
        <v>-25.399999999999977</v>
      </c>
      <c r="CI31" s="37">
        <f t="shared" si="72"/>
        <v>-25.399999999999977</v>
      </c>
      <c r="CJ31" s="59" t="str">
        <f t="shared" si="36"/>
        <v>-</v>
      </c>
      <c r="CK31" s="59" t="str">
        <f t="shared" si="37"/>
        <v>-</v>
      </c>
      <c r="CL31" s="141">
        <f t="shared" si="38"/>
        <v>-0.9109646966422077</v>
      </c>
      <c r="CM31" s="141">
        <f t="shared" si="39"/>
        <v>-0.9109646966422077</v>
      </c>
      <c r="CN31" s="141">
        <f t="shared" si="40"/>
        <v>-0.0003927061784741352</v>
      </c>
      <c r="CO31" s="141">
        <f t="shared" si="41"/>
        <v>-0.0003927061784741352</v>
      </c>
      <c r="CP31" s="141" t="str">
        <f t="shared" si="42"/>
        <v>-</v>
      </c>
      <c r="CQ31" s="141" t="str">
        <f t="shared" si="43"/>
        <v>-</v>
      </c>
      <c r="CR31" s="142">
        <f t="shared" si="44"/>
        <v>-1.2979048941245557</v>
      </c>
      <c r="CS31" s="76">
        <f t="shared" si="45"/>
        <v>76473.40000000001</v>
      </c>
      <c r="CT31" s="80">
        <f t="shared" si="73"/>
        <v>123600.05</v>
      </c>
      <c r="CU31" s="80">
        <f t="shared" si="74"/>
        <v>64679.399999999994</v>
      </c>
      <c r="CV31" s="80">
        <f t="shared" si="75"/>
        <v>-58920.65000000001</v>
      </c>
      <c r="CW31" s="80">
        <f t="shared" si="76"/>
        <v>0</v>
      </c>
      <c r="CX31" s="80">
        <f t="shared" si="77"/>
        <v>-58920.65000000001</v>
      </c>
      <c r="CY31" s="80">
        <f t="shared" si="78"/>
        <v>-58920.65000000001</v>
      </c>
      <c r="CZ31" s="80">
        <f t="shared" si="79"/>
        <v>0</v>
      </c>
      <c r="DA31" s="80">
        <f t="shared" si="80"/>
        <v>0</v>
      </c>
      <c r="DB31" s="80">
        <f t="shared" si="81"/>
        <v>-58920.65000000001</v>
      </c>
      <c r="DC31" s="80">
        <f t="shared" si="46"/>
        <v>-58920.65000000001</v>
      </c>
      <c r="DD31" s="80">
        <f t="shared" si="82"/>
        <v>0</v>
      </c>
      <c r="DE31" s="80">
        <f t="shared" si="83"/>
        <v>-58920.65000000001</v>
      </c>
      <c r="DF31" s="80">
        <f t="shared" si="84"/>
        <v>57635.25</v>
      </c>
      <c r="DG31" s="80">
        <f t="shared" si="85"/>
        <v>252.38745874587462</v>
      </c>
      <c r="DH31" s="80">
        <f t="shared" si="86"/>
        <v>-0.08382838283828375</v>
      </c>
      <c r="DI31" s="80">
        <f t="shared" si="87"/>
        <v>190.21534653465346</v>
      </c>
      <c r="DJ31" s="81">
        <f t="shared" si="88"/>
        <v>0</v>
      </c>
      <c r="DK31" s="76">
        <f t="shared" si="89"/>
        <v>-194.45759075907594</v>
      </c>
      <c r="DL31" s="145">
        <f t="shared" si="49"/>
        <v>76473.4</v>
      </c>
      <c r="DM31" s="171">
        <v>0</v>
      </c>
      <c r="DN31" s="72"/>
    </row>
    <row r="32" spans="1:118" ht="12.75" customHeight="1">
      <c r="A32" s="31" t="s">
        <v>70</v>
      </c>
      <c r="B32" s="24">
        <f aca="true" t="shared" si="96" ref="B32:BM32">SUM(B3:B31)</f>
        <v>38283</v>
      </c>
      <c r="C32" s="24">
        <f t="shared" si="96"/>
        <v>137257180</v>
      </c>
      <c r="D32" s="24">
        <f t="shared" si="96"/>
        <v>88128.81000000001</v>
      </c>
      <c r="E32" s="25">
        <f t="shared" si="96"/>
        <v>2458.0299999999997</v>
      </c>
      <c r="F32" s="116">
        <f t="shared" si="96"/>
        <v>90</v>
      </c>
      <c r="G32" s="118">
        <f t="shared" si="96"/>
        <v>1122347.15</v>
      </c>
      <c r="H32" s="119">
        <f t="shared" si="96"/>
        <v>402363.8</v>
      </c>
      <c r="I32" s="119">
        <f t="shared" si="96"/>
        <v>54146.600000000006</v>
      </c>
      <c r="J32" s="119">
        <f t="shared" si="96"/>
        <v>14411.5</v>
      </c>
      <c r="K32" s="119">
        <f t="shared" si="96"/>
        <v>27632.9</v>
      </c>
      <c r="L32" s="119">
        <f t="shared" si="96"/>
        <v>0</v>
      </c>
      <c r="M32" s="119">
        <f t="shared" si="96"/>
        <v>27632.9</v>
      </c>
      <c r="N32" s="119">
        <f t="shared" si="96"/>
        <v>1600</v>
      </c>
      <c r="O32" s="119">
        <f t="shared" si="96"/>
        <v>11625.55</v>
      </c>
      <c r="P32" s="119">
        <f t="shared" si="96"/>
        <v>15184714.15</v>
      </c>
      <c r="Q32" s="119">
        <f t="shared" si="96"/>
        <v>654175.85</v>
      </c>
      <c r="R32" s="119">
        <f t="shared" si="96"/>
        <v>0</v>
      </c>
      <c r="S32" s="119">
        <f t="shared" si="96"/>
        <v>250000</v>
      </c>
      <c r="T32" s="119">
        <f t="shared" si="96"/>
        <v>0</v>
      </c>
      <c r="U32" s="119">
        <f t="shared" si="96"/>
        <v>0</v>
      </c>
      <c r="V32" s="119">
        <f t="shared" si="96"/>
        <v>0</v>
      </c>
      <c r="W32" s="119">
        <f t="shared" si="96"/>
        <v>250000</v>
      </c>
      <c r="X32" s="119">
        <f t="shared" si="96"/>
        <v>232072.28999999998</v>
      </c>
      <c r="Y32" s="119">
        <f t="shared" si="96"/>
        <v>17955089.789999995</v>
      </c>
      <c r="Z32" s="119">
        <f t="shared" si="96"/>
        <v>6214094.399999999</v>
      </c>
      <c r="AA32" s="119">
        <f t="shared" si="96"/>
        <v>961697.7000000001</v>
      </c>
      <c r="AB32" s="119">
        <f t="shared" si="96"/>
        <v>0</v>
      </c>
      <c r="AC32" s="119">
        <f t="shared" si="96"/>
        <v>697793.7499999999</v>
      </c>
      <c r="AD32" s="119">
        <f t="shared" si="96"/>
        <v>0</v>
      </c>
      <c r="AE32" s="119">
        <f t="shared" si="96"/>
        <v>7873585.849999999</v>
      </c>
      <c r="AF32" s="119">
        <f t="shared" si="96"/>
        <v>0</v>
      </c>
      <c r="AG32" s="119">
        <f t="shared" si="96"/>
        <v>189205.04999999996</v>
      </c>
      <c r="AH32" s="119">
        <f t="shared" si="96"/>
        <v>5749.55</v>
      </c>
      <c r="AI32" s="119">
        <f t="shared" si="96"/>
        <v>7958183.469999999</v>
      </c>
      <c r="AJ32" s="119">
        <f t="shared" si="96"/>
        <v>-200</v>
      </c>
      <c r="AK32" s="119">
        <f t="shared" si="96"/>
        <v>221864.05</v>
      </c>
      <c r="AL32" s="119">
        <f t="shared" si="96"/>
        <v>19477.9</v>
      </c>
      <c r="AM32" s="119">
        <f t="shared" si="96"/>
        <v>0</v>
      </c>
      <c r="AN32" s="119">
        <f t="shared" si="96"/>
        <v>0</v>
      </c>
      <c r="AO32" s="119">
        <f t="shared" si="96"/>
        <v>0</v>
      </c>
      <c r="AP32" s="119">
        <f t="shared" si="96"/>
        <v>0</v>
      </c>
      <c r="AQ32" s="119">
        <f t="shared" si="96"/>
        <v>0</v>
      </c>
      <c r="AR32" s="119">
        <f t="shared" si="96"/>
        <v>0</v>
      </c>
      <c r="AS32" s="119">
        <f t="shared" si="96"/>
        <v>0</v>
      </c>
      <c r="AT32" s="119">
        <f t="shared" si="96"/>
        <v>232558.19999999995</v>
      </c>
      <c r="AU32" s="119">
        <f t="shared" si="96"/>
        <v>16494674.520000001</v>
      </c>
      <c r="AV32" s="119">
        <f t="shared" si="96"/>
        <v>155584.35</v>
      </c>
      <c r="AW32" s="119">
        <f t="shared" si="96"/>
        <v>1615999.5299999998</v>
      </c>
      <c r="AX32" s="119">
        <f t="shared" si="96"/>
        <v>0.09000000027117494</v>
      </c>
      <c r="AY32" s="119">
        <f t="shared" si="96"/>
        <v>19220.100000000002</v>
      </c>
      <c r="AZ32" s="119">
        <f t="shared" si="96"/>
        <v>0</v>
      </c>
      <c r="BA32" s="119">
        <f t="shared" si="96"/>
        <v>0</v>
      </c>
      <c r="BB32" s="119">
        <f t="shared" si="96"/>
        <v>0</v>
      </c>
      <c r="BC32" s="119">
        <f t="shared" si="96"/>
        <v>0</v>
      </c>
      <c r="BD32" s="119">
        <f t="shared" si="96"/>
        <v>0</v>
      </c>
      <c r="BE32" s="119">
        <f t="shared" si="96"/>
        <v>0</v>
      </c>
      <c r="BF32" s="119">
        <f t="shared" si="96"/>
        <v>0</v>
      </c>
      <c r="BG32" s="119">
        <f t="shared" si="96"/>
        <v>0</v>
      </c>
      <c r="BH32" s="119">
        <f t="shared" si="96"/>
        <v>0</v>
      </c>
      <c r="BI32" s="119">
        <f t="shared" si="96"/>
        <v>0</v>
      </c>
      <c r="BJ32" s="119">
        <f t="shared" si="96"/>
        <v>0</v>
      </c>
      <c r="BK32" s="119">
        <f t="shared" si="96"/>
        <v>0</v>
      </c>
      <c r="BL32" s="119">
        <f t="shared" si="96"/>
        <v>0</v>
      </c>
      <c r="BM32" s="119">
        <f t="shared" si="96"/>
        <v>0</v>
      </c>
      <c r="BN32" s="119">
        <f aca="true" t="shared" si="97" ref="BN32:DL32">SUM(BN3:BN31)</f>
        <v>0</v>
      </c>
      <c r="BO32" s="119">
        <f t="shared" si="97"/>
        <v>0</v>
      </c>
      <c r="BP32" s="119">
        <f t="shared" si="97"/>
        <v>0</v>
      </c>
      <c r="BQ32" s="119">
        <f t="shared" si="97"/>
        <v>0</v>
      </c>
      <c r="BR32" s="119">
        <f t="shared" si="97"/>
        <v>0</v>
      </c>
      <c r="BS32" s="119">
        <f t="shared" si="97"/>
        <v>0</v>
      </c>
      <c r="BT32" s="119">
        <f t="shared" si="97"/>
        <v>14432729.259999998</v>
      </c>
      <c r="BU32" s="119">
        <f t="shared" si="97"/>
        <v>433952.5</v>
      </c>
      <c r="BV32" s="119">
        <f t="shared" si="97"/>
        <v>0</v>
      </c>
      <c r="BW32" s="119">
        <f t="shared" si="97"/>
        <v>74614.4</v>
      </c>
      <c r="BX32" s="119">
        <f t="shared" si="97"/>
        <v>14941296.159999996</v>
      </c>
      <c r="BY32" s="119">
        <f t="shared" si="97"/>
        <v>6744683.99</v>
      </c>
      <c r="BZ32" s="119">
        <f t="shared" si="97"/>
        <v>31755.15</v>
      </c>
      <c r="CA32" s="119">
        <f t="shared" si="97"/>
        <v>8164857.470000002</v>
      </c>
      <c r="CB32" s="119">
        <f t="shared" si="97"/>
        <v>14941296.609999998</v>
      </c>
      <c r="CC32" s="119">
        <f t="shared" si="97"/>
        <v>-0.44999999995343387</v>
      </c>
      <c r="CD32" s="119">
        <f t="shared" si="97"/>
        <v>-1432782.2799999996</v>
      </c>
      <c r="CE32" s="119">
        <f t="shared" si="97"/>
        <v>-1182782.2799999996</v>
      </c>
      <c r="CF32" s="119">
        <f t="shared" si="97"/>
        <v>0</v>
      </c>
      <c r="CG32" s="119">
        <f t="shared" si="97"/>
        <v>16262116.32</v>
      </c>
      <c r="CH32" s="119">
        <f t="shared" si="97"/>
        <v>-110088.8</v>
      </c>
      <c r="CI32" s="119">
        <f t="shared" si="97"/>
        <v>-82455.9</v>
      </c>
      <c r="CJ32" s="120">
        <f t="shared" si="97"/>
        <v>0</v>
      </c>
      <c r="CK32" s="120">
        <f t="shared" si="97"/>
        <v>0</v>
      </c>
      <c r="CL32" s="120">
        <f t="shared" si="97"/>
        <v>-3.65158059640145</v>
      </c>
      <c r="CM32" s="120">
        <f t="shared" si="97"/>
        <v>-3.524835348238601</v>
      </c>
      <c r="CN32" s="120">
        <f t="shared" si="97"/>
        <v>-0.3579422524991985</v>
      </c>
      <c r="CO32" s="120">
        <f t="shared" si="97"/>
        <v>-0.3265682950061905</v>
      </c>
      <c r="CP32" s="120">
        <f t="shared" si="97"/>
        <v>0.8999967197340798</v>
      </c>
      <c r="CQ32" s="120">
        <f t="shared" si="97"/>
        <v>0.8999967197340798</v>
      </c>
      <c r="CR32" s="119">
        <f t="shared" si="97"/>
        <v>-14.158908145737172</v>
      </c>
      <c r="CS32" s="119">
        <f t="shared" si="97"/>
        <v>7688045.2700000005</v>
      </c>
      <c r="CT32" s="119">
        <f t="shared" si="97"/>
        <v>17927456.889999997</v>
      </c>
      <c r="CU32" s="119">
        <f t="shared" si="97"/>
        <v>16494674.520000001</v>
      </c>
      <c r="CV32" s="119">
        <f t="shared" si="97"/>
        <v>-1432782.3700000006</v>
      </c>
      <c r="CW32" s="119">
        <f t="shared" si="97"/>
        <v>0</v>
      </c>
      <c r="CX32" s="119">
        <f t="shared" si="97"/>
        <v>-1432782.3700000006</v>
      </c>
      <c r="CY32" s="119">
        <f t="shared" si="97"/>
        <v>-1460415.2700000005</v>
      </c>
      <c r="CZ32" s="119">
        <f t="shared" si="97"/>
        <v>0</v>
      </c>
      <c r="DA32" s="119">
        <f t="shared" si="97"/>
        <v>27632.9</v>
      </c>
      <c r="DB32" s="119">
        <f t="shared" si="97"/>
        <v>-1432782.3700000006</v>
      </c>
      <c r="DC32" s="119">
        <f t="shared" si="97"/>
        <v>-1182782.3700000006</v>
      </c>
      <c r="DD32" s="119">
        <f t="shared" si="97"/>
        <v>-27632.9</v>
      </c>
      <c r="DE32" s="119">
        <f t="shared" si="97"/>
        <v>-1460415.2700000005</v>
      </c>
      <c r="DF32" s="119">
        <f t="shared" si="97"/>
        <v>7175792.1</v>
      </c>
      <c r="DG32" s="119" t="e">
        <f t="shared" si="97"/>
        <v>#DIV/0!</v>
      </c>
      <c r="DH32" s="119" t="e">
        <f t="shared" si="97"/>
        <v>#DIV/0!</v>
      </c>
      <c r="DI32" s="119" t="e">
        <f t="shared" si="97"/>
        <v>#DIV/0!</v>
      </c>
      <c r="DJ32" s="119" t="e">
        <f t="shared" si="97"/>
        <v>#DIV/0!</v>
      </c>
      <c r="DK32" s="119" t="e">
        <f t="shared" si="97"/>
        <v>#DIV/0!</v>
      </c>
      <c r="DL32" s="119">
        <f t="shared" si="97"/>
        <v>7656290.570000002</v>
      </c>
      <c r="DM32" s="169">
        <f>SUM(DM3:DM31)</f>
        <v>0</v>
      </c>
      <c r="DN32" s="26">
        <f>SUM(DN3:DN31)</f>
        <v>0</v>
      </c>
    </row>
    <row r="33" spans="1:118" ht="12.75">
      <c r="A33" s="31" t="s">
        <v>47</v>
      </c>
      <c r="B33" s="24">
        <f aca="true" t="shared" si="98" ref="B33:BM33">MIN(B3:B31)</f>
        <v>174</v>
      </c>
      <c r="C33" s="24">
        <f t="shared" si="98"/>
        <v>420711</v>
      </c>
      <c r="D33" s="24">
        <f t="shared" si="98"/>
        <v>2130.16</v>
      </c>
      <c r="E33" s="25">
        <f t="shared" si="98"/>
        <v>59.41</v>
      </c>
      <c r="F33" s="116">
        <f t="shared" si="98"/>
        <v>0</v>
      </c>
      <c r="G33" s="123">
        <f t="shared" si="98"/>
        <v>0</v>
      </c>
      <c r="H33" s="24">
        <f t="shared" si="98"/>
        <v>0</v>
      </c>
      <c r="I33" s="24">
        <f t="shared" si="98"/>
        <v>0</v>
      </c>
      <c r="J33" s="24">
        <f t="shared" si="98"/>
        <v>0</v>
      </c>
      <c r="K33" s="24">
        <f t="shared" si="98"/>
        <v>0</v>
      </c>
      <c r="L33" s="24">
        <f t="shared" si="98"/>
        <v>0</v>
      </c>
      <c r="M33" s="24">
        <f t="shared" si="98"/>
        <v>0</v>
      </c>
      <c r="N33" s="24">
        <f t="shared" si="98"/>
        <v>0</v>
      </c>
      <c r="O33" s="24">
        <f t="shared" si="98"/>
        <v>0</v>
      </c>
      <c r="P33" s="24">
        <f t="shared" si="98"/>
        <v>0</v>
      </c>
      <c r="Q33" s="24">
        <f t="shared" si="98"/>
        <v>0</v>
      </c>
      <c r="R33" s="24">
        <f t="shared" si="98"/>
        <v>0</v>
      </c>
      <c r="S33" s="24">
        <f t="shared" si="98"/>
        <v>0</v>
      </c>
      <c r="T33" s="24">
        <f t="shared" si="98"/>
        <v>0</v>
      </c>
      <c r="U33" s="24">
        <f t="shared" si="98"/>
        <v>0</v>
      </c>
      <c r="V33" s="24">
        <f t="shared" si="98"/>
        <v>0</v>
      </c>
      <c r="W33" s="24">
        <f t="shared" si="98"/>
        <v>0</v>
      </c>
      <c r="X33" s="24">
        <f t="shared" si="98"/>
        <v>0</v>
      </c>
      <c r="Y33" s="24">
        <f t="shared" si="98"/>
        <v>0</v>
      </c>
      <c r="Z33" s="24">
        <f t="shared" si="98"/>
        <v>0</v>
      </c>
      <c r="AA33" s="24">
        <f t="shared" si="98"/>
        <v>0</v>
      </c>
      <c r="AB33" s="24">
        <f t="shared" si="98"/>
        <v>0</v>
      </c>
      <c r="AC33" s="24">
        <f>MIN(AC3:AC31)</f>
        <v>0</v>
      </c>
      <c r="AD33" s="24">
        <f t="shared" si="98"/>
        <v>0</v>
      </c>
      <c r="AE33" s="24">
        <f t="shared" si="98"/>
        <v>0</v>
      </c>
      <c r="AF33" s="24">
        <f t="shared" si="98"/>
        <v>0</v>
      </c>
      <c r="AG33" s="24">
        <f t="shared" si="98"/>
        <v>0</v>
      </c>
      <c r="AH33" s="24">
        <f t="shared" si="98"/>
        <v>0</v>
      </c>
      <c r="AI33" s="24">
        <f t="shared" si="98"/>
        <v>0</v>
      </c>
      <c r="AJ33" s="24">
        <f t="shared" si="98"/>
        <v>-200</v>
      </c>
      <c r="AK33" s="24">
        <f t="shared" si="98"/>
        <v>0</v>
      </c>
      <c r="AL33" s="24">
        <f t="shared" si="98"/>
        <v>0</v>
      </c>
      <c r="AM33" s="24">
        <f t="shared" si="98"/>
        <v>0</v>
      </c>
      <c r="AN33" s="24">
        <f t="shared" si="98"/>
        <v>0</v>
      </c>
      <c r="AO33" s="24">
        <f t="shared" si="98"/>
        <v>0</v>
      </c>
      <c r="AP33" s="24">
        <f t="shared" si="98"/>
        <v>0</v>
      </c>
      <c r="AQ33" s="24">
        <f t="shared" si="98"/>
        <v>0</v>
      </c>
      <c r="AR33" s="24">
        <f t="shared" si="98"/>
        <v>0</v>
      </c>
      <c r="AS33" s="24">
        <f t="shared" si="98"/>
        <v>0</v>
      </c>
      <c r="AT33" s="24">
        <f t="shared" si="98"/>
        <v>0</v>
      </c>
      <c r="AU33" s="24">
        <f t="shared" si="98"/>
        <v>0</v>
      </c>
      <c r="AV33" s="24">
        <f t="shared" si="98"/>
        <v>0</v>
      </c>
      <c r="AW33" s="24">
        <f t="shared" si="98"/>
        <v>0</v>
      </c>
      <c r="AX33" s="24">
        <f t="shared" si="98"/>
        <v>-4.729372449219227E-11</v>
      </c>
      <c r="AY33" s="24">
        <f t="shared" si="98"/>
        <v>0</v>
      </c>
      <c r="AZ33" s="24">
        <f t="shared" si="98"/>
        <v>0</v>
      </c>
      <c r="BA33" s="24">
        <f t="shared" si="98"/>
        <v>0</v>
      </c>
      <c r="BB33" s="24">
        <f t="shared" si="98"/>
        <v>0</v>
      </c>
      <c r="BC33" s="24">
        <f t="shared" si="98"/>
        <v>0</v>
      </c>
      <c r="BD33" s="24">
        <f t="shared" si="98"/>
        <v>0</v>
      </c>
      <c r="BE33" s="24">
        <f t="shared" si="98"/>
        <v>0</v>
      </c>
      <c r="BF33" s="24">
        <f t="shared" si="98"/>
        <v>0</v>
      </c>
      <c r="BG33" s="24">
        <f t="shared" si="98"/>
        <v>0</v>
      </c>
      <c r="BH33" s="24">
        <f t="shared" si="98"/>
        <v>0</v>
      </c>
      <c r="BI33" s="24">
        <f t="shared" si="98"/>
        <v>0</v>
      </c>
      <c r="BJ33" s="24">
        <f t="shared" si="98"/>
        <v>0</v>
      </c>
      <c r="BK33" s="24">
        <f t="shared" si="98"/>
        <v>0</v>
      </c>
      <c r="BL33" s="24">
        <f t="shared" si="98"/>
        <v>0</v>
      </c>
      <c r="BM33" s="24">
        <f t="shared" si="98"/>
        <v>0</v>
      </c>
      <c r="BN33" s="24">
        <f aca="true" t="shared" si="99" ref="BN33:DL33">MIN(BN3:BN31)</f>
        <v>0</v>
      </c>
      <c r="BO33" s="24">
        <f t="shared" si="99"/>
        <v>0</v>
      </c>
      <c r="BP33" s="24">
        <f t="shared" si="99"/>
        <v>0</v>
      </c>
      <c r="BQ33" s="24">
        <f t="shared" si="99"/>
        <v>0</v>
      </c>
      <c r="BR33" s="24">
        <f t="shared" si="99"/>
        <v>0</v>
      </c>
      <c r="BS33" s="24">
        <f t="shared" si="99"/>
        <v>0</v>
      </c>
      <c r="BT33" s="24">
        <f t="shared" si="99"/>
        <v>38475.3</v>
      </c>
      <c r="BU33" s="24">
        <f t="shared" si="99"/>
        <v>0</v>
      </c>
      <c r="BV33" s="24">
        <f t="shared" si="99"/>
        <v>0</v>
      </c>
      <c r="BW33" s="24">
        <f t="shared" si="99"/>
        <v>0</v>
      </c>
      <c r="BX33" s="24">
        <f t="shared" si="99"/>
        <v>0</v>
      </c>
      <c r="BY33" s="24">
        <f t="shared" si="99"/>
        <v>37880.40833333333</v>
      </c>
      <c r="BZ33" s="24">
        <f t="shared" si="99"/>
        <v>0</v>
      </c>
      <c r="CA33" s="24">
        <f t="shared" si="99"/>
        <v>0</v>
      </c>
      <c r="CB33" s="24">
        <f t="shared" si="99"/>
        <v>0</v>
      </c>
      <c r="CC33" s="24">
        <f t="shared" si="99"/>
        <v>-0.44999999995343387</v>
      </c>
      <c r="CD33" s="24">
        <f t="shared" si="99"/>
        <v>-703708.921559013</v>
      </c>
      <c r="CE33" s="24">
        <f t="shared" si="99"/>
        <v>-480308.0100392896</v>
      </c>
      <c r="CF33" s="24">
        <f t="shared" si="99"/>
        <v>0</v>
      </c>
      <c r="CG33" s="24">
        <f t="shared" si="99"/>
        <v>0</v>
      </c>
      <c r="CH33" s="24">
        <f t="shared" si="99"/>
        <v>-30230.95</v>
      </c>
      <c r="CI33" s="24">
        <f t="shared" si="99"/>
        <v>-30230.95</v>
      </c>
      <c r="CJ33" s="92">
        <f t="shared" si="99"/>
        <v>0</v>
      </c>
      <c r="CK33" s="92">
        <f t="shared" si="99"/>
        <v>0</v>
      </c>
      <c r="CL33" s="92">
        <f t="shared" si="99"/>
        <v>-1.0305172765984192</v>
      </c>
      <c r="CM33" s="92">
        <f t="shared" si="99"/>
        <v>-1.0305172765984192</v>
      </c>
      <c r="CN33" s="92">
        <f t="shared" si="99"/>
        <v>-0.11695595236022693</v>
      </c>
      <c r="CO33" s="92">
        <f t="shared" si="99"/>
        <v>-0.11695595236022693</v>
      </c>
      <c r="CP33" s="92">
        <f t="shared" si="99"/>
        <v>0</v>
      </c>
      <c r="CQ33" s="92">
        <f t="shared" si="99"/>
        <v>0</v>
      </c>
      <c r="CR33" s="24">
        <f t="shared" si="99"/>
        <v>-57.43421225164621</v>
      </c>
      <c r="CS33" s="24">
        <f t="shared" si="99"/>
        <v>-89308.34999999999</v>
      </c>
      <c r="CT33" s="24">
        <f t="shared" si="99"/>
        <v>0</v>
      </c>
      <c r="CU33" s="24">
        <f t="shared" si="99"/>
        <v>0</v>
      </c>
      <c r="CV33" s="24">
        <f t="shared" si="99"/>
        <v>-703709.0019833413</v>
      </c>
      <c r="CW33" s="24">
        <f t="shared" si="99"/>
        <v>0</v>
      </c>
      <c r="CX33" s="24">
        <f t="shared" si="99"/>
        <v>-703709.0019833413</v>
      </c>
      <c r="CY33" s="24">
        <f t="shared" si="99"/>
        <v>-716785.0147760492</v>
      </c>
      <c r="CZ33" s="24">
        <f t="shared" si="99"/>
        <v>0</v>
      </c>
      <c r="DA33" s="24">
        <f t="shared" si="99"/>
        <v>0</v>
      </c>
      <c r="DB33" s="24">
        <f t="shared" si="99"/>
        <v>-703709.0019833413</v>
      </c>
      <c r="DC33" s="24">
        <f>MIN(DC3:DC31)</f>
        <v>-480308.09046361793</v>
      </c>
      <c r="DD33" s="24">
        <f t="shared" si="99"/>
        <v>-13076.012792707843</v>
      </c>
      <c r="DE33" s="24">
        <f t="shared" si="99"/>
        <v>-716785.0147760492</v>
      </c>
      <c r="DF33" s="24">
        <f t="shared" si="99"/>
        <v>0</v>
      </c>
      <c r="DG33" s="24" t="e">
        <f t="shared" si="99"/>
        <v>#DIV/0!</v>
      </c>
      <c r="DH33" s="24" t="e">
        <f t="shared" si="99"/>
        <v>#DIV/0!</v>
      </c>
      <c r="DI33" s="24" t="e">
        <f t="shared" si="99"/>
        <v>#DIV/0!</v>
      </c>
      <c r="DJ33" s="24" t="e">
        <f t="shared" si="99"/>
        <v>#DIV/0!</v>
      </c>
      <c r="DK33" s="24" t="e">
        <f t="shared" si="99"/>
        <v>#DIV/0!</v>
      </c>
      <c r="DL33" s="24">
        <f t="shared" si="99"/>
        <v>-101063.5</v>
      </c>
      <c r="DM33" s="169">
        <f>MIN(DM3:DM31)</f>
        <v>0</v>
      </c>
      <c r="DN33" s="26">
        <f>MIN(DN3:DN31)</f>
        <v>0</v>
      </c>
    </row>
    <row r="34" spans="1:118" ht="12.75">
      <c r="A34" s="31" t="s">
        <v>48</v>
      </c>
      <c r="B34" s="24">
        <f aca="true" t="shared" si="100" ref="B34:BM34">MAX(B3:B31)</f>
        <v>5686</v>
      </c>
      <c r="C34" s="24">
        <f t="shared" si="100"/>
        <v>25027083</v>
      </c>
      <c r="D34" s="24">
        <f t="shared" si="100"/>
        <v>4997.83</v>
      </c>
      <c r="E34" s="25">
        <f t="shared" si="100"/>
        <v>139.4</v>
      </c>
      <c r="F34" s="116">
        <f t="shared" si="100"/>
        <v>6</v>
      </c>
      <c r="G34" s="123">
        <f t="shared" si="100"/>
        <v>333635.23177746346</v>
      </c>
      <c r="H34" s="24">
        <f t="shared" si="100"/>
        <v>134306.15</v>
      </c>
      <c r="I34" s="24">
        <f t="shared" si="100"/>
        <v>35004.8</v>
      </c>
      <c r="J34" s="24">
        <f t="shared" si="100"/>
        <v>14411.5</v>
      </c>
      <c r="K34" s="24">
        <f t="shared" si="100"/>
        <v>13076.012792707843</v>
      </c>
      <c r="L34" s="24">
        <f t="shared" si="100"/>
        <v>0</v>
      </c>
      <c r="M34" s="24">
        <f t="shared" si="100"/>
        <v>13076.012792707843</v>
      </c>
      <c r="N34" s="24">
        <f t="shared" si="100"/>
        <v>1600</v>
      </c>
      <c r="O34" s="24">
        <f t="shared" si="100"/>
        <v>9401.05</v>
      </c>
      <c r="P34" s="24">
        <f t="shared" si="100"/>
        <v>3561387.228241395</v>
      </c>
      <c r="Q34" s="24">
        <f t="shared" si="100"/>
        <v>654175.85</v>
      </c>
      <c r="R34" s="24">
        <f t="shared" si="100"/>
        <v>0</v>
      </c>
      <c r="S34" s="24">
        <f t="shared" si="100"/>
        <v>223400.9115197234</v>
      </c>
      <c r="T34" s="24">
        <f t="shared" si="100"/>
        <v>0</v>
      </c>
      <c r="U34" s="24">
        <f t="shared" si="100"/>
        <v>0</v>
      </c>
      <c r="V34" s="24">
        <f t="shared" si="100"/>
        <v>0</v>
      </c>
      <c r="W34" s="24">
        <f t="shared" si="100"/>
        <v>223400.9115197234</v>
      </c>
      <c r="X34" s="24">
        <f t="shared" si="100"/>
        <v>116434</v>
      </c>
      <c r="Y34" s="24">
        <f t="shared" si="100"/>
        <v>4345281.358547854</v>
      </c>
      <c r="Z34" s="24">
        <f t="shared" si="100"/>
        <v>1065425.3530253025</v>
      </c>
      <c r="AA34" s="24">
        <f t="shared" si="100"/>
        <v>228440.70204306146</v>
      </c>
      <c r="AB34" s="24">
        <f t="shared" si="100"/>
        <v>0</v>
      </c>
      <c r="AC34" s="24">
        <f>MAX(AC3:AC31)</f>
        <v>125241.5445701713</v>
      </c>
      <c r="AD34" s="24">
        <f t="shared" si="100"/>
        <v>0</v>
      </c>
      <c r="AE34" s="24">
        <f t="shared" si="100"/>
        <v>1419107.5996385352</v>
      </c>
      <c r="AF34" s="24">
        <f t="shared" si="100"/>
        <v>0</v>
      </c>
      <c r="AG34" s="24">
        <f t="shared" si="100"/>
        <v>42772.35</v>
      </c>
      <c r="AH34" s="24">
        <f t="shared" si="100"/>
        <v>3992.4</v>
      </c>
      <c r="AI34" s="24">
        <f t="shared" si="100"/>
        <v>2054953.2578060664</v>
      </c>
      <c r="AJ34" s="24">
        <f t="shared" si="100"/>
        <v>0</v>
      </c>
      <c r="AK34" s="24">
        <f t="shared" si="100"/>
        <v>168120.4</v>
      </c>
      <c r="AL34" s="24">
        <f t="shared" si="100"/>
        <v>14451.35</v>
      </c>
      <c r="AM34" s="24">
        <f t="shared" si="100"/>
        <v>0</v>
      </c>
      <c r="AN34" s="24">
        <f t="shared" si="100"/>
        <v>0</v>
      </c>
      <c r="AO34" s="24">
        <f t="shared" si="100"/>
        <v>0</v>
      </c>
      <c r="AP34" s="24">
        <f t="shared" si="100"/>
        <v>0</v>
      </c>
      <c r="AQ34" s="24">
        <f t="shared" si="100"/>
        <v>0</v>
      </c>
      <c r="AR34" s="24">
        <f t="shared" si="100"/>
        <v>0</v>
      </c>
      <c r="AS34" s="24">
        <f t="shared" si="100"/>
        <v>0</v>
      </c>
      <c r="AT34" s="24">
        <f t="shared" si="100"/>
        <v>116434</v>
      </c>
      <c r="AU34" s="24">
        <f t="shared" si="100"/>
        <v>3628496.3437718055</v>
      </c>
      <c r="AV34" s="24">
        <f t="shared" si="100"/>
        <v>98698</v>
      </c>
      <c r="AW34" s="24">
        <f t="shared" si="100"/>
        <v>716784.9343517208</v>
      </c>
      <c r="AX34" s="24">
        <f t="shared" si="100"/>
        <v>0.08042432786896825</v>
      </c>
      <c r="AY34" s="24">
        <f t="shared" si="100"/>
        <v>15655.667798208393</v>
      </c>
      <c r="AZ34" s="24">
        <f t="shared" si="100"/>
        <v>0</v>
      </c>
      <c r="BA34" s="24">
        <f t="shared" si="100"/>
        <v>0</v>
      </c>
      <c r="BB34" s="24">
        <f t="shared" si="100"/>
        <v>0</v>
      </c>
      <c r="BC34" s="24">
        <f t="shared" si="100"/>
        <v>0</v>
      </c>
      <c r="BD34" s="24">
        <f t="shared" si="100"/>
        <v>0</v>
      </c>
      <c r="BE34" s="24">
        <f t="shared" si="100"/>
        <v>0</v>
      </c>
      <c r="BF34" s="24">
        <f t="shared" si="100"/>
        <v>0</v>
      </c>
      <c r="BG34" s="24">
        <f t="shared" si="100"/>
        <v>0</v>
      </c>
      <c r="BH34" s="24">
        <f t="shared" si="100"/>
        <v>0</v>
      </c>
      <c r="BI34" s="24">
        <f t="shared" si="100"/>
        <v>0</v>
      </c>
      <c r="BJ34" s="24">
        <f t="shared" si="100"/>
        <v>0</v>
      </c>
      <c r="BK34" s="24">
        <f t="shared" si="100"/>
        <v>0</v>
      </c>
      <c r="BL34" s="24">
        <f t="shared" si="100"/>
        <v>0</v>
      </c>
      <c r="BM34" s="24">
        <f t="shared" si="100"/>
        <v>0</v>
      </c>
      <c r="BN34" s="24">
        <f aca="true" t="shared" si="101" ref="BN34:DL34">MAX(BN3:BN31)</f>
        <v>0</v>
      </c>
      <c r="BO34" s="24">
        <f t="shared" si="101"/>
        <v>0</v>
      </c>
      <c r="BP34" s="24">
        <f t="shared" si="101"/>
        <v>0</v>
      </c>
      <c r="BQ34" s="24">
        <f t="shared" si="101"/>
        <v>0</v>
      </c>
      <c r="BR34" s="24">
        <f t="shared" si="101"/>
        <v>0</v>
      </c>
      <c r="BS34" s="24">
        <f t="shared" si="101"/>
        <v>0</v>
      </c>
      <c r="BT34" s="24">
        <f t="shared" si="101"/>
        <v>2375638.1</v>
      </c>
      <c r="BU34" s="24">
        <f t="shared" si="101"/>
        <v>149665.34961685824</v>
      </c>
      <c r="BV34" s="24">
        <f t="shared" si="101"/>
        <v>0</v>
      </c>
      <c r="BW34" s="24">
        <f t="shared" si="101"/>
        <v>56063.5</v>
      </c>
      <c r="BX34" s="24">
        <f t="shared" si="101"/>
        <v>2375638.1</v>
      </c>
      <c r="BY34" s="24">
        <f t="shared" si="101"/>
        <v>1690208.0014615748</v>
      </c>
      <c r="BZ34" s="24">
        <f t="shared" si="101"/>
        <v>20000</v>
      </c>
      <c r="CA34" s="24">
        <f t="shared" si="101"/>
        <v>1244984.95</v>
      </c>
      <c r="CB34" s="24">
        <f t="shared" si="101"/>
        <v>2375638.1</v>
      </c>
      <c r="CC34" s="24">
        <f t="shared" si="101"/>
        <v>0</v>
      </c>
      <c r="CD34" s="24">
        <f t="shared" si="101"/>
        <v>98698</v>
      </c>
      <c r="CE34" s="24">
        <f t="shared" si="101"/>
        <v>98698</v>
      </c>
      <c r="CF34" s="24">
        <f t="shared" si="101"/>
        <v>0</v>
      </c>
      <c r="CG34" s="24">
        <f t="shared" si="101"/>
        <v>3525195.85164545</v>
      </c>
      <c r="CH34" s="24">
        <f t="shared" si="101"/>
        <v>3424.75</v>
      </c>
      <c r="CI34" s="24">
        <f t="shared" si="101"/>
        <v>14456.95</v>
      </c>
      <c r="CJ34" s="92">
        <f t="shared" si="101"/>
        <v>0</v>
      </c>
      <c r="CK34" s="92">
        <f t="shared" si="101"/>
        <v>0</v>
      </c>
      <c r="CL34" s="92">
        <f t="shared" si="101"/>
        <v>0.14944702514000613</v>
      </c>
      <c r="CM34" s="92">
        <f t="shared" si="101"/>
        <v>0.14944702514000613</v>
      </c>
      <c r="CN34" s="92">
        <f t="shared" si="101"/>
        <v>0.04033941766830569</v>
      </c>
      <c r="CO34" s="92">
        <f t="shared" si="101"/>
        <v>0.04033941766830569</v>
      </c>
      <c r="CP34" s="92">
        <f t="shared" si="101"/>
        <v>0.3999983598670399</v>
      </c>
      <c r="CQ34" s="92">
        <f t="shared" si="101"/>
        <v>0.3999983598670399</v>
      </c>
      <c r="CR34" s="24">
        <f t="shared" si="101"/>
        <v>106.72308138691425</v>
      </c>
      <c r="CS34" s="24">
        <f t="shared" si="101"/>
        <v>1245213.5699999998</v>
      </c>
      <c r="CT34" s="24">
        <f t="shared" si="101"/>
        <v>4332205.345755147</v>
      </c>
      <c r="CU34" s="24">
        <f t="shared" si="101"/>
        <v>3628496.3437718055</v>
      </c>
      <c r="CV34" s="24">
        <f t="shared" si="101"/>
        <v>98698</v>
      </c>
      <c r="CW34" s="24">
        <f t="shared" si="101"/>
        <v>0</v>
      </c>
      <c r="CX34" s="24">
        <f t="shared" si="101"/>
        <v>98698</v>
      </c>
      <c r="CY34" s="24">
        <f t="shared" si="101"/>
        <v>98698</v>
      </c>
      <c r="CZ34" s="24">
        <f t="shared" si="101"/>
        <v>0</v>
      </c>
      <c r="DA34" s="24">
        <f t="shared" si="101"/>
        <v>13076.012792707843</v>
      </c>
      <c r="DB34" s="24">
        <f t="shared" si="101"/>
        <v>98698</v>
      </c>
      <c r="DC34" s="24">
        <f>MAX(DC3:DC31)</f>
        <v>98698</v>
      </c>
      <c r="DD34" s="24">
        <f t="shared" si="101"/>
        <v>0</v>
      </c>
      <c r="DE34" s="24">
        <f t="shared" si="101"/>
        <v>98698</v>
      </c>
      <c r="DF34" s="24">
        <f t="shared" si="101"/>
        <v>1293866.055068364</v>
      </c>
      <c r="DG34" s="24" t="e">
        <f t="shared" si="101"/>
        <v>#DIV/0!</v>
      </c>
      <c r="DH34" s="24" t="e">
        <f t="shared" si="101"/>
        <v>#DIV/0!</v>
      </c>
      <c r="DI34" s="24" t="e">
        <f t="shared" si="101"/>
        <v>#DIV/0!</v>
      </c>
      <c r="DJ34" s="24" t="e">
        <f t="shared" si="101"/>
        <v>#DIV/0!</v>
      </c>
      <c r="DK34" s="24" t="e">
        <f t="shared" si="101"/>
        <v>#DIV/0!</v>
      </c>
      <c r="DL34" s="24">
        <f t="shared" si="101"/>
        <v>1244984.95</v>
      </c>
      <c r="DM34" s="169">
        <f>MAX(DM3:DM31)</f>
        <v>0</v>
      </c>
      <c r="DN34" s="26">
        <f>MAX(DN3:DN31)</f>
        <v>0</v>
      </c>
    </row>
    <row r="35" spans="1:118" ht="13.5" thickBot="1">
      <c r="A35" s="32" t="s">
        <v>49</v>
      </c>
      <c r="B35" s="27">
        <f aca="true" t="shared" si="102" ref="B35:BM35">MEDIAN(B3:B31)</f>
        <v>677</v>
      </c>
      <c r="C35" s="27">
        <f t="shared" si="102"/>
        <v>1934767</v>
      </c>
      <c r="D35" s="27">
        <f t="shared" si="102"/>
        <v>3230.03</v>
      </c>
      <c r="E35" s="28">
        <f t="shared" si="102"/>
        <v>90.09</v>
      </c>
      <c r="F35" s="117">
        <f t="shared" si="102"/>
        <v>4</v>
      </c>
      <c r="G35" s="124">
        <f t="shared" si="102"/>
        <v>11965.3</v>
      </c>
      <c r="H35" s="27">
        <f t="shared" si="102"/>
        <v>3933.4</v>
      </c>
      <c r="I35" s="27">
        <f t="shared" si="102"/>
        <v>0</v>
      </c>
      <c r="J35" s="27">
        <f t="shared" si="102"/>
        <v>0</v>
      </c>
      <c r="K35" s="27">
        <f t="shared" si="102"/>
        <v>0</v>
      </c>
      <c r="L35" s="27">
        <f t="shared" si="102"/>
        <v>0</v>
      </c>
      <c r="M35" s="27">
        <f t="shared" si="102"/>
        <v>0</v>
      </c>
      <c r="N35" s="27">
        <f t="shared" si="102"/>
        <v>0</v>
      </c>
      <c r="O35" s="27">
        <f t="shared" si="102"/>
        <v>0</v>
      </c>
      <c r="P35" s="27">
        <f t="shared" si="102"/>
        <v>180886.2</v>
      </c>
      <c r="Q35" s="27">
        <f t="shared" si="102"/>
        <v>0</v>
      </c>
      <c r="R35" s="27">
        <f t="shared" si="102"/>
        <v>0</v>
      </c>
      <c r="S35" s="27">
        <f t="shared" si="102"/>
        <v>0</v>
      </c>
      <c r="T35" s="27">
        <f t="shared" si="102"/>
        <v>0</v>
      </c>
      <c r="U35" s="27">
        <f t="shared" si="102"/>
        <v>0</v>
      </c>
      <c r="V35" s="27">
        <f t="shared" si="102"/>
        <v>0</v>
      </c>
      <c r="W35" s="27">
        <f t="shared" si="102"/>
        <v>0</v>
      </c>
      <c r="X35" s="27">
        <f t="shared" si="102"/>
        <v>0</v>
      </c>
      <c r="Y35" s="27">
        <f t="shared" si="102"/>
        <v>192539.27662007624</v>
      </c>
      <c r="Z35" s="27">
        <f t="shared" si="102"/>
        <v>73457.35</v>
      </c>
      <c r="AA35" s="27">
        <f t="shared" si="102"/>
        <v>7665.2</v>
      </c>
      <c r="AB35" s="27">
        <f t="shared" si="102"/>
        <v>0</v>
      </c>
      <c r="AC35" s="27">
        <f>MEDIAN(AC3:AC31)</f>
        <v>9779.7</v>
      </c>
      <c r="AD35" s="27">
        <f t="shared" si="102"/>
        <v>0</v>
      </c>
      <c r="AE35" s="27">
        <f t="shared" si="102"/>
        <v>102155.15000000001</v>
      </c>
      <c r="AF35" s="27">
        <f t="shared" si="102"/>
        <v>0</v>
      </c>
      <c r="AG35" s="27">
        <f t="shared" si="102"/>
        <v>1176.5890724269377</v>
      </c>
      <c r="AH35" s="27">
        <f t="shared" si="102"/>
        <v>0</v>
      </c>
      <c r="AI35" s="27">
        <f t="shared" si="102"/>
        <v>62644.8</v>
      </c>
      <c r="AJ35" s="27">
        <f t="shared" si="102"/>
        <v>0</v>
      </c>
      <c r="AK35" s="27">
        <f t="shared" si="102"/>
        <v>0</v>
      </c>
      <c r="AL35" s="27">
        <f t="shared" si="102"/>
        <v>0</v>
      </c>
      <c r="AM35" s="27">
        <f t="shared" si="102"/>
        <v>0</v>
      </c>
      <c r="AN35" s="27">
        <f t="shared" si="102"/>
        <v>0</v>
      </c>
      <c r="AO35" s="27">
        <f t="shared" si="102"/>
        <v>0</v>
      </c>
      <c r="AP35" s="27">
        <f t="shared" si="102"/>
        <v>0</v>
      </c>
      <c r="AQ35" s="27">
        <f t="shared" si="102"/>
        <v>0</v>
      </c>
      <c r="AR35" s="27">
        <f t="shared" si="102"/>
        <v>0</v>
      </c>
      <c r="AS35" s="27">
        <f t="shared" si="102"/>
        <v>0</v>
      </c>
      <c r="AT35" s="27">
        <f t="shared" si="102"/>
        <v>0</v>
      </c>
      <c r="AU35" s="27">
        <f t="shared" si="102"/>
        <v>159582.3</v>
      </c>
      <c r="AV35" s="27">
        <f t="shared" si="102"/>
        <v>0</v>
      </c>
      <c r="AW35" s="27">
        <f t="shared" si="102"/>
        <v>6471.3558429118775</v>
      </c>
      <c r="AX35" s="27">
        <f t="shared" si="102"/>
        <v>0</v>
      </c>
      <c r="AY35" s="27">
        <f t="shared" si="102"/>
        <v>0</v>
      </c>
      <c r="AZ35" s="27">
        <f t="shared" si="102"/>
        <v>0</v>
      </c>
      <c r="BA35" s="27">
        <f t="shared" si="102"/>
        <v>0</v>
      </c>
      <c r="BB35" s="27">
        <f t="shared" si="102"/>
        <v>0</v>
      </c>
      <c r="BC35" s="27">
        <f t="shared" si="102"/>
        <v>0</v>
      </c>
      <c r="BD35" s="27">
        <f t="shared" si="102"/>
        <v>0</v>
      </c>
      <c r="BE35" s="27">
        <f t="shared" si="102"/>
        <v>0</v>
      </c>
      <c r="BF35" s="27">
        <f t="shared" si="102"/>
        <v>0</v>
      </c>
      <c r="BG35" s="27">
        <f t="shared" si="102"/>
        <v>0</v>
      </c>
      <c r="BH35" s="27">
        <f t="shared" si="102"/>
        <v>0</v>
      </c>
      <c r="BI35" s="27">
        <f t="shared" si="102"/>
        <v>0</v>
      </c>
      <c r="BJ35" s="27">
        <f t="shared" si="102"/>
        <v>0</v>
      </c>
      <c r="BK35" s="27">
        <f t="shared" si="102"/>
        <v>0</v>
      </c>
      <c r="BL35" s="27">
        <f t="shared" si="102"/>
        <v>0</v>
      </c>
      <c r="BM35" s="27">
        <f t="shared" si="102"/>
        <v>0</v>
      </c>
      <c r="BN35" s="27">
        <f aca="true" t="shared" si="103" ref="BN35:DL35">MEDIAN(BN3:BN31)</f>
        <v>0</v>
      </c>
      <c r="BO35" s="27">
        <f t="shared" si="103"/>
        <v>0</v>
      </c>
      <c r="BP35" s="27">
        <f t="shared" si="103"/>
        <v>0</v>
      </c>
      <c r="BQ35" s="27">
        <f t="shared" si="103"/>
        <v>0</v>
      </c>
      <c r="BR35" s="27">
        <f t="shared" si="103"/>
        <v>0</v>
      </c>
      <c r="BS35" s="27">
        <f t="shared" si="103"/>
        <v>0</v>
      </c>
      <c r="BT35" s="27">
        <f t="shared" si="103"/>
        <v>291076.725</v>
      </c>
      <c r="BU35" s="27">
        <f t="shared" si="103"/>
        <v>0</v>
      </c>
      <c r="BV35" s="27">
        <f t="shared" si="103"/>
        <v>0</v>
      </c>
      <c r="BW35" s="27">
        <f t="shared" si="103"/>
        <v>0</v>
      </c>
      <c r="BX35" s="27">
        <f t="shared" si="103"/>
        <v>268473.8</v>
      </c>
      <c r="BY35" s="27">
        <f t="shared" si="103"/>
        <v>132428.142552682</v>
      </c>
      <c r="BZ35" s="27">
        <f t="shared" si="103"/>
        <v>0</v>
      </c>
      <c r="CA35" s="27">
        <f t="shared" si="103"/>
        <v>198471.425</v>
      </c>
      <c r="CB35" s="27">
        <f t="shared" si="103"/>
        <v>268473.8</v>
      </c>
      <c r="CC35" s="27">
        <f t="shared" si="103"/>
        <v>0</v>
      </c>
      <c r="CD35" s="27">
        <f t="shared" si="103"/>
        <v>-6471.3558429118775</v>
      </c>
      <c r="CE35" s="27">
        <f t="shared" si="103"/>
        <v>-6471.3558429118775</v>
      </c>
      <c r="CF35" s="27">
        <f t="shared" si="103"/>
        <v>0</v>
      </c>
      <c r="CG35" s="27">
        <f t="shared" si="103"/>
        <v>159582.3</v>
      </c>
      <c r="CH35" s="27">
        <f t="shared" si="103"/>
        <v>-725.65</v>
      </c>
      <c r="CI35" s="27">
        <f t="shared" si="103"/>
        <v>-686.05</v>
      </c>
      <c r="CJ35" s="93" t="e">
        <f t="shared" si="103"/>
        <v>#NUM!</v>
      </c>
      <c r="CK35" s="93" t="e">
        <f t="shared" si="103"/>
        <v>#NUM!</v>
      </c>
      <c r="CL35" s="93">
        <f t="shared" si="103"/>
        <v>-0.06662888945503365</v>
      </c>
      <c r="CM35" s="93">
        <f t="shared" si="103"/>
        <v>-0.06662888945503365</v>
      </c>
      <c r="CN35" s="93">
        <f t="shared" si="103"/>
        <v>-0.0045550430126035345</v>
      </c>
      <c r="CO35" s="93">
        <f t="shared" si="103"/>
        <v>-0.004346706596863646</v>
      </c>
      <c r="CP35" s="93">
        <f t="shared" si="103"/>
        <v>0</v>
      </c>
      <c r="CQ35" s="93">
        <f t="shared" si="103"/>
        <v>0</v>
      </c>
      <c r="CR35" s="27">
        <f t="shared" si="103"/>
        <v>-1.9109028267482955</v>
      </c>
      <c r="CS35" s="27">
        <f t="shared" si="103"/>
        <v>123459.84833333336</v>
      </c>
      <c r="CT35" s="27">
        <f t="shared" si="103"/>
        <v>192539.27662007624</v>
      </c>
      <c r="CU35" s="27">
        <f t="shared" si="103"/>
        <v>159582.3</v>
      </c>
      <c r="CV35" s="27">
        <f t="shared" si="103"/>
        <v>-6471.355842911886</v>
      </c>
      <c r="CW35" s="27">
        <f t="shared" si="103"/>
        <v>0</v>
      </c>
      <c r="CX35" s="27">
        <f t="shared" si="103"/>
        <v>-6471.355842911886</v>
      </c>
      <c r="CY35" s="27">
        <f t="shared" si="103"/>
        <v>-6471.355842911886</v>
      </c>
      <c r="CZ35" s="27">
        <f t="shared" si="103"/>
        <v>0</v>
      </c>
      <c r="DA35" s="27">
        <f t="shared" si="103"/>
        <v>0</v>
      </c>
      <c r="DB35" s="27">
        <f t="shared" si="103"/>
        <v>-6471.355842911886</v>
      </c>
      <c r="DC35" s="27">
        <f>MEDIAN(DC3:DC31)</f>
        <v>-6471.355842911886</v>
      </c>
      <c r="DD35" s="27">
        <f t="shared" si="103"/>
        <v>0</v>
      </c>
      <c r="DE35" s="27">
        <f t="shared" si="103"/>
        <v>-6471.355842911886</v>
      </c>
      <c r="DF35" s="27">
        <f t="shared" si="103"/>
        <v>92375.45000000001</v>
      </c>
      <c r="DG35" s="27" t="e">
        <f t="shared" si="103"/>
        <v>#DIV/0!</v>
      </c>
      <c r="DH35" s="27" t="e">
        <f t="shared" si="103"/>
        <v>#DIV/0!</v>
      </c>
      <c r="DI35" s="27" t="e">
        <f t="shared" si="103"/>
        <v>#DIV/0!</v>
      </c>
      <c r="DJ35" s="27" t="e">
        <f t="shared" si="103"/>
        <v>#DIV/0!</v>
      </c>
      <c r="DK35" s="27" t="e">
        <f t="shared" si="103"/>
        <v>#DIV/0!</v>
      </c>
      <c r="DL35" s="27">
        <f t="shared" si="103"/>
        <v>123459.84833333333</v>
      </c>
      <c r="DM35" s="170">
        <f>MEDIAN(DM3:DM31)</f>
        <v>0</v>
      </c>
      <c r="DN35" s="30" t="e">
        <f>MEDIAN(DN3:DN31)</f>
        <v>#NUM!</v>
      </c>
    </row>
    <row r="36" ht="12.75">
      <c r="DM36" s="161"/>
    </row>
    <row r="37" spans="1:119" ht="12.75">
      <c r="A37" s="3" t="s">
        <v>235</v>
      </c>
      <c r="B37" s="17">
        <f>SUM(B3:B31)</f>
        <v>38283</v>
      </c>
      <c r="C37" s="17">
        <f>SUM(C3:C31)</f>
        <v>137257180</v>
      </c>
      <c r="D37" s="17">
        <f>D35</f>
        <v>3230.03</v>
      </c>
      <c r="E37" s="144">
        <f>E35</f>
        <v>90.09</v>
      </c>
      <c r="F37" s="17">
        <f>SUM(F3:F31)</f>
        <v>90</v>
      </c>
      <c r="G37" s="17">
        <f aca="true" t="shared" si="104" ref="G37:BN37">SUM(G3:G31)</f>
        <v>1122347.15</v>
      </c>
      <c r="H37" s="17">
        <f t="shared" si="104"/>
        <v>402363.8</v>
      </c>
      <c r="I37" s="17">
        <f t="shared" si="104"/>
        <v>54146.600000000006</v>
      </c>
      <c r="J37" s="17">
        <f t="shared" si="104"/>
        <v>14411.5</v>
      </c>
      <c r="K37" s="17">
        <f t="shared" si="104"/>
        <v>27632.9</v>
      </c>
      <c r="L37" s="17">
        <f t="shared" si="104"/>
        <v>0</v>
      </c>
      <c r="M37" s="17">
        <f t="shared" si="104"/>
        <v>27632.9</v>
      </c>
      <c r="N37" s="17">
        <f t="shared" si="104"/>
        <v>1600</v>
      </c>
      <c r="O37" s="17">
        <f t="shared" si="104"/>
        <v>11625.55</v>
      </c>
      <c r="P37" s="17">
        <f t="shared" si="104"/>
        <v>15184714.15</v>
      </c>
      <c r="Q37" s="17">
        <f t="shared" si="104"/>
        <v>654175.85</v>
      </c>
      <c r="R37" s="17">
        <f t="shared" si="104"/>
        <v>0</v>
      </c>
      <c r="S37" s="17">
        <f t="shared" si="104"/>
        <v>250000</v>
      </c>
      <c r="T37" s="17">
        <f t="shared" si="104"/>
        <v>0</v>
      </c>
      <c r="U37" s="17">
        <f t="shared" si="104"/>
        <v>0</v>
      </c>
      <c r="V37" s="17">
        <f t="shared" si="104"/>
        <v>0</v>
      </c>
      <c r="W37" s="17">
        <f t="shared" si="104"/>
        <v>250000</v>
      </c>
      <c r="X37" s="17">
        <f t="shared" si="104"/>
        <v>232072.28999999998</v>
      </c>
      <c r="Y37" s="17">
        <f t="shared" si="104"/>
        <v>17955089.789999995</v>
      </c>
      <c r="Z37" s="17">
        <f t="shared" si="104"/>
        <v>6214094.399999999</v>
      </c>
      <c r="AA37" s="17">
        <f t="shared" si="104"/>
        <v>961697.7000000001</v>
      </c>
      <c r="AB37" s="17">
        <f t="shared" si="104"/>
        <v>0</v>
      </c>
      <c r="AC37" s="17">
        <f t="shared" si="104"/>
        <v>697793.7499999999</v>
      </c>
      <c r="AD37" s="17">
        <f t="shared" si="104"/>
        <v>0</v>
      </c>
      <c r="AE37" s="17">
        <f t="shared" si="104"/>
        <v>7873585.849999999</v>
      </c>
      <c r="AF37" s="17">
        <f t="shared" si="104"/>
        <v>0</v>
      </c>
      <c r="AG37" s="17">
        <f t="shared" si="104"/>
        <v>189205.04999999996</v>
      </c>
      <c r="AH37" s="17">
        <f t="shared" si="104"/>
        <v>5749.55</v>
      </c>
      <c r="AI37" s="17">
        <f t="shared" si="104"/>
        <v>7958183.469999999</v>
      </c>
      <c r="AJ37" s="17">
        <f t="shared" si="104"/>
        <v>-200</v>
      </c>
      <c r="AK37" s="17">
        <f t="shared" si="104"/>
        <v>221864.05</v>
      </c>
      <c r="AL37" s="17">
        <f t="shared" si="104"/>
        <v>19477.9</v>
      </c>
      <c r="AM37" s="17">
        <f t="shared" si="104"/>
        <v>0</v>
      </c>
      <c r="AN37" s="17">
        <f t="shared" si="104"/>
        <v>0</v>
      </c>
      <c r="AO37" s="17">
        <f t="shared" si="104"/>
        <v>0</v>
      </c>
      <c r="AP37" s="17">
        <f t="shared" si="104"/>
        <v>0</v>
      </c>
      <c r="AQ37" s="17">
        <f t="shared" si="104"/>
        <v>0</v>
      </c>
      <c r="AR37" s="17">
        <f t="shared" si="104"/>
        <v>0</v>
      </c>
      <c r="AS37" s="17">
        <f t="shared" si="104"/>
        <v>0</v>
      </c>
      <c r="AT37" s="17">
        <f t="shared" si="104"/>
        <v>232558.19999999995</v>
      </c>
      <c r="AU37" s="17">
        <f t="shared" si="104"/>
        <v>16494674.520000001</v>
      </c>
      <c r="AV37" s="17">
        <f t="shared" si="104"/>
        <v>155584.35</v>
      </c>
      <c r="AW37" s="17">
        <f t="shared" si="104"/>
        <v>1615999.5299999998</v>
      </c>
      <c r="AX37" s="4">
        <f>Y37-AU37+AV37-AW37</f>
        <v>0.08999999426305294</v>
      </c>
      <c r="AY37" s="17">
        <f t="shared" si="104"/>
        <v>19220.100000000002</v>
      </c>
      <c r="AZ37" s="17">
        <f t="shared" si="104"/>
        <v>0</v>
      </c>
      <c r="BA37" s="17">
        <f t="shared" si="104"/>
        <v>0</v>
      </c>
      <c r="BB37" s="17">
        <f t="shared" si="104"/>
        <v>0</v>
      </c>
      <c r="BC37" s="17">
        <f t="shared" si="104"/>
        <v>0</v>
      </c>
      <c r="BD37" s="17">
        <f t="shared" si="104"/>
        <v>0</v>
      </c>
      <c r="BE37" s="17">
        <f t="shared" si="104"/>
        <v>0</v>
      </c>
      <c r="BF37" s="17">
        <f t="shared" si="104"/>
        <v>0</v>
      </c>
      <c r="BG37" s="17">
        <f t="shared" si="104"/>
        <v>0</v>
      </c>
      <c r="BH37" s="17">
        <f t="shared" si="104"/>
        <v>0</v>
      </c>
      <c r="BI37" s="17">
        <f t="shared" si="104"/>
        <v>0</v>
      </c>
      <c r="BJ37" s="17">
        <f t="shared" si="104"/>
        <v>0</v>
      </c>
      <c r="BK37" s="17">
        <f t="shared" si="104"/>
        <v>0</v>
      </c>
      <c r="BL37" s="17">
        <f t="shared" si="104"/>
        <v>0</v>
      </c>
      <c r="BM37" s="17">
        <f t="shared" si="104"/>
        <v>0</v>
      </c>
      <c r="BN37" s="17">
        <f t="shared" si="104"/>
        <v>0</v>
      </c>
      <c r="BO37" s="17">
        <f>SUM(BO3:BO31)</f>
        <v>0</v>
      </c>
      <c r="BP37" s="17">
        <f>SUM(BP3:BP31)</f>
        <v>0</v>
      </c>
      <c r="BQ37" s="17">
        <f>SUM(BQ3:BQ31)</f>
        <v>0</v>
      </c>
      <c r="BR37" s="17">
        <f>SUM(BR3:BR31)</f>
        <v>0</v>
      </c>
      <c r="BS37" s="43">
        <f>+BF37-BO37+BP37+BQ37-BR37</f>
        <v>0</v>
      </c>
      <c r="BT37" s="17">
        <f aca="true" t="shared" si="105" ref="BT37:CB37">SUM(BT3:BT31)</f>
        <v>14432729.259999998</v>
      </c>
      <c r="BU37" s="17">
        <f t="shared" si="105"/>
        <v>433952.5</v>
      </c>
      <c r="BV37" s="17">
        <f t="shared" si="105"/>
        <v>0</v>
      </c>
      <c r="BW37" s="17">
        <f t="shared" si="105"/>
        <v>74614.4</v>
      </c>
      <c r="BX37" s="17">
        <f t="shared" si="105"/>
        <v>14941296.159999996</v>
      </c>
      <c r="BY37" s="17">
        <f t="shared" si="105"/>
        <v>6744683.99</v>
      </c>
      <c r="BZ37" s="17">
        <f t="shared" si="105"/>
        <v>31755.15</v>
      </c>
      <c r="CA37" s="17">
        <f t="shared" si="105"/>
        <v>8164857.470000002</v>
      </c>
      <c r="CB37" s="17">
        <f t="shared" si="105"/>
        <v>14941296.609999998</v>
      </c>
      <c r="CC37" s="4">
        <f>BX37-CB37</f>
        <v>-0.4500000011175871</v>
      </c>
      <c r="CD37" s="74">
        <f>K37+L37+AV37-AW37</f>
        <v>-1432782.2799999998</v>
      </c>
      <c r="CE37" s="76">
        <f>CD37+W37-AS37</f>
        <v>-1182782.2799999998</v>
      </c>
      <c r="CF37" s="76">
        <f>BR37-BP37</f>
        <v>0</v>
      </c>
      <c r="CG37" s="76">
        <f>AU37-AM37-AT37-AS37</f>
        <v>16262116.320000002</v>
      </c>
      <c r="CH37" s="76">
        <f>I37-AG37+AY37+AH37+BQ37</f>
        <v>-110088.79999999994</v>
      </c>
      <c r="CI37" s="37">
        <f>CH37+K37</f>
        <v>-82455.89999999994</v>
      </c>
      <c r="CJ37" s="59" t="e">
        <f>CD37/CF37</f>
        <v>#DIV/0!</v>
      </c>
      <c r="CK37" s="140" t="e">
        <f>CE37/CF37</f>
        <v>#DIV/0!</v>
      </c>
      <c r="CL37" s="64">
        <f>CD37/CG37*1</f>
        <v>-0.088105524017061</v>
      </c>
      <c r="CM37" s="64">
        <f>CE37/CG37</f>
        <v>-0.07273237115795023</v>
      </c>
      <c r="CN37" s="64">
        <f>CH37/CG37</f>
        <v>-0.006769647801904293</v>
      </c>
      <c r="CO37" s="64">
        <f>CI37/CG37</f>
        <v>-0.005070428619342204</v>
      </c>
      <c r="CP37" s="64">
        <f>(K37+L37)/(BU37+K37+L37)</f>
        <v>0.05986519504299746</v>
      </c>
      <c r="CQ37" s="64">
        <f>(K37)/(BU37+K37+L37)</f>
        <v>0.05986519504299746</v>
      </c>
      <c r="CR37" s="75">
        <f>CS37/CE37</f>
        <v>-6.499966561893368</v>
      </c>
      <c r="CS37" s="76">
        <f>BT37-BY37</f>
        <v>7688045.269999998</v>
      </c>
      <c r="CT37" s="80">
        <f>Y37-K37-L37-V37</f>
        <v>17927456.889999997</v>
      </c>
      <c r="CU37" s="80">
        <f>AU37-AR37</f>
        <v>16494674.520000001</v>
      </c>
      <c r="CV37" s="80">
        <f>CU37-CT37</f>
        <v>-1432782.3699999955</v>
      </c>
      <c r="CW37" s="80">
        <f>-V37+AR37</f>
        <v>0</v>
      </c>
      <c r="CX37" s="80">
        <f>CV37+CW37</f>
        <v>-1432782.3699999955</v>
      </c>
      <c r="CY37" s="80">
        <f>CX37-K37-L37</f>
        <v>-1460415.2699999954</v>
      </c>
      <c r="CZ37" s="80">
        <f>BR37-BP37</f>
        <v>0</v>
      </c>
      <c r="DA37" s="80">
        <f>K37+L37</f>
        <v>27632.9</v>
      </c>
      <c r="DB37" s="80">
        <f>-CZ37+DA37+CY37</f>
        <v>-1432782.3699999955</v>
      </c>
      <c r="DC37" s="80">
        <f aca="true" t="shared" si="106" ref="DC37:DC42">-CZ37+DA37+CY37+W37-AS37</f>
        <v>-1182782.3699999955</v>
      </c>
      <c r="DD37" s="80">
        <f>-BP37-DA37</f>
        <v>-27632.9</v>
      </c>
      <c r="DE37" s="80">
        <f>DB37+DD37+BR37</f>
        <v>-1460415.2699999954</v>
      </c>
      <c r="DF37" s="80">
        <f>Z37+AA37+AB37</f>
        <v>7175792.1</v>
      </c>
      <c r="DG37" s="80">
        <f>CS37/B37</f>
        <v>200.82138991197132</v>
      </c>
      <c r="DH37" s="80">
        <f>CH37/B37</f>
        <v>-2.875657602591227</v>
      </c>
      <c r="DI37" s="80">
        <f>DF37/B37</f>
        <v>187.4406943029543</v>
      </c>
      <c r="DJ37" s="81">
        <f>CZ37/B37</f>
        <v>0</v>
      </c>
      <c r="DK37" s="76">
        <f>DB37/B37</f>
        <v>-37.42607345296856</v>
      </c>
      <c r="DL37" s="145">
        <f>CA37-BW37-BU37</f>
        <v>7656290.570000001</v>
      </c>
      <c r="DM37" s="162"/>
      <c r="DN37" s="67"/>
      <c r="DO37" s="68"/>
    </row>
    <row r="38" spans="2:117" ht="12.75">
      <c r="B38" s="8"/>
      <c r="C38" s="8"/>
      <c r="D38" s="8"/>
      <c r="E38" s="8"/>
      <c r="F38" s="146"/>
      <c r="DC38" s="80">
        <f t="shared" si="106"/>
        <v>0</v>
      </c>
      <c r="DM38" s="161"/>
    </row>
    <row r="39" spans="107:117" ht="12.75">
      <c r="DC39" s="80">
        <f t="shared" si="106"/>
        <v>0</v>
      </c>
      <c r="DM39" s="161"/>
    </row>
    <row r="40" spans="1:118" ht="12.75">
      <c r="A40" s="3" t="s">
        <v>215</v>
      </c>
      <c r="B40" s="136">
        <f>B11+B27</f>
        <v>6363</v>
      </c>
      <c r="G40" s="131">
        <v>373359.3</v>
      </c>
      <c r="H40" s="43">
        <v>114293.15</v>
      </c>
      <c r="I40" s="43">
        <v>9138</v>
      </c>
      <c r="J40" s="43">
        <v>0</v>
      </c>
      <c r="K40" s="43">
        <v>14632.9</v>
      </c>
      <c r="L40" s="43">
        <v>0</v>
      </c>
      <c r="M40" s="43">
        <f>SUM(K40:L40)</f>
        <v>14632.9</v>
      </c>
      <c r="N40" s="43">
        <v>0</v>
      </c>
      <c r="O40" s="43">
        <v>204.65</v>
      </c>
      <c r="P40" s="43">
        <v>3985421.55</v>
      </c>
      <c r="Q40" s="43">
        <v>0</v>
      </c>
      <c r="R40" s="43">
        <v>0</v>
      </c>
      <c r="S40" s="43">
        <v>250000</v>
      </c>
      <c r="T40" s="43">
        <v>0</v>
      </c>
      <c r="U40" s="43">
        <v>0</v>
      </c>
      <c r="V40" s="43">
        <v>0</v>
      </c>
      <c r="W40" s="43">
        <f>SUM(R40:V40)</f>
        <v>250000</v>
      </c>
      <c r="X40" s="43">
        <v>115599.99</v>
      </c>
      <c r="Y40" s="43">
        <f>SUM(G40:X40)-M40-W40</f>
        <v>4862649.54</v>
      </c>
      <c r="Z40" s="43">
        <v>1192279.55</v>
      </c>
      <c r="AA40" s="43">
        <v>255639.85</v>
      </c>
      <c r="AB40" s="43">
        <v>0</v>
      </c>
      <c r="AC40" s="43">
        <v>140153.35</v>
      </c>
      <c r="AD40" s="43">
        <v>0</v>
      </c>
      <c r="AE40" s="43">
        <f>SUM(Z40:AD40)</f>
        <v>1588072.7500000002</v>
      </c>
      <c r="AF40" s="43">
        <v>0</v>
      </c>
      <c r="AG40" s="43">
        <v>42184.35</v>
      </c>
      <c r="AH40" s="43">
        <v>0</v>
      </c>
      <c r="AI40" s="43">
        <v>2299624.97</v>
      </c>
      <c r="AJ40" s="43">
        <v>0</v>
      </c>
      <c r="AK40" s="43">
        <v>15039</v>
      </c>
      <c r="AL40" s="43">
        <v>0</v>
      </c>
      <c r="AM40" s="43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115599.9</v>
      </c>
      <c r="AU40" s="4">
        <f>SUM(Z40:AT40)-AE40-AH40-AS40</f>
        <v>4060520.9700000007</v>
      </c>
      <c r="AV40" s="4">
        <v>0</v>
      </c>
      <c r="AW40" s="4">
        <v>802128.48</v>
      </c>
      <c r="AX40" s="4">
        <f>Y40-AU40+AV40-AW40</f>
        <v>0.0899999993853271</v>
      </c>
      <c r="AY40" s="43">
        <v>17519.7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f>SUM(AZ40:BE40)</f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f>SUM(BG40:BN40)</f>
        <v>0</v>
      </c>
      <c r="BP40" s="43">
        <v>0</v>
      </c>
      <c r="BQ40" s="43">
        <v>0</v>
      </c>
      <c r="BR40" s="43">
        <v>0</v>
      </c>
      <c r="BS40" s="43">
        <f>+BF40-BO40+BP40+BQ40-BR40</f>
        <v>0</v>
      </c>
      <c r="BT40" s="4">
        <v>2425272.85</v>
      </c>
      <c r="BU40" s="4">
        <v>21949.5</v>
      </c>
      <c r="BV40" s="4">
        <v>0</v>
      </c>
      <c r="BW40" s="4">
        <v>0</v>
      </c>
      <c r="BX40" s="4">
        <f>SUM(BT40:BW40)</f>
        <v>2447222.35</v>
      </c>
      <c r="BY40" s="4">
        <v>1891451.55</v>
      </c>
      <c r="BZ40" s="4">
        <v>0</v>
      </c>
      <c r="CA40" s="4">
        <v>555770.8</v>
      </c>
      <c r="CB40" s="4">
        <f>SUM(BY40:CA40)</f>
        <v>2447222.35</v>
      </c>
      <c r="CC40" s="143">
        <f>BX40-CB40</f>
        <v>0</v>
      </c>
      <c r="CD40" s="74">
        <f>K40+L40+AV40-AW40</f>
        <v>-787495.58</v>
      </c>
      <c r="CE40" s="76">
        <f>CD40+W40-AS40</f>
        <v>-537495.58</v>
      </c>
      <c r="CF40" s="76">
        <f>BR40-BP40</f>
        <v>0</v>
      </c>
      <c r="CG40" s="76">
        <f>AU40-AM40-AT40-AS40</f>
        <v>3944921.0700000008</v>
      </c>
      <c r="CH40" s="76">
        <f>I40-AG40+AY40+AH40+BQ40</f>
        <v>-15526.649999999998</v>
      </c>
      <c r="CI40" s="37">
        <f>CH40+K40</f>
        <v>-893.7499999999982</v>
      </c>
      <c r="CJ40" s="59" t="str">
        <f>IF(CF40=0,"-",(CD40/CF40))</f>
        <v>-</v>
      </c>
      <c r="CK40" s="59" t="str">
        <f>IF(CF40=0,"-",(CE40/CF40))</f>
        <v>-</v>
      </c>
      <c r="CL40" s="141">
        <f>IF(CG40=0,"-",(CD40/CG40*1))</f>
        <v>-0.19962264542849265</v>
      </c>
      <c r="CM40" s="141">
        <f>IF(CE40=0,"-",(CE40/CG40))</f>
        <v>-0.13625002134706837</v>
      </c>
      <c r="CN40" s="141">
        <f>IF(CG40=0,"-",(CH40/CG40))</f>
        <v>-0.003935858214775384</v>
      </c>
      <c r="CO40" s="141">
        <f>IF(CG40=0,"-",(CI40/CG40))</f>
        <v>-0.00022655713109109125</v>
      </c>
      <c r="CP40" s="141">
        <f>IF(BU40+K40+L40=0,"-",((K40+L40)/(BU40+K40+L40)))</f>
        <v>0.39999835986703985</v>
      </c>
      <c r="CQ40" s="141">
        <f>IF(BU40+K40+L40=0,"-",((K40)/(BU40+K40+L40)))</f>
        <v>0.39999835986703985</v>
      </c>
      <c r="CR40" s="142">
        <f>IF(CE40=0,"-",(CS40/CE40))</f>
        <v>-0.9931640740189902</v>
      </c>
      <c r="CS40" s="76">
        <f>BT40-BY40</f>
        <v>533821.3</v>
      </c>
      <c r="CT40" s="80">
        <f>Y40-K40-L40-V40</f>
        <v>4848016.64</v>
      </c>
      <c r="CU40" s="80">
        <f>AU40-AR40</f>
        <v>4060520.9700000007</v>
      </c>
      <c r="CV40" s="80">
        <f>CU40-CT40</f>
        <v>-787495.669999999</v>
      </c>
      <c r="CW40" s="80">
        <f>-V40+AR40</f>
        <v>0</v>
      </c>
      <c r="CX40" s="80">
        <f>CV40+CW40</f>
        <v>-787495.669999999</v>
      </c>
      <c r="CY40" s="80">
        <f>CX40-K40-L40</f>
        <v>-802128.569999999</v>
      </c>
      <c r="CZ40" s="80">
        <f>BR40-BP40</f>
        <v>0</v>
      </c>
      <c r="DA40" s="80">
        <f>K40+L40</f>
        <v>14632.9</v>
      </c>
      <c r="DB40" s="80">
        <f>-CZ40+DA40+CY40</f>
        <v>-787495.669999999</v>
      </c>
      <c r="DC40" s="80">
        <f t="shared" si="106"/>
        <v>-537495.669999999</v>
      </c>
      <c r="DD40" s="80">
        <f>-BP40-DA40</f>
        <v>-14632.9</v>
      </c>
      <c r="DE40" s="80">
        <f>DB40+DD40+BR40</f>
        <v>-802128.569999999</v>
      </c>
      <c r="DF40" s="80">
        <f>Z40+AA40+AB40</f>
        <v>1447919.4000000001</v>
      </c>
      <c r="DG40" s="80">
        <f>CS40/B40</f>
        <v>83.8945937450888</v>
      </c>
      <c r="DH40" s="80">
        <f>CH40/B40</f>
        <v>-2.4401461574728898</v>
      </c>
      <c r="DI40" s="80">
        <f>DF40/B40</f>
        <v>227.55294672324376</v>
      </c>
      <c r="DJ40" s="81">
        <f>CZ40/B40</f>
        <v>0</v>
      </c>
      <c r="DK40" s="76">
        <f>DB40/B40</f>
        <v>-123.76169574100251</v>
      </c>
      <c r="DL40" s="145">
        <f>CA40-BW40-BU40</f>
        <v>533821.3</v>
      </c>
      <c r="DM40" s="162">
        <v>0</v>
      </c>
      <c r="DN40" s="65"/>
    </row>
    <row r="41" spans="1:118" ht="12.75">
      <c r="A41" s="3" t="s">
        <v>216</v>
      </c>
      <c r="B41" s="136">
        <f>B12+B14+B23</f>
        <v>1044</v>
      </c>
      <c r="G41" s="131">
        <v>23435.45</v>
      </c>
      <c r="H41" s="43">
        <v>4508.05</v>
      </c>
      <c r="I41" s="43">
        <v>0</v>
      </c>
      <c r="J41" s="43">
        <v>0</v>
      </c>
      <c r="K41" s="43">
        <v>0</v>
      </c>
      <c r="L41" s="43">
        <v>0</v>
      </c>
      <c r="M41" s="43">
        <f>SUM(K41:L41)</f>
        <v>0</v>
      </c>
      <c r="N41" s="43">
        <v>0</v>
      </c>
      <c r="O41" s="43">
        <v>0</v>
      </c>
      <c r="P41" s="43">
        <v>361678.3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f>SUM(R41:V41)</f>
        <v>0</v>
      </c>
      <c r="X41" s="43">
        <v>0</v>
      </c>
      <c r="Y41" s="43">
        <f>SUM(G41:X41)-M41-W41</f>
        <v>389621.8</v>
      </c>
      <c r="Z41" s="43">
        <v>164307.75</v>
      </c>
      <c r="AA41" s="43">
        <v>3226.75</v>
      </c>
      <c r="AB41" s="43">
        <v>0</v>
      </c>
      <c r="AC41" s="43">
        <v>22995.5</v>
      </c>
      <c r="AD41" s="43">
        <v>0</v>
      </c>
      <c r="AE41" s="43">
        <f>SUM(Z41:AD41)</f>
        <v>190530</v>
      </c>
      <c r="AF41" s="43">
        <v>0</v>
      </c>
      <c r="AG41" s="43">
        <v>16357.05</v>
      </c>
      <c r="AH41" s="43">
        <v>0</v>
      </c>
      <c r="AI41" s="43">
        <v>155132.3</v>
      </c>
      <c r="AJ41" s="43">
        <v>0</v>
      </c>
      <c r="AK41" s="43">
        <v>0</v>
      </c>
      <c r="AL41" s="43">
        <v>26.55</v>
      </c>
      <c r="AM41" s="43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362045.9</v>
      </c>
      <c r="AV41" s="4">
        <v>0</v>
      </c>
      <c r="AW41" s="4">
        <v>27575.9</v>
      </c>
      <c r="AX41" s="143">
        <f>Y41-AU41+AV41-AW41</f>
        <v>-3.637978807091713E-11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f>SUM(AZ41:BE41)</f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f>SUM(BG41:BN41)</f>
        <v>0</v>
      </c>
      <c r="BP41" s="43">
        <v>0</v>
      </c>
      <c r="BQ41" s="43">
        <v>0</v>
      </c>
      <c r="BR41" s="43">
        <v>0</v>
      </c>
      <c r="BS41" s="43">
        <f>+BF41-BO41+BP41+BQ41-BR41</f>
        <v>0</v>
      </c>
      <c r="BT41" s="4">
        <v>968041.54</v>
      </c>
      <c r="BU41" s="4">
        <v>250001</v>
      </c>
      <c r="BV41" s="4">
        <v>0</v>
      </c>
      <c r="BW41" s="4">
        <v>0</v>
      </c>
      <c r="BX41" s="4">
        <f>SUM(BT41:BW41)</f>
        <v>1218042.54</v>
      </c>
      <c r="BY41" s="4">
        <v>227282.45</v>
      </c>
      <c r="BZ41" s="4">
        <v>0</v>
      </c>
      <c r="CA41" s="4">
        <v>990760.09</v>
      </c>
      <c r="CB41" s="4">
        <f>SUM(BY41:CA41)</f>
        <v>1218042.54</v>
      </c>
      <c r="CC41" s="143">
        <f>BX41-CB41</f>
        <v>0</v>
      </c>
      <c r="CD41" s="74">
        <f>K41+L41+AV41-AW41</f>
        <v>-27575.9</v>
      </c>
      <c r="CE41" s="76">
        <f>CD41+W41-AS41</f>
        <v>-27575.9</v>
      </c>
      <c r="CF41" s="76">
        <f>BR41-BP41</f>
        <v>0</v>
      </c>
      <c r="CG41" s="76">
        <f>AU41-AM41-AT41-AS41</f>
        <v>362045.9</v>
      </c>
      <c r="CH41" s="76">
        <f>I41-AG41+AY41+AH41+BQ41</f>
        <v>-16357.05</v>
      </c>
      <c r="CI41" s="37">
        <f>CH41+K41</f>
        <v>-16357.05</v>
      </c>
      <c r="CJ41" s="59" t="str">
        <f>IF(CF41=0,"-",(CD41/CF41))</f>
        <v>-</v>
      </c>
      <c r="CK41" s="59" t="str">
        <f>IF(CF41=0,"-",(CE41/CF41))</f>
        <v>-</v>
      </c>
      <c r="CL41" s="141">
        <f>IF(CG41=0,"-",(CD41/CG41*1))</f>
        <v>-0.07616686171560015</v>
      </c>
      <c r="CM41" s="141">
        <f>IF(CE41=0,"-",(CE41/CG41))</f>
        <v>-0.07616686171560015</v>
      </c>
      <c r="CN41" s="141">
        <f>IF(CG41=0,"-",(CH41/CG41))</f>
        <v>-0.0451794924345228</v>
      </c>
      <c r="CO41" s="141">
        <f>IF(CG41=0,"-",(CI41/CG41))</f>
        <v>-0.0451794924345228</v>
      </c>
      <c r="CP41" s="141">
        <f>IF(BU41+K41+L41=0,"-",((K41+L41)/(BU41+K41+L41)))</f>
        <v>0</v>
      </c>
      <c r="CQ41" s="141">
        <f>IF(BU41+K41+L41=0,"-",((K41)/(BU41+K41+L41)))</f>
        <v>0</v>
      </c>
      <c r="CR41" s="142">
        <f>IF(CE41=0,"-",(CS41/CE41))</f>
        <v>-26.862553534064165</v>
      </c>
      <c r="CS41" s="76">
        <f>BT41-BY41</f>
        <v>740759.0900000001</v>
      </c>
      <c r="CT41" s="80">
        <f>Y41-K41-L41-V41</f>
        <v>389621.8</v>
      </c>
      <c r="CU41" s="80">
        <f>AU41-AR41</f>
        <v>362045.9</v>
      </c>
      <c r="CV41" s="80">
        <f>CU41-CT41</f>
        <v>-27575.899999999965</v>
      </c>
      <c r="CW41" s="80">
        <f>-V41+AR41</f>
        <v>0</v>
      </c>
      <c r="CX41" s="80">
        <f>CV41+CW41</f>
        <v>-27575.899999999965</v>
      </c>
      <c r="CY41" s="80">
        <f>CX41-K41-L41</f>
        <v>-27575.899999999965</v>
      </c>
      <c r="CZ41" s="80">
        <f>BR41-BP41</f>
        <v>0</v>
      </c>
      <c r="DA41" s="80">
        <f>K41+L41</f>
        <v>0</v>
      </c>
      <c r="DB41" s="80">
        <f>-CZ41+DA41+CY41</f>
        <v>-27575.899999999965</v>
      </c>
      <c r="DC41" s="80">
        <f t="shared" si="106"/>
        <v>-27575.899999999965</v>
      </c>
      <c r="DD41" s="80">
        <f>-BP41-DA41</f>
        <v>0</v>
      </c>
      <c r="DE41" s="80">
        <f>DB41+DD41+BR41</f>
        <v>-27575.899999999965</v>
      </c>
      <c r="DF41" s="80">
        <f>Z41+AA41+AB41</f>
        <v>167534.5</v>
      </c>
      <c r="DG41" s="80">
        <f>CS41/B41</f>
        <v>709.539358237548</v>
      </c>
      <c r="DH41" s="80">
        <f>CH41/B41</f>
        <v>-15.667672413793102</v>
      </c>
      <c r="DI41" s="80">
        <f>DF41/B41</f>
        <v>160.47365900383141</v>
      </c>
      <c r="DJ41" s="81">
        <f>CZ41/B41</f>
        <v>0</v>
      </c>
      <c r="DK41" s="76">
        <f>DB41/B41</f>
        <v>-26.413697318007628</v>
      </c>
      <c r="DL41" s="145">
        <f>CA41-BW41-BU41</f>
        <v>740759.09</v>
      </c>
      <c r="DM41" s="162">
        <v>0</v>
      </c>
      <c r="DN41" s="65"/>
    </row>
    <row r="42" spans="1:118" ht="12.75">
      <c r="A42" s="3" t="s">
        <v>217</v>
      </c>
      <c r="B42" s="136">
        <f>B5+B28</f>
        <v>787</v>
      </c>
      <c r="G42" s="131">
        <v>19800.3</v>
      </c>
      <c r="H42" s="43">
        <v>3121.85</v>
      </c>
      <c r="I42" s="43">
        <v>0</v>
      </c>
      <c r="J42" s="43">
        <v>0</v>
      </c>
      <c r="K42" s="43">
        <v>0</v>
      </c>
      <c r="L42" s="43">
        <v>0</v>
      </c>
      <c r="M42" s="43">
        <f>SUM(K42:L42)</f>
        <v>0</v>
      </c>
      <c r="N42" s="43">
        <v>0</v>
      </c>
      <c r="O42" s="43">
        <v>0</v>
      </c>
      <c r="P42" s="43">
        <v>357802.5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f>SUM(R42:V42)</f>
        <v>0</v>
      </c>
      <c r="X42" s="43">
        <v>0</v>
      </c>
      <c r="Y42" s="43">
        <f>SUM(G42:X42)-M42-W42</f>
        <v>380724.65</v>
      </c>
      <c r="Z42" s="43">
        <v>127786.9</v>
      </c>
      <c r="AA42" s="43">
        <v>10761.85</v>
      </c>
      <c r="AB42" s="43">
        <v>0</v>
      </c>
      <c r="AC42" s="43">
        <v>17334.75</v>
      </c>
      <c r="AD42" s="43">
        <v>0</v>
      </c>
      <c r="AE42" s="43">
        <f>SUM(Z42:AD42)</f>
        <v>155883.5</v>
      </c>
      <c r="AF42" s="43">
        <v>0</v>
      </c>
      <c r="AG42" s="43">
        <v>2380.4</v>
      </c>
      <c r="AH42" s="43">
        <v>0</v>
      </c>
      <c r="AI42" s="43">
        <v>134317.9</v>
      </c>
      <c r="AJ42" s="43">
        <v>0</v>
      </c>
      <c r="AK42" s="43">
        <v>3224</v>
      </c>
      <c r="AL42" s="43">
        <v>0</v>
      </c>
      <c r="AM42" s="43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0</v>
      </c>
      <c r="AU42" s="4">
        <f>SUM(Z42:AT42)-AE42-AH42-AS42</f>
        <v>295805.80000000005</v>
      </c>
      <c r="AV42" s="4">
        <v>0</v>
      </c>
      <c r="AW42" s="4">
        <v>84918.85</v>
      </c>
      <c r="AX42" s="143">
        <f>Y42-AU42+AV42-AW42</f>
        <v>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f>SUM(AZ42:BE42)</f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f>SUM(BG42:BN42)</f>
        <v>0</v>
      </c>
      <c r="BP42" s="43">
        <v>0</v>
      </c>
      <c r="BQ42" s="43">
        <v>0</v>
      </c>
      <c r="BR42" s="43">
        <v>0</v>
      </c>
      <c r="BS42" s="43">
        <f>+BF42-BO42+BP42+BQ42-BR42</f>
        <v>0</v>
      </c>
      <c r="BT42" s="4">
        <v>362840.85</v>
      </c>
      <c r="BU42" s="4">
        <v>0</v>
      </c>
      <c r="BV42" s="4">
        <v>0</v>
      </c>
      <c r="BW42" s="4">
        <v>0</v>
      </c>
      <c r="BX42" s="4">
        <f>SUM(BT42:BW42)</f>
        <v>362840.85</v>
      </c>
      <c r="BY42" s="4">
        <v>148514.1</v>
      </c>
      <c r="BZ42" s="4">
        <v>0</v>
      </c>
      <c r="CA42" s="4">
        <v>214326.75</v>
      </c>
      <c r="CB42" s="4">
        <f>SUM(BY42:CA42)</f>
        <v>362840.85</v>
      </c>
      <c r="CC42" s="147">
        <f>BX42-CB42</f>
        <v>0</v>
      </c>
      <c r="CD42" s="74">
        <f>K42+L42+AV42-AW42</f>
        <v>-84918.85</v>
      </c>
      <c r="CE42" s="76">
        <f>CD42+W42-AS42</f>
        <v>-84918.85</v>
      </c>
      <c r="CF42" s="76">
        <f>BR42-BP42</f>
        <v>0</v>
      </c>
      <c r="CG42" s="76">
        <f>AU42-AM42-AT42-AS42</f>
        <v>295805.80000000005</v>
      </c>
      <c r="CH42" s="76">
        <f>I42-AG42+AY42+AH42+BQ42</f>
        <v>-2380.4</v>
      </c>
      <c r="CI42" s="37">
        <f>CH42+K42</f>
        <v>-2380.4</v>
      </c>
      <c r="CJ42" s="59" t="str">
        <f>IF(CF42=0,"-",(CD42/CF42))</f>
        <v>-</v>
      </c>
      <c r="CK42" s="59" t="str">
        <f>IF(CF42=0,"-",(CE42/CF42))</f>
        <v>-</v>
      </c>
      <c r="CL42" s="141">
        <f>IF(CG42=0,"-",(CD42/CG42*1))</f>
        <v>-0.28707635212020854</v>
      </c>
      <c r="CM42" s="141">
        <f>IF(CE42=0,"-",(CE42/CG42))</f>
        <v>-0.28707635212020854</v>
      </c>
      <c r="CN42" s="141">
        <f>IF(CG42=0,"-",(CH42/CG42))</f>
        <v>-0.008047171488861948</v>
      </c>
      <c r="CO42" s="141">
        <f>IF(CG42=0,"-",(CI42/CG42))</f>
        <v>-0.008047171488861948</v>
      </c>
      <c r="CP42" s="141" t="str">
        <f>IF(BU42+K42+L42=0,"-",((K42+L42)/(BU42+K42+L42)))</f>
        <v>-</v>
      </c>
      <c r="CQ42" s="141" t="str">
        <f>IF(BU42+K42+L42=0,"-",((K42)/(BU42+K42+L42)))</f>
        <v>-</v>
      </c>
      <c r="CR42" s="142">
        <f>IF(CE42=0,"-",(CS42/CE42))</f>
        <v>-2.5239007593720353</v>
      </c>
      <c r="CS42" s="76">
        <f>BT42-BY42</f>
        <v>214326.74999999997</v>
      </c>
      <c r="CT42" s="80">
        <f>Y42-K42-L42-V42</f>
        <v>380724.65</v>
      </c>
      <c r="CU42" s="80">
        <f>AU42-AR42</f>
        <v>295805.80000000005</v>
      </c>
      <c r="CV42" s="80">
        <f>CU42-CT42</f>
        <v>-84918.84999999998</v>
      </c>
      <c r="CW42" s="80">
        <f>-V42+AR42</f>
        <v>0</v>
      </c>
      <c r="CX42" s="80">
        <f>CV42+CW42</f>
        <v>-84918.84999999998</v>
      </c>
      <c r="CY42" s="80">
        <f>CX42-K42-L42</f>
        <v>-84918.84999999998</v>
      </c>
      <c r="CZ42" s="80">
        <f>BR42-BP42</f>
        <v>0</v>
      </c>
      <c r="DA42" s="80">
        <f>K42+L42</f>
        <v>0</v>
      </c>
      <c r="DB42" s="80">
        <f>-CZ42+DA42+CY42</f>
        <v>-84918.84999999998</v>
      </c>
      <c r="DC42" s="80">
        <f t="shared" si="106"/>
        <v>-84918.84999999998</v>
      </c>
      <c r="DD42" s="80">
        <f>-BP42-DA42</f>
        <v>0</v>
      </c>
      <c r="DE42" s="80">
        <f>DB42+DD42+BR42</f>
        <v>-84918.84999999998</v>
      </c>
      <c r="DF42" s="80">
        <f>Z42+AA42+AB42</f>
        <v>138548.75</v>
      </c>
      <c r="DG42" s="80">
        <f>CS42/B42</f>
        <v>272.3338627700127</v>
      </c>
      <c r="DH42" s="80">
        <f>CH42/B42</f>
        <v>-3.024650571791614</v>
      </c>
      <c r="DI42" s="80">
        <f>DF42/B42</f>
        <v>176.0466963151207</v>
      </c>
      <c r="DJ42" s="81">
        <f>CZ42/B42</f>
        <v>0</v>
      </c>
      <c r="DK42" s="76">
        <f>DB42/B42</f>
        <v>-107.90196950444724</v>
      </c>
      <c r="DL42" s="145">
        <f>CA42-BW42-BU42</f>
        <v>214326.75</v>
      </c>
      <c r="DM42" s="162">
        <v>0</v>
      </c>
      <c r="DN42" s="65"/>
    </row>
    <row r="60" spans="1:116" ht="12.75">
      <c r="A60" s="3" t="s">
        <v>242</v>
      </c>
      <c r="B60" s="62">
        <f>B10+B20+B26</f>
        <v>1433</v>
      </c>
      <c r="C60" s="62">
        <f aca="true" t="shared" si="107" ref="C60:BN60">C10+C20+C26</f>
        <v>4220068</v>
      </c>
      <c r="D60" s="62">
        <f>(D10+D20+D26)/3</f>
        <v>2970.02</v>
      </c>
      <c r="E60" s="62">
        <f>(E10+E20+E26)/3</f>
        <v>82.83666666666666</v>
      </c>
      <c r="F60" s="62">
        <f>(F10+F20+F26)/3</f>
        <v>4</v>
      </c>
      <c r="G60" s="62">
        <f t="shared" si="107"/>
        <v>16503.65</v>
      </c>
      <c r="H60" s="62">
        <f t="shared" si="107"/>
        <v>14717.100000000002</v>
      </c>
      <c r="I60" s="62">
        <f t="shared" si="107"/>
        <v>30.25</v>
      </c>
      <c r="J60" s="62">
        <f t="shared" si="107"/>
        <v>0</v>
      </c>
      <c r="K60" s="62">
        <f t="shared" si="107"/>
        <v>0</v>
      </c>
      <c r="L60" s="62">
        <f t="shared" si="107"/>
        <v>0</v>
      </c>
      <c r="M60" s="62">
        <f t="shared" si="107"/>
        <v>0</v>
      </c>
      <c r="N60" s="62">
        <f t="shared" si="107"/>
        <v>0</v>
      </c>
      <c r="O60" s="62">
        <f t="shared" si="107"/>
        <v>2000</v>
      </c>
      <c r="P60" s="62">
        <f t="shared" si="107"/>
        <v>484890.65</v>
      </c>
      <c r="Q60" s="62">
        <f t="shared" si="107"/>
        <v>0</v>
      </c>
      <c r="R60" s="62">
        <f t="shared" si="107"/>
        <v>0</v>
      </c>
      <c r="S60" s="62">
        <f t="shared" si="107"/>
        <v>0</v>
      </c>
      <c r="T60" s="62">
        <f t="shared" si="107"/>
        <v>0</v>
      </c>
      <c r="U60" s="62">
        <f t="shared" si="107"/>
        <v>0</v>
      </c>
      <c r="V60" s="62">
        <f t="shared" si="107"/>
        <v>0</v>
      </c>
      <c r="W60" s="62">
        <f t="shared" si="107"/>
        <v>0</v>
      </c>
      <c r="X60" s="62">
        <f t="shared" si="107"/>
        <v>0</v>
      </c>
      <c r="Y60" s="62">
        <f t="shared" si="107"/>
        <v>518141.65</v>
      </c>
      <c r="Z60" s="62">
        <f t="shared" si="107"/>
        <v>201066.5</v>
      </c>
      <c r="AA60" s="62">
        <f t="shared" si="107"/>
        <v>61877.5</v>
      </c>
      <c r="AB60" s="62">
        <f t="shared" si="107"/>
        <v>0</v>
      </c>
      <c r="AC60" s="62">
        <f t="shared" si="107"/>
        <v>31563.700000000004</v>
      </c>
      <c r="AD60" s="62">
        <f t="shared" si="107"/>
        <v>0</v>
      </c>
      <c r="AE60" s="62">
        <f t="shared" si="107"/>
        <v>294507.7</v>
      </c>
      <c r="AF60" s="62">
        <f t="shared" si="107"/>
        <v>0</v>
      </c>
      <c r="AG60" s="62">
        <f t="shared" si="107"/>
        <v>12786.05</v>
      </c>
      <c r="AH60" s="62">
        <f t="shared" si="107"/>
        <v>0</v>
      </c>
      <c r="AI60" s="62">
        <f t="shared" si="107"/>
        <v>224428.25</v>
      </c>
      <c r="AJ60" s="62">
        <f t="shared" si="107"/>
        <v>0</v>
      </c>
      <c r="AK60" s="62">
        <f t="shared" si="107"/>
        <v>0</v>
      </c>
      <c r="AL60" s="62">
        <f t="shared" si="107"/>
        <v>0</v>
      </c>
      <c r="AM60" s="62">
        <f t="shared" si="107"/>
        <v>0</v>
      </c>
      <c r="AN60" s="62">
        <f t="shared" si="107"/>
        <v>0</v>
      </c>
      <c r="AO60" s="62">
        <f t="shared" si="107"/>
        <v>0</v>
      </c>
      <c r="AP60" s="62">
        <f t="shared" si="107"/>
        <v>0</v>
      </c>
      <c r="AQ60" s="62">
        <f t="shared" si="107"/>
        <v>0</v>
      </c>
      <c r="AR60" s="62">
        <f t="shared" si="107"/>
        <v>0</v>
      </c>
      <c r="AS60" s="62">
        <f t="shared" si="107"/>
        <v>0</v>
      </c>
      <c r="AT60" s="62">
        <f t="shared" si="107"/>
        <v>0</v>
      </c>
      <c r="AU60" s="62">
        <f t="shared" si="107"/>
        <v>531722</v>
      </c>
      <c r="AV60" s="62">
        <f t="shared" si="107"/>
        <v>26261.649999999998</v>
      </c>
      <c r="AW60" s="62">
        <f t="shared" si="107"/>
        <v>12681.3</v>
      </c>
      <c r="AX60" s="62">
        <f t="shared" si="107"/>
        <v>4.547473508864641E-12</v>
      </c>
      <c r="AY60" s="62">
        <f t="shared" si="107"/>
        <v>1700.4</v>
      </c>
      <c r="AZ60" s="62">
        <f t="shared" si="107"/>
        <v>0</v>
      </c>
      <c r="BA60" s="62">
        <f t="shared" si="107"/>
        <v>0</v>
      </c>
      <c r="BB60" s="62">
        <f t="shared" si="107"/>
        <v>0</v>
      </c>
      <c r="BC60" s="62">
        <f t="shared" si="107"/>
        <v>0</v>
      </c>
      <c r="BD60" s="62">
        <f t="shared" si="107"/>
        <v>0</v>
      </c>
      <c r="BE60" s="62">
        <f t="shared" si="107"/>
        <v>0</v>
      </c>
      <c r="BF60" s="62">
        <f t="shared" si="107"/>
        <v>0</v>
      </c>
      <c r="BG60" s="62">
        <f t="shared" si="107"/>
        <v>0</v>
      </c>
      <c r="BH60" s="62">
        <f t="shared" si="107"/>
        <v>0</v>
      </c>
      <c r="BI60" s="62">
        <f t="shared" si="107"/>
        <v>0</v>
      </c>
      <c r="BJ60" s="62">
        <f t="shared" si="107"/>
        <v>0</v>
      </c>
      <c r="BK60" s="62">
        <f t="shared" si="107"/>
        <v>0</v>
      </c>
      <c r="BL60" s="62">
        <f t="shared" si="107"/>
        <v>0</v>
      </c>
      <c r="BM60" s="62">
        <f t="shared" si="107"/>
        <v>0</v>
      </c>
      <c r="BN60" s="62">
        <f t="shared" si="107"/>
        <v>0</v>
      </c>
      <c r="BO60" s="62">
        <f aca="true" t="shared" si="108" ref="BO60:CI60">BO10+BO20+BO26</f>
        <v>0</v>
      </c>
      <c r="BP60" s="62">
        <f t="shared" si="108"/>
        <v>0</v>
      </c>
      <c r="BQ60" s="62">
        <f t="shared" si="108"/>
        <v>0</v>
      </c>
      <c r="BR60" s="62">
        <f t="shared" si="108"/>
        <v>0</v>
      </c>
      <c r="BS60" s="62">
        <f t="shared" si="108"/>
        <v>0</v>
      </c>
      <c r="BT60" s="62">
        <f t="shared" si="108"/>
        <v>861985.36</v>
      </c>
      <c r="BU60" s="62">
        <f t="shared" si="108"/>
        <v>0</v>
      </c>
      <c r="BV60" s="62">
        <f t="shared" si="108"/>
        <v>0</v>
      </c>
      <c r="BW60" s="62">
        <f t="shared" si="108"/>
        <v>0</v>
      </c>
      <c r="BX60" s="62">
        <f t="shared" si="108"/>
        <v>861985.36</v>
      </c>
      <c r="BY60" s="62">
        <f t="shared" si="108"/>
        <v>263798.55</v>
      </c>
      <c r="BZ60" s="62">
        <f t="shared" si="108"/>
        <v>0</v>
      </c>
      <c r="CA60" s="62">
        <f t="shared" si="108"/>
        <v>598186.81</v>
      </c>
      <c r="CB60" s="62">
        <f t="shared" si="108"/>
        <v>861985.36</v>
      </c>
      <c r="CC60" s="62">
        <f t="shared" si="108"/>
        <v>0</v>
      </c>
      <c r="CD60" s="62">
        <f t="shared" si="108"/>
        <v>13580.349999999999</v>
      </c>
      <c r="CE60" s="62">
        <f t="shared" si="108"/>
        <v>13580.349999999999</v>
      </c>
      <c r="CF60" s="62">
        <f t="shared" si="108"/>
        <v>0</v>
      </c>
      <c r="CG60" s="62">
        <f t="shared" si="108"/>
        <v>531722</v>
      </c>
      <c r="CH60" s="62">
        <f t="shared" si="108"/>
        <v>-11055.4</v>
      </c>
      <c r="CI60" s="62">
        <f t="shared" si="108"/>
        <v>-11055.4</v>
      </c>
      <c r="CJ60" s="153" t="e">
        <f aca="true" t="shared" si="109" ref="CJ60:CJ65">CD60/CF60</f>
        <v>#DIV/0!</v>
      </c>
      <c r="CK60" s="153" t="e">
        <f aca="true" t="shared" si="110" ref="CK60:CK65">CE60/CF60</f>
        <v>#DIV/0!</v>
      </c>
      <c r="CL60" s="154">
        <f aca="true" t="shared" si="111" ref="CL60:CL65">CD60/CG60*1</f>
        <v>0.02554031994162363</v>
      </c>
      <c r="CM60" s="154">
        <f aca="true" t="shared" si="112" ref="CM60:CM65">CE60/CG60</f>
        <v>0.02554031994162363</v>
      </c>
      <c r="CN60" s="154">
        <f aca="true" t="shared" si="113" ref="CN60:CN65">CH60/CG60</f>
        <v>-0.020791691899150307</v>
      </c>
      <c r="CO60" s="154">
        <f aca="true" t="shared" si="114" ref="CO60:CO65">CI60/CG60</f>
        <v>-0.020791691899150307</v>
      </c>
      <c r="CP60" s="154" t="e">
        <f aca="true" t="shared" si="115" ref="CP60:CP65">(K60+L60)/(BU60+K60+L60)</f>
        <v>#DIV/0!</v>
      </c>
      <c r="CQ60" s="154" t="e">
        <f aca="true" t="shared" si="116" ref="CQ60:CQ65">(K60)/(BU60+K60+L60)</f>
        <v>#DIV/0!</v>
      </c>
      <c r="CR60" s="155">
        <f aca="true" t="shared" si="117" ref="CR60:CR65">CS60/CE60</f>
        <v>44.04796709952248</v>
      </c>
      <c r="CS60" s="156">
        <f aca="true" t="shared" si="118" ref="CS60:CS65">BT60-BY60</f>
        <v>598186.81</v>
      </c>
      <c r="CT60" s="156">
        <f aca="true" t="shared" si="119" ref="CT60:CT65">Y60-K60-L60-V60</f>
        <v>518141.65</v>
      </c>
      <c r="CU60" s="156">
        <f aca="true" t="shared" si="120" ref="CU60:CU65">AU60-AR60</f>
        <v>531722</v>
      </c>
      <c r="CV60" s="156">
        <f aca="true" t="shared" si="121" ref="CV60:CV65">CU60-CT60</f>
        <v>13580.349999999977</v>
      </c>
      <c r="CW60" s="156">
        <f aca="true" t="shared" si="122" ref="CW60:CW65">-V60+AR60</f>
        <v>0</v>
      </c>
      <c r="CX60" s="156">
        <f aca="true" t="shared" si="123" ref="CX60:CX65">CV60+CW60</f>
        <v>13580.349999999977</v>
      </c>
      <c r="CY60" s="156">
        <f aca="true" t="shared" si="124" ref="CY60:CY65">CX60-K60-L60</f>
        <v>13580.349999999977</v>
      </c>
      <c r="CZ60" s="156">
        <f aca="true" t="shared" si="125" ref="CZ60:CZ65">BR60-BP60</f>
        <v>0</v>
      </c>
      <c r="DA60" s="156">
        <f aca="true" t="shared" si="126" ref="DA60:DA65">K60+L60</f>
        <v>0</v>
      </c>
      <c r="DB60" s="156">
        <f aca="true" t="shared" si="127" ref="DB60:DB65">-CZ60+DA60+CY60</f>
        <v>13580.349999999977</v>
      </c>
      <c r="DC60" s="156">
        <f aca="true" t="shared" si="128" ref="DC60:DC65">-CZ60+DA60+CY60+W60-AS60</f>
        <v>13580.349999999977</v>
      </c>
      <c r="DD60" s="156">
        <f aca="true" t="shared" si="129" ref="DD60:DD65">-BP60-DA60</f>
        <v>0</v>
      </c>
      <c r="DE60" s="156">
        <f aca="true" t="shared" si="130" ref="DE60:DE65">DB60+DD60+BR60</f>
        <v>13580.349999999977</v>
      </c>
      <c r="DF60" s="156">
        <f aca="true" t="shared" si="131" ref="DF60:DF65">Z60+AA60+AB60</f>
        <v>262944</v>
      </c>
      <c r="DG60" s="156">
        <f aca="true" t="shared" si="132" ref="DG60:DG65">CS60/B60</f>
        <v>417.4367131891138</v>
      </c>
      <c r="DH60" s="156">
        <f aca="true" t="shared" si="133" ref="DH60:DH65">CH60/B60</f>
        <v>-7.714863921842289</v>
      </c>
      <c r="DI60" s="156">
        <f aca="true" t="shared" si="134" ref="DI60:DI65">DF60/B60</f>
        <v>183.4919748778786</v>
      </c>
      <c r="DJ60" s="157">
        <f aca="true" t="shared" si="135" ref="DJ60:DJ65">CZ60/B60</f>
        <v>0</v>
      </c>
      <c r="DK60" s="156">
        <f aca="true" t="shared" si="136" ref="DK60:DK65">DB60/B60</f>
        <v>9.476866713189098</v>
      </c>
      <c r="DL60" s="158">
        <f aca="true" t="shared" si="137" ref="DL60:DL65">CA60-BW60-BU60</f>
        <v>598186.81</v>
      </c>
    </row>
    <row r="61" spans="1:116" ht="12.75">
      <c r="A61" s="3" t="s">
        <v>243</v>
      </c>
      <c r="B61" s="62">
        <f>B4+B19+B21+B24+B25</f>
        <v>14498</v>
      </c>
      <c r="C61" s="62">
        <f aca="true" t="shared" si="138" ref="C61:BN61">C4+C19+C21+C24+C25</f>
        <v>51452896</v>
      </c>
      <c r="D61" s="62">
        <f>(D4+D19+D21+D24+D25)/5</f>
        <v>3471.7180000000008</v>
      </c>
      <c r="E61" s="62">
        <f>(E4+E19+E21+E24+E25)/5</f>
        <v>96.83200000000001</v>
      </c>
      <c r="F61" s="62">
        <f>(F4+F19+F21+F24+F25)/5</f>
        <v>3</v>
      </c>
      <c r="G61" s="62">
        <f t="shared" si="138"/>
        <v>386227.85</v>
      </c>
      <c r="H61" s="62">
        <f t="shared" si="138"/>
        <v>174536.69999999998</v>
      </c>
      <c r="I61" s="62">
        <f t="shared" si="138"/>
        <v>36856.2</v>
      </c>
      <c r="J61" s="62">
        <f t="shared" si="138"/>
        <v>14411.5</v>
      </c>
      <c r="K61" s="62">
        <f t="shared" si="138"/>
        <v>0</v>
      </c>
      <c r="L61" s="62">
        <f t="shared" si="138"/>
        <v>0</v>
      </c>
      <c r="M61" s="62">
        <f t="shared" si="138"/>
        <v>0</v>
      </c>
      <c r="N61" s="62">
        <f t="shared" si="138"/>
        <v>0</v>
      </c>
      <c r="O61" s="62">
        <f t="shared" si="138"/>
        <v>0</v>
      </c>
      <c r="P61" s="62">
        <f t="shared" si="138"/>
        <v>5758809.5</v>
      </c>
      <c r="Q61" s="62">
        <f t="shared" si="138"/>
        <v>0</v>
      </c>
      <c r="R61" s="62">
        <f t="shared" si="138"/>
        <v>0</v>
      </c>
      <c r="S61" s="62">
        <f t="shared" si="138"/>
        <v>0</v>
      </c>
      <c r="T61" s="62">
        <f t="shared" si="138"/>
        <v>0</v>
      </c>
      <c r="U61" s="62">
        <f t="shared" si="138"/>
        <v>0</v>
      </c>
      <c r="V61" s="62">
        <f t="shared" si="138"/>
        <v>0</v>
      </c>
      <c r="W61" s="62">
        <f t="shared" si="138"/>
        <v>0</v>
      </c>
      <c r="X61" s="62">
        <f t="shared" si="138"/>
        <v>116434</v>
      </c>
      <c r="Y61" s="62">
        <f t="shared" si="138"/>
        <v>6487275.75</v>
      </c>
      <c r="Z61" s="62">
        <f t="shared" si="138"/>
        <v>2232614.3499999996</v>
      </c>
      <c r="AA61" s="62">
        <f t="shared" si="138"/>
        <v>247059.35000000003</v>
      </c>
      <c r="AB61" s="62">
        <f t="shared" si="138"/>
        <v>0</v>
      </c>
      <c r="AC61" s="62">
        <f t="shared" si="138"/>
        <v>275659.4</v>
      </c>
      <c r="AD61" s="62">
        <f t="shared" si="138"/>
        <v>0</v>
      </c>
      <c r="AE61" s="62">
        <f t="shared" si="138"/>
        <v>2755333.0999999996</v>
      </c>
      <c r="AF61" s="62">
        <f t="shared" si="138"/>
        <v>0</v>
      </c>
      <c r="AG61" s="62">
        <f t="shared" si="138"/>
        <v>65558.04999999999</v>
      </c>
      <c r="AH61" s="62">
        <f t="shared" si="138"/>
        <v>1757.15</v>
      </c>
      <c r="AI61" s="62">
        <f t="shared" si="138"/>
        <v>3287356.2</v>
      </c>
      <c r="AJ61" s="62">
        <f t="shared" si="138"/>
        <v>-200</v>
      </c>
      <c r="AK61" s="62">
        <f t="shared" si="138"/>
        <v>199752.05</v>
      </c>
      <c r="AL61" s="62">
        <f t="shared" si="138"/>
        <v>19451.35</v>
      </c>
      <c r="AM61" s="62">
        <f t="shared" si="138"/>
        <v>0</v>
      </c>
      <c r="AN61" s="62">
        <f t="shared" si="138"/>
        <v>0</v>
      </c>
      <c r="AO61" s="62">
        <f t="shared" si="138"/>
        <v>0</v>
      </c>
      <c r="AP61" s="62">
        <f t="shared" si="138"/>
        <v>0</v>
      </c>
      <c r="AQ61" s="62">
        <f t="shared" si="138"/>
        <v>0</v>
      </c>
      <c r="AR61" s="62">
        <f t="shared" si="138"/>
        <v>0</v>
      </c>
      <c r="AS61" s="62">
        <f t="shared" si="138"/>
        <v>0</v>
      </c>
      <c r="AT61" s="62">
        <f t="shared" si="138"/>
        <v>116434</v>
      </c>
      <c r="AU61" s="62">
        <f t="shared" si="138"/>
        <v>6443684.75</v>
      </c>
      <c r="AV61" s="62">
        <f t="shared" si="138"/>
        <v>117528.05</v>
      </c>
      <c r="AW61" s="62">
        <f t="shared" si="138"/>
        <v>161119.05000000002</v>
      </c>
      <c r="AX61" s="62">
        <f t="shared" si="138"/>
        <v>4.729372449219227E-11</v>
      </c>
      <c r="AY61" s="62">
        <f t="shared" si="138"/>
        <v>0</v>
      </c>
      <c r="AZ61" s="62">
        <f t="shared" si="138"/>
        <v>0</v>
      </c>
      <c r="BA61" s="62">
        <f t="shared" si="138"/>
        <v>0</v>
      </c>
      <c r="BB61" s="62">
        <f t="shared" si="138"/>
        <v>0</v>
      </c>
      <c r="BC61" s="62">
        <f t="shared" si="138"/>
        <v>0</v>
      </c>
      <c r="BD61" s="62">
        <f t="shared" si="138"/>
        <v>0</v>
      </c>
      <c r="BE61" s="62">
        <f t="shared" si="138"/>
        <v>0</v>
      </c>
      <c r="BF61" s="62">
        <f t="shared" si="138"/>
        <v>0</v>
      </c>
      <c r="BG61" s="62">
        <f t="shared" si="138"/>
        <v>0</v>
      </c>
      <c r="BH61" s="62">
        <f t="shared" si="138"/>
        <v>0</v>
      </c>
      <c r="BI61" s="62">
        <f t="shared" si="138"/>
        <v>0</v>
      </c>
      <c r="BJ61" s="62">
        <f t="shared" si="138"/>
        <v>0</v>
      </c>
      <c r="BK61" s="62">
        <f t="shared" si="138"/>
        <v>0</v>
      </c>
      <c r="BL61" s="62">
        <f t="shared" si="138"/>
        <v>0</v>
      </c>
      <c r="BM61" s="62">
        <f t="shared" si="138"/>
        <v>0</v>
      </c>
      <c r="BN61" s="62">
        <f t="shared" si="138"/>
        <v>0</v>
      </c>
      <c r="BO61" s="62">
        <f aca="true" t="shared" si="139" ref="BO61:CI61">BO4+BO19+BO21+BO24+BO25</f>
        <v>0</v>
      </c>
      <c r="BP61" s="62">
        <f t="shared" si="139"/>
        <v>0</v>
      </c>
      <c r="BQ61" s="62">
        <f t="shared" si="139"/>
        <v>0</v>
      </c>
      <c r="BR61" s="62">
        <f t="shared" si="139"/>
        <v>0</v>
      </c>
      <c r="BS61" s="62">
        <f t="shared" si="139"/>
        <v>0</v>
      </c>
      <c r="BT61" s="62">
        <f t="shared" si="139"/>
        <v>4854547.140000001</v>
      </c>
      <c r="BU61" s="62">
        <f t="shared" si="139"/>
        <v>0</v>
      </c>
      <c r="BV61" s="62">
        <f t="shared" si="139"/>
        <v>0</v>
      </c>
      <c r="BW61" s="62">
        <f t="shared" si="139"/>
        <v>0</v>
      </c>
      <c r="BX61" s="62">
        <f t="shared" si="139"/>
        <v>4854547.140000001</v>
      </c>
      <c r="BY61" s="62">
        <f t="shared" si="139"/>
        <v>2171519.93</v>
      </c>
      <c r="BZ61" s="62">
        <f t="shared" si="139"/>
        <v>20000</v>
      </c>
      <c r="CA61" s="62">
        <f t="shared" si="139"/>
        <v>2663027.21</v>
      </c>
      <c r="CB61" s="62">
        <f t="shared" si="139"/>
        <v>4854547.140000001</v>
      </c>
      <c r="CC61" s="62">
        <f t="shared" si="139"/>
        <v>0</v>
      </c>
      <c r="CD61" s="62">
        <f t="shared" si="139"/>
        <v>-43591.000000000015</v>
      </c>
      <c r="CE61" s="62">
        <f t="shared" si="139"/>
        <v>-43591.000000000015</v>
      </c>
      <c r="CF61" s="62">
        <f t="shared" si="139"/>
        <v>0</v>
      </c>
      <c r="CG61" s="62">
        <f t="shared" si="139"/>
        <v>6327250.75</v>
      </c>
      <c r="CH61" s="62">
        <f t="shared" si="139"/>
        <v>-26944.699999999993</v>
      </c>
      <c r="CI61" s="62">
        <f t="shared" si="139"/>
        <v>-26944.699999999993</v>
      </c>
      <c r="CJ61" s="153" t="e">
        <f t="shared" si="109"/>
        <v>#DIV/0!</v>
      </c>
      <c r="CK61" s="153" t="e">
        <f t="shared" si="110"/>
        <v>#DIV/0!</v>
      </c>
      <c r="CL61" s="154">
        <f t="shared" si="111"/>
        <v>-0.006889406113705864</v>
      </c>
      <c r="CM61" s="154">
        <f t="shared" si="112"/>
        <v>-0.006889406113705864</v>
      </c>
      <c r="CN61" s="154">
        <f t="shared" si="113"/>
        <v>-0.004258516228395088</v>
      </c>
      <c r="CO61" s="154">
        <f t="shared" si="114"/>
        <v>-0.004258516228395088</v>
      </c>
      <c r="CP61" s="154" t="e">
        <f t="shared" si="115"/>
        <v>#DIV/0!</v>
      </c>
      <c r="CQ61" s="154" t="e">
        <f t="shared" si="116"/>
        <v>#DIV/0!</v>
      </c>
      <c r="CR61" s="155">
        <f t="shared" si="117"/>
        <v>-61.55002661099767</v>
      </c>
      <c r="CS61" s="156">
        <f t="shared" si="118"/>
        <v>2683027.2100000004</v>
      </c>
      <c r="CT61" s="156">
        <f t="shared" si="119"/>
        <v>6487275.75</v>
      </c>
      <c r="CU61" s="156">
        <f t="shared" si="120"/>
        <v>6443684.75</v>
      </c>
      <c r="CV61" s="156">
        <f t="shared" si="121"/>
        <v>-43591</v>
      </c>
      <c r="CW61" s="156">
        <f t="shared" si="122"/>
        <v>0</v>
      </c>
      <c r="CX61" s="156">
        <f t="shared" si="123"/>
        <v>-43591</v>
      </c>
      <c r="CY61" s="156">
        <f t="shared" si="124"/>
        <v>-43591</v>
      </c>
      <c r="CZ61" s="156">
        <f t="shared" si="125"/>
        <v>0</v>
      </c>
      <c r="DA61" s="156">
        <f t="shared" si="126"/>
        <v>0</v>
      </c>
      <c r="DB61" s="156">
        <f t="shared" si="127"/>
        <v>-43591</v>
      </c>
      <c r="DC61" s="156">
        <f t="shared" si="128"/>
        <v>-43591</v>
      </c>
      <c r="DD61" s="156">
        <f t="shared" si="129"/>
        <v>0</v>
      </c>
      <c r="DE61" s="156">
        <f t="shared" si="130"/>
        <v>-43591</v>
      </c>
      <c r="DF61" s="156">
        <f t="shared" si="131"/>
        <v>2479673.6999999997</v>
      </c>
      <c r="DG61" s="156">
        <f t="shared" si="132"/>
        <v>185.0618850875983</v>
      </c>
      <c r="DH61" s="156">
        <f t="shared" si="133"/>
        <v>-1.858511518830183</v>
      </c>
      <c r="DI61" s="156">
        <f t="shared" si="134"/>
        <v>171.03557042350667</v>
      </c>
      <c r="DJ61" s="157">
        <f t="shared" si="135"/>
        <v>0</v>
      </c>
      <c r="DK61" s="156">
        <f t="shared" si="136"/>
        <v>-3.00669057801076</v>
      </c>
      <c r="DL61" s="158">
        <f t="shared" si="137"/>
        <v>2663027.21</v>
      </c>
    </row>
    <row r="62" spans="1:116" ht="12.75">
      <c r="A62" s="3" t="s">
        <v>244</v>
      </c>
      <c r="B62" s="62">
        <f>B9+B11+B22+B27</f>
        <v>11952</v>
      </c>
      <c r="C62" s="62">
        <f aca="true" t="shared" si="140" ref="C62:BN62">C9+C11+C22+C27</f>
        <v>47546523</v>
      </c>
      <c r="D62" s="62">
        <f>(D9+D11+D22+D27)/4</f>
        <v>3750.56</v>
      </c>
      <c r="E62" s="62">
        <f>(E9+E11+E22+E27)/4</f>
        <v>104.60749999999999</v>
      </c>
      <c r="F62" s="62">
        <f>(F9+F11+F22+F27)/4</f>
        <v>3.25</v>
      </c>
      <c r="G62" s="62">
        <f t="shared" si="140"/>
        <v>490225.8</v>
      </c>
      <c r="H62" s="62">
        <f t="shared" si="140"/>
        <v>146913.05</v>
      </c>
      <c r="I62" s="62">
        <f t="shared" si="140"/>
        <v>9791.45</v>
      </c>
      <c r="J62" s="62">
        <f t="shared" si="140"/>
        <v>0</v>
      </c>
      <c r="K62" s="62">
        <f t="shared" si="140"/>
        <v>14632.900000000001</v>
      </c>
      <c r="L62" s="62">
        <f t="shared" si="140"/>
        <v>0</v>
      </c>
      <c r="M62" s="62">
        <f t="shared" si="140"/>
        <v>14632.900000000001</v>
      </c>
      <c r="N62" s="62">
        <f t="shared" si="140"/>
        <v>0</v>
      </c>
      <c r="O62" s="62">
        <f t="shared" si="140"/>
        <v>204.65</v>
      </c>
      <c r="P62" s="62">
        <f t="shared" si="140"/>
        <v>6595691.149999999</v>
      </c>
      <c r="Q62" s="62">
        <f t="shared" si="140"/>
        <v>0</v>
      </c>
      <c r="R62" s="62">
        <f t="shared" si="140"/>
        <v>0</v>
      </c>
      <c r="S62" s="62">
        <f t="shared" si="140"/>
        <v>250000</v>
      </c>
      <c r="T62" s="62">
        <f t="shared" si="140"/>
        <v>0</v>
      </c>
      <c r="U62" s="62">
        <f t="shared" si="140"/>
        <v>0</v>
      </c>
      <c r="V62" s="62">
        <f t="shared" si="140"/>
        <v>0</v>
      </c>
      <c r="W62" s="62">
        <f t="shared" si="140"/>
        <v>250000</v>
      </c>
      <c r="X62" s="62">
        <f t="shared" si="140"/>
        <v>115599.99</v>
      </c>
      <c r="Y62" s="62">
        <f t="shared" si="140"/>
        <v>7623058.989999998</v>
      </c>
      <c r="Z62" s="62">
        <f t="shared" si="140"/>
        <v>2134164.65</v>
      </c>
      <c r="AA62" s="62">
        <f t="shared" si="140"/>
        <v>463182.95</v>
      </c>
      <c r="AB62" s="62">
        <f t="shared" si="140"/>
        <v>0</v>
      </c>
      <c r="AC62" s="62">
        <f t="shared" si="140"/>
        <v>263258.45</v>
      </c>
      <c r="AD62" s="62">
        <f t="shared" si="140"/>
        <v>0</v>
      </c>
      <c r="AE62" s="62">
        <f t="shared" si="140"/>
        <v>2860606.05</v>
      </c>
      <c r="AF62" s="62">
        <f t="shared" si="140"/>
        <v>0</v>
      </c>
      <c r="AG62" s="62">
        <f t="shared" si="140"/>
        <v>54865.5</v>
      </c>
      <c r="AH62" s="62">
        <f t="shared" si="140"/>
        <v>3992.4</v>
      </c>
      <c r="AI62" s="62">
        <f t="shared" si="140"/>
        <v>3503159.4200000004</v>
      </c>
      <c r="AJ62" s="62">
        <f t="shared" si="140"/>
        <v>0</v>
      </c>
      <c r="AK62" s="62">
        <f t="shared" si="140"/>
        <v>17457</v>
      </c>
      <c r="AL62" s="62">
        <f t="shared" si="140"/>
        <v>0</v>
      </c>
      <c r="AM62" s="62">
        <f t="shared" si="140"/>
        <v>0</v>
      </c>
      <c r="AN62" s="62">
        <f t="shared" si="140"/>
        <v>0</v>
      </c>
      <c r="AO62" s="62">
        <f t="shared" si="140"/>
        <v>0</v>
      </c>
      <c r="AP62" s="62">
        <f t="shared" si="140"/>
        <v>0</v>
      </c>
      <c r="AQ62" s="62">
        <f t="shared" si="140"/>
        <v>0</v>
      </c>
      <c r="AR62" s="62">
        <f t="shared" si="140"/>
        <v>0</v>
      </c>
      <c r="AS62" s="62">
        <f t="shared" si="140"/>
        <v>0</v>
      </c>
      <c r="AT62" s="62">
        <f t="shared" si="140"/>
        <v>115599.9</v>
      </c>
      <c r="AU62" s="62">
        <f t="shared" si="140"/>
        <v>6551687.869999999</v>
      </c>
      <c r="AV62" s="62">
        <f t="shared" si="140"/>
        <v>0</v>
      </c>
      <c r="AW62" s="62">
        <f t="shared" si="140"/>
        <v>1071371.03</v>
      </c>
      <c r="AX62" s="62">
        <f t="shared" si="140"/>
        <v>0.08999999986917828</v>
      </c>
      <c r="AY62" s="62">
        <f t="shared" si="140"/>
        <v>17519.7</v>
      </c>
      <c r="AZ62" s="62">
        <f t="shared" si="140"/>
        <v>0</v>
      </c>
      <c r="BA62" s="62">
        <f t="shared" si="140"/>
        <v>0</v>
      </c>
      <c r="BB62" s="62">
        <f t="shared" si="140"/>
        <v>0</v>
      </c>
      <c r="BC62" s="62">
        <f t="shared" si="140"/>
        <v>0</v>
      </c>
      <c r="BD62" s="62">
        <f t="shared" si="140"/>
        <v>0</v>
      </c>
      <c r="BE62" s="62">
        <f t="shared" si="140"/>
        <v>0</v>
      </c>
      <c r="BF62" s="62">
        <f t="shared" si="140"/>
        <v>0</v>
      </c>
      <c r="BG62" s="62">
        <f t="shared" si="140"/>
        <v>0</v>
      </c>
      <c r="BH62" s="62">
        <f t="shared" si="140"/>
        <v>0</v>
      </c>
      <c r="BI62" s="62">
        <f t="shared" si="140"/>
        <v>0</v>
      </c>
      <c r="BJ62" s="62">
        <f t="shared" si="140"/>
        <v>0</v>
      </c>
      <c r="BK62" s="62">
        <f t="shared" si="140"/>
        <v>0</v>
      </c>
      <c r="BL62" s="62">
        <f t="shared" si="140"/>
        <v>0</v>
      </c>
      <c r="BM62" s="62">
        <f t="shared" si="140"/>
        <v>0</v>
      </c>
      <c r="BN62" s="62">
        <f t="shared" si="140"/>
        <v>0</v>
      </c>
      <c r="BO62" s="62">
        <f aca="true" t="shared" si="141" ref="BO62:CI62">BO9+BO11+BO22+BO27</f>
        <v>0</v>
      </c>
      <c r="BP62" s="62">
        <f t="shared" si="141"/>
        <v>0</v>
      </c>
      <c r="BQ62" s="62">
        <f t="shared" si="141"/>
        <v>0</v>
      </c>
      <c r="BR62" s="62">
        <f t="shared" si="141"/>
        <v>0</v>
      </c>
      <c r="BS62" s="62">
        <f t="shared" si="141"/>
        <v>0</v>
      </c>
      <c r="BT62" s="62">
        <f t="shared" si="141"/>
        <v>3636918.43</v>
      </c>
      <c r="BU62" s="62">
        <f t="shared" si="141"/>
        <v>21951.5</v>
      </c>
      <c r="BV62" s="62">
        <f t="shared" si="141"/>
        <v>0</v>
      </c>
      <c r="BW62" s="62">
        <f t="shared" si="141"/>
        <v>18550.9</v>
      </c>
      <c r="BX62" s="62">
        <f t="shared" si="141"/>
        <v>3677420.83</v>
      </c>
      <c r="BY62" s="62">
        <f t="shared" si="141"/>
        <v>2517194.1500000004</v>
      </c>
      <c r="BZ62" s="62">
        <f t="shared" si="141"/>
        <v>0</v>
      </c>
      <c r="CA62" s="62">
        <f t="shared" si="141"/>
        <v>1160226.68</v>
      </c>
      <c r="CB62" s="62">
        <f t="shared" si="141"/>
        <v>3677420.8299999996</v>
      </c>
      <c r="CC62" s="62">
        <f t="shared" si="141"/>
        <v>0</v>
      </c>
      <c r="CD62" s="62">
        <f t="shared" si="141"/>
        <v>-1056738.13</v>
      </c>
      <c r="CE62" s="62">
        <f t="shared" si="141"/>
        <v>-806738.13</v>
      </c>
      <c r="CF62" s="62">
        <f t="shared" si="141"/>
        <v>0</v>
      </c>
      <c r="CG62" s="62">
        <f t="shared" si="141"/>
        <v>6436087.969999999</v>
      </c>
      <c r="CH62" s="62">
        <f t="shared" si="141"/>
        <v>-23561.949999999997</v>
      </c>
      <c r="CI62" s="62">
        <f t="shared" si="141"/>
        <v>-8929.049999999996</v>
      </c>
      <c r="CJ62" s="153" t="e">
        <f t="shared" si="109"/>
        <v>#DIV/0!</v>
      </c>
      <c r="CK62" s="153" t="e">
        <f t="shared" si="110"/>
        <v>#DIV/0!</v>
      </c>
      <c r="CL62" s="154">
        <f t="shared" si="111"/>
        <v>-0.16418950998272325</v>
      </c>
      <c r="CM62" s="154">
        <f t="shared" si="112"/>
        <v>-0.12534603842588563</v>
      </c>
      <c r="CN62" s="154">
        <f t="shared" si="113"/>
        <v>-0.0036609117385945243</v>
      </c>
      <c r="CO62" s="154">
        <f t="shared" si="114"/>
        <v>-0.0013873411988183247</v>
      </c>
      <c r="CP62" s="154">
        <f t="shared" si="115"/>
        <v>0.399976492712741</v>
      </c>
      <c r="CQ62" s="154">
        <f t="shared" si="116"/>
        <v>0.399976492712741</v>
      </c>
      <c r="CR62" s="155">
        <f t="shared" si="117"/>
        <v>-1.3879649893330315</v>
      </c>
      <c r="CS62" s="156">
        <f t="shared" si="118"/>
        <v>1119724.2799999998</v>
      </c>
      <c r="CT62" s="156">
        <f t="shared" si="119"/>
        <v>7608426.089999998</v>
      </c>
      <c r="CU62" s="156">
        <f t="shared" si="120"/>
        <v>6551687.869999999</v>
      </c>
      <c r="CV62" s="156">
        <f t="shared" si="121"/>
        <v>-1056738.2199999988</v>
      </c>
      <c r="CW62" s="156">
        <f t="shared" si="122"/>
        <v>0</v>
      </c>
      <c r="CX62" s="156">
        <f t="shared" si="123"/>
        <v>-1056738.2199999988</v>
      </c>
      <c r="CY62" s="156">
        <f t="shared" si="124"/>
        <v>-1071371.1199999987</v>
      </c>
      <c r="CZ62" s="156">
        <f t="shared" si="125"/>
        <v>0</v>
      </c>
      <c r="DA62" s="156">
        <f t="shared" si="126"/>
        <v>14632.900000000001</v>
      </c>
      <c r="DB62" s="156">
        <f t="shared" si="127"/>
        <v>-1056738.2199999988</v>
      </c>
      <c r="DC62" s="156">
        <f t="shared" si="128"/>
        <v>-806738.2199999988</v>
      </c>
      <c r="DD62" s="156">
        <f t="shared" si="129"/>
        <v>-14632.900000000001</v>
      </c>
      <c r="DE62" s="156">
        <f t="shared" si="130"/>
        <v>-1071371.1199999987</v>
      </c>
      <c r="DF62" s="156">
        <f t="shared" si="131"/>
        <v>2597347.6</v>
      </c>
      <c r="DG62" s="156">
        <f t="shared" si="132"/>
        <v>93.6850970548862</v>
      </c>
      <c r="DH62" s="156">
        <f t="shared" si="133"/>
        <v>-1.9713813587684068</v>
      </c>
      <c r="DI62" s="156">
        <f t="shared" si="134"/>
        <v>217.31489290495315</v>
      </c>
      <c r="DJ62" s="157">
        <f t="shared" si="135"/>
        <v>0</v>
      </c>
      <c r="DK62" s="156">
        <f t="shared" si="136"/>
        <v>-88.41517904953136</v>
      </c>
      <c r="DL62" s="158">
        <f t="shared" si="137"/>
        <v>1119724.28</v>
      </c>
    </row>
    <row r="63" spans="1:116" ht="12.75">
      <c r="A63" s="3" t="s">
        <v>245</v>
      </c>
      <c r="B63" s="62">
        <f>B7+B8+B17</f>
        <v>1763</v>
      </c>
      <c r="C63" s="62">
        <f aca="true" t="shared" si="142" ref="C63:BN63">C7+C8+C17</f>
        <v>4994850</v>
      </c>
      <c r="D63" s="62">
        <f>(D7+D8+D17)/3</f>
        <v>2927.36</v>
      </c>
      <c r="E63" s="62">
        <f>(E7+E8+E17)/3</f>
        <v>81.64666666666666</v>
      </c>
      <c r="F63" s="62">
        <f>(F7+F8+F17)/3</f>
        <v>4</v>
      </c>
      <c r="G63" s="62">
        <f t="shared" si="142"/>
        <v>42720.95</v>
      </c>
      <c r="H63" s="62">
        <f t="shared" si="142"/>
        <v>13637.199999999999</v>
      </c>
      <c r="I63" s="62">
        <f t="shared" si="142"/>
        <v>3913.5</v>
      </c>
      <c r="J63" s="62">
        <f t="shared" si="142"/>
        <v>0</v>
      </c>
      <c r="K63" s="62">
        <f t="shared" si="142"/>
        <v>0</v>
      </c>
      <c r="L63" s="62">
        <f t="shared" si="142"/>
        <v>0</v>
      </c>
      <c r="M63" s="62">
        <f t="shared" si="142"/>
        <v>0</v>
      </c>
      <c r="N63" s="62">
        <f t="shared" si="142"/>
        <v>0</v>
      </c>
      <c r="O63" s="62">
        <f t="shared" si="142"/>
        <v>0</v>
      </c>
      <c r="P63" s="62">
        <f t="shared" si="142"/>
        <v>374784.35000000003</v>
      </c>
      <c r="Q63" s="62">
        <f t="shared" si="142"/>
        <v>0</v>
      </c>
      <c r="R63" s="62">
        <f t="shared" si="142"/>
        <v>0</v>
      </c>
      <c r="S63" s="62">
        <f t="shared" si="142"/>
        <v>0</v>
      </c>
      <c r="T63" s="62">
        <f t="shared" si="142"/>
        <v>0</v>
      </c>
      <c r="U63" s="62">
        <f t="shared" si="142"/>
        <v>0</v>
      </c>
      <c r="V63" s="62">
        <f t="shared" si="142"/>
        <v>0</v>
      </c>
      <c r="W63" s="62">
        <f t="shared" si="142"/>
        <v>0</v>
      </c>
      <c r="X63" s="62">
        <f t="shared" si="142"/>
        <v>0</v>
      </c>
      <c r="Y63" s="62">
        <f t="shared" si="142"/>
        <v>435056</v>
      </c>
      <c r="Z63" s="62">
        <f t="shared" si="142"/>
        <v>328914.6</v>
      </c>
      <c r="AA63" s="62">
        <f t="shared" si="142"/>
        <v>22123.9</v>
      </c>
      <c r="AB63" s="62">
        <f t="shared" si="142"/>
        <v>0</v>
      </c>
      <c r="AC63" s="62">
        <f t="shared" si="142"/>
        <v>22510.9</v>
      </c>
      <c r="AD63" s="62">
        <f t="shared" si="142"/>
        <v>0</v>
      </c>
      <c r="AE63" s="62">
        <f t="shared" si="142"/>
        <v>373549.39999999997</v>
      </c>
      <c r="AF63" s="62">
        <f t="shared" si="142"/>
        <v>0</v>
      </c>
      <c r="AG63" s="62">
        <f t="shared" si="142"/>
        <v>3491.7</v>
      </c>
      <c r="AH63" s="62">
        <f t="shared" si="142"/>
        <v>0</v>
      </c>
      <c r="AI63" s="62">
        <f t="shared" si="142"/>
        <v>65023.6</v>
      </c>
      <c r="AJ63" s="62">
        <f t="shared" si="142"/>
        <v>0</v>
      </c>
      <c r="AK63" s="62">
        <f t="shared" si="142"/>
        <v>0</v>
      </c>
      <c r="AL63" s="62">
        <f t="shared" si="142"/>
        <v>0</v>
      </c>
      <c r="AM63" s="62">
        <f t="shared" si="142"/>
        <v>0</v>
      </c>
      <c r="AN63" s="62">
        <f t="shared" si="142"/>
        <v>0</v>
      </c>
      <c r="AO63" s="62">
        <f t="shared" si="142"/>
        <v>0</v>
      </c>
      <c r="AP63" s="62">
        <f t="shared" si="142"/>
        <v>0</v>
      </c>
      <c r="AQ63" s="62">
        <f t="shared" si="142"/>
        <v>0</v>
      </c>
      <c r="AR63" s="62">
        <f t="shared" si="142"/>
        <v>0</v>
      </c>
      <c r="AS63" s="62">
        <f t="shared" si="142"/>
        <v>0</v>
      </c>
      <c r="AT63" s="62">
        <f t="shared" si="142"/>
        <v>0</v>
      </c>
      <c r="AU63" s="62">
        <f t="shared" si="142"/>
        <v>442064.69999999995</v>
      </c>
      <c r="AV63" s="62">
        <f t="shared" si="142"/>
        <v>11794.65</v>
      </c>
      <c r="AW63" s="62">
        <f t="shared" si="142"/>
        <v>4785.95</v>
      </c>
      <c r="AX63" s="62">
        <f t="shared" si="142"/>
        <v>6.093614501878619E-11</v>
      </c>
      <c r="AY63" s="62">
        <f t="shared" si="142"/>
        <v>0</v>
      </c>
      <c r="AZ63" s="62">
        <f t="shared" si="142"/>
        <v>0</v>
      </c>
      <c r="BA63" s="62">
        <f t="shared" si="142"/>
        <v>0</v>
      </c>
      <c r="BB63" s="62">
        <f t="shared" si="142"/>
        <v>0</v>
      </c>
      <c r="BC63" s="62">
        <f t="shared" si="142"/>
        <v>0</v>
      </c>
      <c r="BD63" s="62">
        <f t="shared" si="142"/>
        <v>0</v>
      </c>
      <c r="BE63" s="62">
        <f t="shared" si="142"/>
        <v>0</v>
      </c>
      <c r="BF63" s="62">
        <f t="shared" si="142"/>
        <v>0</v>
      </c>
      <c r="BG63" s="62">
        <f t="shared" si="142"/>
        <v>0</v>
      </c>
      <c r="BH63" s="62">
        <f t="shared" si="142"/>
        <v>0</v>
      </c>
      <c r="BI63" s="62">
        <f t="shared" si="142"/>
        <v>0</v>
      </c>
      <c r="BJ63" s="62">
        <f t="shared" si="142"/>
        <v>0</v>
      </c>
      <c r="BK63" s="62">
        <f t="shared" si="142"/>
        <v>0</v>
      </c>
      <c r="BL63" s="62">
        <f t="shared" si="142"/>
        <v>0</v>
      </c>
      <c r="BM63" s="62">
        <f t="shared" si="142"/>
        <v>0</v>
      </c>
      <c r="BN63" s="62">
        <f t="shared" si="142"/>
        <v>0</v>
      </c>
      <c r="BO63" s="62">
        <f aca="true" t="shared" si="143" ref="BO63:CI63">BO7+BO8+BO17</f>
        <v>0</v>
      </c>
      <c r="BP63" s="62">
        <f t="shared" si="143"/>
        <v>0</v>
      </c>
      <c r="BQ63" s="62">
        <f t="shared" si="143"/>
        <v>0</v>
      </c>
      <c r="BR63" s="62">
        <f t="shared" si="143"/>
        <v>0</v>
      </c>
      <c r="BS63" s="62">
        <f t="shared" si="143"/>
        <v>0</v>
      </c>
      <c r="BT63" s="62">
        <f t="shared" si="143"/>
        <v>673501.96</v>
      </c>
      <c r="BU63" s="62">
        <f t="shared" si="143"/>
        <v>45000</v>
      </c>
      <c r="BV63" s="62">
        <f t="shared" si="143"/>
        <v>0</v>
      </c>
      <c r="BW63" s="62">
        <f t="shared" si="143"/>
        <v>56063.5</v>
      </c>
      <c r="BX63" s="62">
        <f t="shared" si="143"/>
        <v>774565.46</v>
      </c>
      <c r="BY63" s="62">
        <f t="shared" si="143"/>
        <v>452775.20999999996</v>
      </c>
      <c r="BZ63" s="62">
        <f t="shared" si="143"/>
        <v>11755.15</v>
      </c>
      <c r="CA63" s="62">
        <f t="shared" si="143"/>
        <v>310035.1</v>
      </c>
      <c r="CB63" s="62">
        <f t="shared" si="143"/>
        <v>774565.46</v>
      </c>
      <c r="CC63" s="62">
        <f t="shared" si="143"/>
        <v>0</v>
      </c>
      <c r="CD63" s="62">
        <f t="shared" si="143"/>
        <v>7008.7</v>
      </c>
      <c r="CE63" s="62">
        <f t="shared" si="143"/>
        <v>7008.7</v>
      </c>
      <c r="CF63" s="62">
        <f t="shared" si="143"/>
        <v>0</v>
      </c>
      <c r="CG63" s="62">
        <f t="shared" si="143"/>
        <v>442064.69999999995</v>
      </c>
      <c r="CH63" s="62">
        <f t="shared" si="143"/>
        <v>421.8000000000002</v>
      </c>
      <c r="CI63" s="62">
        <f t="shared" si="143"/>
        <v>421.8000000000002</v>
      </c>
      <c r="CJ63" s="153" t="e">
        <f t="shared" si="109"/>
        <v>#DIV/0!</v>
      </c>
      <c r="CK63" s="153" t="e">
        <f t="shared" si="110"/>
        <v>#DIV/0!</v>
      </c>
      <c r="CL63" s="154">
        <f t="shared" si="111"/>
        <v>0.01585446655206806</v>
      </c>
      <c r="CM63" s="154">
        <f t="shared" si="112"/>
        <v>0.01585446655206806</v>
      </c>
      <c r="CN63" s="154">
        <f t="shared" si="113"/>
        <v>0.0009541589726571704</v>
      </c>
      <c r="CO63" s="154">
        <f t="shared" si="114"/>
        <v>0.0009541589726571704</v>
      </c>
      <c r="CP63" s="154">
        <f t="shared" si="115"/>
        <v>0</v>
      </c>
      <c r="CQ63" s="154">
        <f t="shared" si="116"/>
        <v>0</v>
      </c>
      <c r="CR63" s="155">
        <f t="shared" si="117"/>
        <v>31.493251244881364</v>
      </c>
      <c r="CS63" s="156">
        <f t="shared" si="118"/>
        <v>220726.75</v>
      </c>
      <c r="CT63" s="156">
        <f t="shared" si="119"/>
        <v>435056</v>
      </c>
      <c r="CU63" s="156">
        <f t="shared" si="120"/>
        <v>442064.69999999995</v>
      </c>
      <c r="CV63" s="156">
        <f t="shared" si="121"/>
        <v>7008.699999999953</v>
      </c>
      <c r="CW63" s="156">
        <f t="shared" si="122"/>
        <v>0</v>
      </c>
      <c r="CX63" s="156">
        <f t="shared" si="123"/>
        <v>7008.699999999953</v>
      </c>
      <c r="CY63" s="156">
        <f t="shared" si="124"/>
        <v>7008.699999999953</v>
      </c>
      <c r="CZ63" s="156">
        <f t="shared" si="125"/>
        <v>0</v>
      </c>
      <c r="DA63" s="156">
        <f t="shared" si="126"/>
        <v>0</v>
      </c>
      <c r="DB63" s="156">
        <f t="shared" si="127"/>
        <v>7008.699999999953</v>
      </c>
      <c r="DC63" s="156">
        <f t="shared" si="128"/>
        <v>7008.699999999953</v>
      </c>
      <c r="DD63" s="156">
        <f t="shared" si="129"/>
        <v>0</v>
      </c>
      <c r="DE63" s="156">
        <f t="shared" si="130"/>
        <v>7008.699999999953</v>
      </c>
      <c r="DF63" s="156">
        <f t="shared" si="131"/>
        <v>351038.5</v>
      </c>
      <c r="DG63" s="156">
        <f t="shared" si="132"/>
        <v>125.1995178672717</v>
      </c>
      <c r="DH63" s="156">
        <f t="shared" si="133"/>
        <v>0.23925127623369266</v>
      </c>
      <c r="DI63" s="156">
        <f t="shared" si="134"/>
        <v>199.11429381735678</v>
      </c>
      <c r="DJ63" s="157">
        <f t="shared" si="135"/>
        <v>0</v>
      </c>
      <c r="DK63" s="156">
        <f t="shared" si="136"/>
        <v>3.975439591605192</v>
      </c>
      <c r="DL63" s="158">
        <f t="shared" si="137"/>
        <v>208971.59999999998</v>
      </c>
    </row>
    <row r="64" spans="1:116" ht="12.75">
      <c r="A64" s="3" t="s">
        <v>250</v>
      </c>
      <c r="B64" s="62">
        <f>B3+B5+B6+B12+B13+B14+B15+B16+B18+B23+B28++B29+B30+B31</f>
        <v>8637</v>
      </c>
      <c r="C64" s="62">
        <f>C3+C5+C6+C12+C13+C14+C15+C16+C18+C23+C28++C29+C30+C31</f>
        <v>29042843</v>
      </c>
      <c r="D64" s="62">
        <f>(D3+D5+D6+D12+D13+D14+D15+D16+D18+D23+D28+D29+D30+D31)/14</f>
        <v>2719.702857142857</v>
      </c>
      <c r="E64" s="62">
        <f>(E3+E5+E6+E12+E13+E14+E15+E16+E18+E23+E28+E29+E30+E31)/14</f>
        <v>75.85642857142857</v>
      </c>
      <c r="F64" s="62">
        <f>(F3+F5+F6+F12+F13+F14+F15+F16+F18+F23+F28+F29+F30+F31)/14</f>
        <v>2.7142857142857144</v>
      </c>
      <c r="G64" s="62">
        <f>G3+G5+G6+G12+G13+G14+G15+G16+G18+G23+G28+G29+G30+G31</f>
        <v>186668.90000000002</v>
      </c>
      <c r="H64" s="62">
        <f aca="true" t="shared" si="144" ref="H64:BS64">H3+H5+H6+H12+H13+H14+H15+H16+H18+H23+H28+H29+H30+H31</f>
        <v>52559.75</v>
      </c>
      <c r="I64" s="62">
        <f t="shared" si="144"/>
        <v>3555.2000000000003</v>
      </c>
      <c r="J64" s="62">
        <f t="shared" si="144"/>
        <v>0</v>
      </c>
      <c r="K64" s="62">
        <f t="shared" si="144"/>
        <v>13000</v>
      </c>
      <c r="L64" s="62">
        <f t="shared" si="144"/>
        <v>0</v>
      </c>
      <c r="M64" s="62">
        <f t="shared" si="144"/>
        <v>13000</v>
      </c>
      <c r="N64" s="62">
        <f t="shared" si="144"/>
        <v>1600</v>
      </c>
      <c r="O64" s="62">
        <f t="shared" si="144"/>
        <v>9420.9</v>
      </c>
      <c r="P64" s="62">
        <f t="shared" si="144"/>
        <v>1970538.5</v>
      </c>
      <c r="Q64" s="62">
        <f t="shared" si="144"/>
        <v>654175.85</v>
      </c>
      <c r="R64" s="62">
        <f t="shared" si="144"/>
        <v>0</v>
      </c>
      <c r="S64" s="62">
        <f t="shared" si="144"/>
        <v>0</v>
      </c>
      <c r="T64" s="62">
        <f t="shared" si="144"/>
        <v>0</v>
      </c>
      <c r="U64" s="62">
        <f t="shared" si="144"/>
        <v>0</v>
      </c>
      <c r="V64" s="62">
        <f t="shared" si="144"/>
        <v>0</v>
      </c>
      <c r="W64" s="62">
        <f t="shared" si="144"/>
        <v>0</v>
      </c>
      <c r="X64" s="62">
        <f t="shared" si="144"/>
        <v>38.3</v>
      </c>
      <c r="Y64" s="62">
        <f t="shared" si="144"/>
        <v>2891557.4</v>
      </c>
      <c r="Z64" s="62">
        <f t="shared" si="144"/>
        <v>1317334.2999999998</v>
      </c>
      <c r="AA64" s="62">
        <f t="shared" si="144"/>
        <v>167454</v>
      </c>
      <c r="AB64" s="62">
        <f t="shared" si="144"/>
        <v>0</v>
      </c>
      <c r="AC64" s="62">
        <f t="shared" si="144"/>
        <v>104801.29999999999</v>
      </c>
      <c r="AD64" s="62">
        <f t="shared" si="144"/>
        <v>0</v>
      </c>
      <c r="AE64" s="62">
        <f t="shared" si="144"/>
        <v>1589589.6</v>
      </c>
      <c r="AF64" s="62">
        <f t="shared" si="144"/>
        <v>0</v>
      </c>
      <c r="AG64" s="62">
        <f t="shared" si="144"/>
        <v>52503.75000000001</v>
      </c>
      <c r="AH64" s="62">
        <f t="shared" si="144"/>
        <v>0</v>
      </c>
      <c r="AI64" s="62">
        <f t="shared" si="144"/>
        <v>878216</v>
      </c>
      <c r="AJ64" s="62">
        <f t="shared" si="144"/>
        <v>0</v>
      </c>
      <c r="AK64" s="62">
        <f t="shared" si="144"/>
        <v>4655</v>
      </c>
      <c r="AL64" s="62">
        <f t="shared" si="144"/>
        <v>26.550000000000004</v>
      </c>
      <c r="AM64" s="62">
        <f t="shared" si="144"/>
        <v>0</v>
      </c>
      <c r="AN64" s="62">
        <f t="shared" si="144"/>
        <v>0</v>
      </c>
      <c r="AO64" s="62">
        <f t="shared" si="144"/>
        <v>0</v>
      </c>
      <c r="AP64" s="62">
        <f t="shared" si="144"/>
        <v>0</v>
      </c>
      <c r="AQ64" s="62">
        <f t="shared" si="144"/>
        <v>0</v>
      </c>
      <c r="AR64" s="62">
        <f t="shared" si="144"/>
        <v>0</v>
      </c>
      <c r="AS64" s="62">
        <f t="shared" si="144"/>
        <v>0</v>
      </c>
      <c r="AT64" s="62">
        <f t="shared" si="144"/>
        <v>524.3</v>
      </c>
      <c r="AU64" s="62">
        <f t="shared" si="144"/>
        <v>2525515.1999999997</v>
      </c>
      <c r="AV64" s="62">
        <f t="shared" si="144"/>
        <v>0</v>
      </c>
      <c r="AW64" s="62">
        <f t="shared" si="144"/>
        <v>366042.2</v>
      </c>
      <c r="AX64" s="62">
        <f t="shared" si="144"/>
        <v>2.892193151637912E-10</v>
      </c>
      <c r="AY64" s="62">
        <f t="shared" si="144"/>
        <v>0</v>
      </c>
      <c r="AZ64" s="62">
        <f t="shared" si="144"/>
        <v>0</v>
      </c>
      <c r="BA64" s="62">
        <f t="shared" si="144"/>
        <v>0</v>
      </c>
      <c r="BB64" s="62">
        <f t="shared" si="144"/>
        <v>0</v>
      </c>
      <c r="BC64" s="62">
        <f t="shared" si="144"/>
        <v>0</v>
      </c>
      <c r="BD64" s="62">
        <f t="shared" si="144"/>
        <v>0</v>
      </c>
      <c r="BE64" s="62">
        <f t="shared" si="144"/>
        <v>0</v>
      </c>
      <c r="BF64" s="62">
        <f t="shared" si="144"/>
        <v>0</v>
      </c>
      <c r="BG64" s="62">
        <f t="shared" si="144"/>
        <v>0</v>
      </c>
      <c r="BH64" s="62">
        <f t="shared" si="144"/>
        <v>0</v>
      </c>
      <c r="BI64" s="62">
        <f t="shared" si="144"/>
        <v>0</v>
      </c>
      <c r="BJ64" s="62">
        <f t="shared" si="144"/>
        <v>0</v>
      </c>
      <c r="BK64" s="62">
        <f t="shared" si="144"/>
        <v>0</v>
      </c>
      <c r="BL64" s="62">
        <f t="shared" si="144"/>
        <v>0</v>
      </c>
      <c r="BM64" s="62">
        <f t="shared" si="144"/>
        <v>0</v>
      </c>
      <c r="BN64" s="62">
        <f t="shared" si="144"/>
        <v>0</v>
      </c>
      <c r="BO64" s="62">
        <f t="shared" si="144"/>
        <v>0</v>
      </c>
      <c r="BP64" s="62">
        <f t="shared" si="144"/>
        <v>0</v>
      </c>
      <c r="BQ64" s="62">
        <f t="shared" si="144"/>
        <v>0</v>
      </c>
      <c r="BR64" s="62">
        <f t="shared" si="144"/>
        <v>0</v>
      </c>
      <c r="BS64" s="62">
        <f t="shared" si="144"/>
        <v>0</v>
      </c>
      <c r="BT64" s="62">
        <f aca="true" t="shared" si="145" ref="BT64:CI64">BT3+BT5+BT6+BT12+BT13+BT14+BT15+BT16+BT18+BT23+BT28+BT29+BT30+BT31</f>
        <v>4405776.369999999</v>
      </c>
      <c r="BU64" s="62">
        <f t="shared" si="145"/>
        <v>367001</v>
      </c>
      <c r="BV64" s="62">
        <f t="shared" si="145"/>
        <v>0</v>
      </c>
      <c r="BW64" s="62">
        <f t="shared" si="145"/>
        <v>0</v>
      </c>
      <c r="BX64" s="62">
        <f t="shared" si="145"/>
        <v>4772777.37</v>
      </c>
      <c r="BY64" s="62">
        <f t="shared" si="145"/>
        <v>1339396.15</v>
      </c>
      <c r="BZ64" s="62">
        <f t="shared" si="145"/>
        <v>0</v>
      </c>
      <c r="CA64" s="62">
        <f t="shared" si="145"/>
        <v>3433381.6699999995</v>
      </c>
      <c r="CB64" s="62">
        <f t="shared" si="145"/>
        <v>4772777.82</v>
      </c>
      <c r="CC64" s="62">
        <f t="shared" si="145"/>
        <v>-0.44999999995343387</v>
      </c>
      <c r="CD64" s="62">
        <f t="shared" si="145"/>
        <v>-353042.2</v>
      </c>
      <c r="CE64" s="62">
        <f t="shared" si="145"/>
        <v>-353042.2</v>
      </c>
      <c r="CF64" s="62">
        <f t="shared" si="145"/>
        <v>0</v>
      </c>
      <c r="CG64" s="62">
        <f t="shared" si="145"/>
        <v>2524990.8999999994</v>
      </c>
      <c r="CH64" s="62">
        <f t="shared" si="145"/>
        <v>-48948.55000000001</v>
      </c>
      <c r="CI64" s="62">
        <f t="shared" si="145"/>
        <v>-35948.55000000001</v>
      </c>
      <c r="CJ64" s="153" t="e">
        <f t="shared" si="109"/>
        <v>#DIV/0!</v>
      </c>
      <c r="CK64" s="153" t="e">
        <f t="shared" si="110"/>
        <v>#DIV/0!</v>
      </c>
      <c r="CL64" s="154">
        <f t="shared" si="111"/>
        <v>-0.13981919697215545</v>
      </c>
      <c r="CM64" s="154">
        <f t="shared" si="112"/>
        <v>-0.13981919697215545</v>
      </c>
      <c r="CN64" s="154">
        <f t="shared" si="113"/>
        <v>-0.019385634221493638</v>
      </c>
      <c r="CO64" s="154">
        <f t="shared" si="114"/>
        <v>-0.014237100814897994</v>
      </c>
      <c r="CP64" s="154">
        <f t="shared" si="115"/>
        <v>0.034210436288325555</v>
      </c>
      <c r="CQ64" s="154">
        <f t="shared" si="116"/>
        <v>0.034210436288325555</v>
      </c>
      <c r="CR64" s="155">
        <f t="shared" si="117"/>
        <v>-8.68559118428335</v>
      </c>
      <c r="CS64" s="156">
        <f t="shared" si="118"/>
        <v>3066380.2199999993</v>
      </c>
      <c r="CT64" s="156">
        <f t="shared" si="119"/>
        <v>2878557.4</v>
      </c>
      <c r="CU64" s="156">
        <f t="shared" si="120"/>
        <v>2525515.1999999997</v>
      </c>
      <c r="CV64" s="156">
        <f t="shared" si="121"/>
        <v>-353042.2000000002</v>
      </c>
      <c r="CW64" s="156">
        <f t="shared" si="122"/>
        <v>0</v>
      </c>
      <c r="CX64" s="156">
        <f t="shared" si="123"/>
        <v>-353042.2000000002</v>
      </c>
      <c r="CY64" s="156">
        <f t="shared" si="124"/>
        <v>-366042.2000000002</v>
      </c>
      <c r="CZ64" s="156">
        <f t="shared" si="125"/>
        <v>0</v>
      </c>
      <c r="DA64" s="156">
        <f t="shared" si="126"/>
        <v>13000</v>
      </c>
      <c r="DB64" s="156">
        <f t="shared" si="127"/>
        <v>-353042.2000000002</v>
      </c>
      <c r="DC64" s="156">
        <f t="shared" si="128"/>
        <v>-353042.2000000002</v>
      </c>
      <c r="DD64" s="156">
        <f t="shared" si="129"/>
        <v>-13000</v>
      </c>
      <c r="DE64" s="156">
        <f t="shared" si="130"/>
        <v>-366042.2000000002</v>
      </c>
      <c r="DF64" s="156">
        <f t="shared" si="131"/>
        <v>1484788.2999999998</v>
      </c>
      <c r="DG64" s="156">
        <f t="shared" si="132"/>
        <v>355.02839180270917</v>
      </c>
      <c r="DH64" s="156">
        <f t="shared" si="133"/>
        <v>-5.667309250897303</v>
      </c>
      <c r="DI64" s="156">
        <f t="shared" si="134"/>
        <v>171.91018872293617</v>
      </c>
      <c r="DJ64" s="157">
        <f t="shared" si="135"/>
        <v>0</v>
      </c>
      <c r="DK64" s="156">
        <f t="shared" si="136"/>
        <v>-40.87555864304738</v>
      </c>
      <c r="DL64" s="158">
        <f t="shared" si="137"/>
        <v>3066380.6699999995</v>
      </c>
    </row>
    <row r="65" spans="1:116" ht="12.75">
      <c r="A65" s="3" t="s">
        <v>236</v>
      </c>
      <c r="B65" s="62">
        <f>SUM(B60:B64)</f>
        <v>38283</v>
      </c>
      <c r="C65" s="62">
        <f aca="true" t="shared" si="146" ref="C65:BN65">SUM(C60:C64)</f>
        <v>137257180</v>
      </c>
      <c r="D65" s="62">
        <f>MEDIAN(D60:D64)</f>
        <v>2970.02</v>
      </c>
      <c r="E65" s="62">
        <f>MEDIAN(E60:E64)</f>
        <v>82.83666666666666</v>
      </c>
      <c r="F65" s="62">
        <f>MEDIAN(F60:F64)</f>
        <v>3.25</v>
      </c>
      <c r="G65" s="62">
        <f t="shared" si="146"/>
        <v>1122347.15</v>
      </c>
      <c r="H65" s="62">
        <f t="shared" si="146"/>
        <v>402363.8</v>
      </c>
      <c r="I65" s="62">
        <f t="shared" si="146"/>
        <v>54146.59999999999</v>
      </c>
      <c r="J65" s="62">
        <f t="shared" si="146"/>
        <v>14411.5</v>
      </c>
      <c r="K65" s="62">
        <f t="shared" si="146"/>
        <v>27632.9</v>
      </c>
      <c r="L65" s="62">
        <f t="shared" si="146"/>
        <v>0</v>
      </c>
      <c r="M65" s="62">
        <f t="shared" si="146"/>
        <v>27632.9</v>
      </c>
      <c r="N65" s="62">
        <f t="shared" si="146"/>
        <v>1600</v>
      </c>
      <c r="O65" s="62">
        <f t="shared" si="146"/>
        <v>11625.55</v>
      </c>
      <c r="P65" s="62">
        <f t="shared" si="146"/>
        <v>15184714.15</v>
      </c>
      <c r="Q65" s="62">
        <f t="shared" si="146"/>
        <v>654175.85</v>
      </c>
      <c r="R65" s="62">
        <f t="shared" si="146"/>
        <v>0</v>
      </c>
      <c r="S65" s="62">
        <f t="shared" si="146"/>
        <v>250000</v>
      </c>
      <c r="T65" s="62">
        <f t="shared" si="146"/>
        <v>0</v>
      </c>
      <c r="U65" s="62">
        <f t="shared" si="146"/>
        <v>0</v>
      </c>
      <c r="V65" s="62">
        <f t="shared" si="146"/>
        <v>0</v>
      </c>
      <c r="W65" s="62">
        <f t="shared" si="146"/>
        <v>250000</v>
      </c>
      <c r="X65" s="62">
        <f t="shared" si="146"/>
        <v>232072.28999999998</v>
      </c>
      <c r="Y65" s="62">
        <f t="shared" si="146"/>
        <v>17955089.79</v>
      </c>
      <c r="Z65" s="62">
        <f t="shared" si="146"/>
        <v>6214094.399999999</v>
      </c>
      <c r="AA65" s="62">
        <f t="shared" si="146"/>
        <v>961697.7000000001</v>
      </c>
      <c r="AB65" s="62">
        <f t="shared" si="146"/>
        <v>0</v>
      </c>
      <c r="AC65" s="62">
        <f t="shared" si="146"/>
        <v>697793.75</v>
      </c>
      <c r="AD65" s="62">
        <f t="shared" si="146"/>
        <v>0</v>
      </c>
      <c r="AE65" s="62">
        <f t="shared" si="146"/>
        <v>7873585.85</v>
      </c>
      <c r="AF65" s="62">
        <f t="shared" si="146"/>
        <v>0</v>
      </c>
      <c r="AG65" s="62">
        <f t="shared" si="146"/>
        <v>189205.05</v>
      </c>
      <c r="AH65" s="62">
        <f t="shared" si="146"/>
        <v>5749.55</v>
      </c>
      <c r="AI65" s="62">
        <f t="shared" si="146"/>
        <v>7958183.470000001</v>
      </c>
      <c r="AJ65" s="62">
        <f t="shared" si="146"/>
        <v>-200</v>
      </c>
      <c r="AK65" s="62">
        <f t="shared" si="146"/>
        <v>221864.05</v>
      </c>
      <c r="AL65" s="62">
        <f t="shared" si="146"/>
        <v>19477.899999999998</v>
      </c>
      <c r="AM65" s="62">
        <f t="shared" si="146"/>
        <v>0</v>
      </c>
      <c r="AN65" s="62">
        <f t="shared" si="146"/>
        <v>0</v>
      </c>
      <c r="AO65" s="62">
        <f t="shared" si="146"/>
        <v>0</v>
      </c>
      <c r="AP65" s="62">
        <f t="shared" si="146"/>
        <v>0</v>
      </c>
      <c r="AQ65" s="62">
        <f t="shared" si="146"/>
        <v>0</v>
      </c>
      <c r="AR65" s="62">
        <f t="shared" si="146"/>
        <v>0</v>
      </c>
      <c r="AS65" s="62">
        <f t="shared" si="146"/>
        <v>0</v>
      </c>
      <c r="AT65" s="62">
        <f t="shared" si="146"/>
        <v>232558.19999999998</v>
      </c>
      <c r="AU65" s="62">
        <f t="shared" si="146"/>
        <v>16494674.519999998</v>
      </c>
      <c r="AV65" s="62">
        <f t="shared" si="146"/>
        <v>155584.35</v>
      </c>
      <c r="AW65" s="62">
        <f t="shared" si="146"/>
        <v>1615999.53</v>
      </c>
      <c r="AX65" s="62">
        <f t="shared" si="146"/>
        <v>0.09000000027117494</v>
      </c>
      <c r="AY65" s="62">
        <f t="shared" si="146"/>
        <v>19220.100000000002</v>
      </c>
      <c r="AZ65" s="62">
        <f t="shared" si="146"/>
        <v>0</v>
      </c>
      <c r="BA65" s="62">
        <f t="shared" si="146"/>
        <v>0</v>
      </c>
      <c r="BB65" s="62">
        <f t="shared" si="146"/>
        <v>0</v>
      </c>
      <c r="BC65" s="62">
        <f t="shared" si="146"/>
        <v>0</v>
      </c>
      <c r="BD65" s="62">
        <f t="shared" si="146"/>
        <v>0</v>
      </c>
      <c r="BE65" s="62">
        <f t="shared" si="146"/>
        <v>0</v>
      </c>
      <c r="BF65" s="62">
        <f t="shared" si="146"/>
        <v>0</v>
      </c>
      <c r="BG65" s="62">
        <f t="shared" si="146"/>
        <v>0</v>
      </c>
      <c r="BH65" s="62">
        <f t="shared" si="146"/>
        <v>0</v>
      </c>
      <c r="BI65" s="62">
        <f t="shared" si="146"/>
        <v>0</v>
      </c>
      <c r="BJ65" s="62">
        <f t="shared" si="146"/>
        <v>0</v>
      </c>
      <c r="BK65" s="62">
        <f t="shared" si="146"/>
        <v>0</v>
      </c>
      <c r="BL65" s="62">
        <f t="shared" si="146"/>
        <v>0</v>
      </c>
      <c r="BM65" s="62">
        <f t="shared" si="146"/>
        <v>0</v>
      </c>
      <c r="BN65" s="62">
        <f t="shared" si="146"/>
        <v>0</v>
      </c>
      <c r="BO65" s="62">
        <f aca="true" t="shared" si="147" ref="BO65:CI65">SUM(BO60:BO64)</f>
        <v>0</v>
      </c>
      <c r="BP65" s="62">
        <f t="shared" si="147"/>
        <v>0</v>
      </c>
      <c r="BQ65" s="62">
        <f t="shared" si="147"/>
        <v>0</v>
      </c>
      <c r="BR65" s="62">
        <f t="shared" si="147"/>
        <v>0</v>
      </c>
      <c r="BS65" s="62">
        <f t="shared" si="147"/>
        <v>0</v>
      </c>
      <c r="BT65" s="62">
        <f t="shared" si="147"/>
        <v>14432729.26</v>
      </c>
      <c r="BU65" s="62">
        <f t="shared" si="147"/>
        <v>433952.5</v>
      </c>
      <c r="BV65" s="62">
        <f t="shared" si="147"/>
        <v>0</v>
      </c>
      <c r="BW65" s="62">
        <f t="shared" si="147"/>
        <v>74614.4</v>
      </c>
      <c r="BX65" s="62">
        <f t="shared" si="147"/>
        <v>14941296.160000004</v>
      </c>
      <c r="BY65" s="62">
        <f t="shared" si="147"/>
        <v>6744683.99</v>
      </c>
      <c r="BZ65" s="62">
        <f t="shared" si="147"/>
        <v>31755.15</v>
      </c>
      <c r="CA65" s="62">
        <f t="shared" si="147"/>
        <v>8164857.469999999</v>
      </c>
      <c r="CB65" s="62">
        <f t="shared" si="147"/>
        <v>14941296.61</v>
      </c>
      <c r="CC65" s="62">
        <f t="shared" si="147"/>
        <v>-0.44999999995343387</v>
      </c>
      <c r="CD65" s="62">
        <f t="shared" si="147"/>
        <v>-1432782.2799999998</v>
      </c>
      <c r="CE65" s="62">
        <f t="shared" si="147"/>
        <v>-1182782.28</v>
      </c>
      <c r="CF65" s="62">
        <f t="shared" si="147"/>
        <v>0</v>
      </c>
      <c r="CG65" s="62">
        <f t="shared" si="147"/>
        <v>16262116.319999997</v>
      </c>
      <c r="CH65" s="62">
        <f t="shared" si="147"/>
        <v>-110088.79999999999</v>
      </c>
      <c r="CI65" s="62">
        <f t="shared" si="147"/>
        <v>-82455.9</v>
      </c>
      <c r="CJ65" s="153" t="e">
        <f t="shared" si="109"/>
        <v>#DIV/0!</v>
      </c>
      <c r="CK65" s="153" t="e">
        <f t="shared" si="110"/>
        <v>#DIV/0!</v>
      </c>
      <c r="CL65" s="154">
        <f t="shared" si="111"/>
        <v>-0.08810552401706102</v>
      </c>
      <c r="CM65" s="154">
        <f t="shared" si="112"/>
        <v>-0.07273237115795027</v>
      </c>
      <c r="CN65" s="154">
        <f t="shared" si="113"/>
        <v>-0.006769647801904298</v>
      </c>
      <c r="CO65" s="154">
        <f t="shared" si="114"/>
        <v>-0.0050704286193422096</v>
      </c>
      <c r="CP65" s="154">
        <f t="shared" si="115"/>
        <v>0.05986519504299746</v>
      </c>
      <c r="CQ65" s="154">
        <f t="shared" si="116"/>
        <v>0.05986519504299746</v>
      </c>
      <c r="CR65" s="155">
        <f t="shared" si="117"/>
        <v>-6.499966561893368</v>
      </c>
      <c r="CS65" s="156">
        <f t="shared" si="118"/>
        <v>7688045.27</v>
      </c>
      <c r="CT65" s="156">
        <f t="shared" si="119"/>
        <v>17927456.89</v>
      </c>
      <c r="CU65" s="156">
        <f t="shared" si="120"/>
        <v>16494674.519999998</v>
      </c>
      <c r="CV65" s="156">
        <f t="shared" si="121"/>
        <v>-1432782.370000003</v>
      </c>
      <c r="CW65" s="156">
        <f t="shared" si="122"/>
        <v>0</v>
      </c>
      <c r="CX65" s="156">
        <f t="shared" si="123"/>
        <v>-1432782.370000003</v>
      </c>
      <c r="CY65" s="156">
        <f t="shared" si="124"/>
        <v>-1460415.2700000028</v>
      </c>
      <c r="CZ65" s="156">
        <f t="shared" si="125"/>
        <v>0</v>
      </c>
      <c r="DA65" s="156">
        <f t="shared" si="126"/>
        <v>27632.9</v>
      </c>
      <c r="DB65" s="156">
        <f t="shared" si="127"/>
        <v>-1432782.370000003</v>
      </c>
      <c r="DC65" s="156">
        <f t="shared" si="128"/>
        <v>-1182782.370000003</v>
      </c>
      <c r="DD65" s="156">
        <f t="shared" si="129"/>
        <v>-27632.9</v>
      </c>
      <c r="DE65" s="156">
        <f t="shared" si="130"/>
        <v>-1460415.2700000028</v>
      </c>
      <c r="DF65" s="156">
        <f t="shared" si="131"/>
        <v>7175792.1</v>
      </c>
      <c r="DG65" s="156">
        <f t="shared" si="132"/>
        <v>200.82138991197135</v>
      </c>
      <c r="DH65" s="156">
        <f t="shared" si="133"/>
        <v>-2.8756576025912284</v>
      </c>
      <c r="DI65" s="156">
        <f t="shared" si="134"/>
        <v>187.4406943029543</v>
      </c>
      <c r="DJ65" s="157">
        <f t="shared" si="135"/>
        <v>0</v>
      </c>
      <c r="DK65" s="156">
        <f t="shared" si="136"/>
        <v>-37.42607345296876</v>
      </c>
      <c r="DL65" s="158">
        <f t="shared" si="137"/>
        <v>7656290.569999998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1999</oddHeader>
    <oddFooter>&amp;L&amp;8BHP Bern&amp;R&amp;8&amp;F/&amp;A/&amp;Pvon &amp;N</oddFooter>
  </headerFooter>
  <colBreaks count="1" manualBreakCount="1"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2"/>
  <dimension ref="A1:EN65"/>
  <sheetViews>
    <sheetView workbookViewId="0" topLeftCell="A1">
      <pane xSplit="6" ySplit="2" topLeftCell="G3" activePane="bottomRight" state="frozen"/>
      <selection pane="topLeft" activeCell="N5" sqref="N5"/>
      <selection pane="topRight" activeCell="N5" sqref="N5"/>
      <selection pane="bottomLeft" activeCell="N5" sqref="N5"/>
      <selection pane="bottomRight" activeCell="F4" sqref="F4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281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9" width="13.140625" style="0" customWidth="1"/>
    <col min="90" max="99" width="12.421875" style="0" customWidth="1"/>
    <col min="100" max="100" width="14.28125" style="0" customWidth="1"/>
    <col min="101" max="119" width="12.421875" style="0" customWidth="1"/>
    <col min="120" max="120" width="11.57421875" style="0" customWidth="1"/>
  </cols>
  <sheetData>
    <row r="1" spans="1:122" s="2" customFormat="1" ht="15.75" customHeight="1" thickBot="1">
      <c r="A1" s="48"/>
      <c r="B1" s="23" t="s">
        <v>247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137</v>
      </c>
      <c r="BG1" s="21"/>
      <c r="BH1" s="21"/>
      <c r="BI1" s="21"/>
      <c r="BJ1" s="21"/>
      <c r="BK1" s="21"/>
      <c r="BL1" s="21" t="s">
        <v>137</v>
      </c>
      <c r="BM1" s="21"/>
      <c r="BN1" s="21"/>
      <c r="BO1" s="21"/>
      <c r="BP1" s="21"/>
      <c r="BQ1" s="21" t="s">
        <v>137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</row>
    <row r="2" spans="1:144" s="1" customFormat="1" ht="89.25" customHeight="1">
      <c r="A2" s="49"/>
      <c r="B2" s="40" t="s">
        <v>253</v>
      </c>
      <c r="C2" s="20" t="s">
        <v>37</v>
      </c>
      <c r="D2" s="20" t="s">
        <v>68</v>
      </c>
      <c r="E2" s="20" t="s">
        <v>52</v>
      </c>
      <c r="F2" s="133" t="s">
        <v>248</v>
      </c>
      <c r="G2" s="128" t="s">
        <v>214</v>
      </c>
      <c r="H2" s="54" t="s">
        <v>76</v>
      </c>
      <c r="I2" s="54" t="s">
        <v>77</v>
      </c>
      <c r="J2" s="54" t="s">
        <v>78</v>
      </c>
      <c r="K2" s="54" t="s">
        <v>79</v>
      </c>
      <c r="L2" s="54" t="s">
        <v>80</v>
      </c>
      <c r="M2" s="54" t="s">
        <v>81</v>
      </c>
      <c r="N2" s="54" t="s">
        <v>82</v>
      </c>
      <c r="O2" s="54" t="s">
        <v>83</v>
      </c>
      <c r="P2" s="54" t="s">
        <v>84</v>
      </c>
      <c r="Q2" s="54" t="s">
        <v>85</v>
      </c>
      <c r="R2" s="54" t="s">
        <v>86</v>
      </c>
      <c r="S2" s="54" t="s">
        <v>87</v>
      </c>
      <c r="T2" s="54" t="s">
        <v>88</v>
      </c>
      <c r="U2" s="54" t="s">
        <v>89</v>
      </c>
      <c r="V2" s="54" t="s">
        <v>90</v>
      </c>
      <c r="W2" s="54" t="s">
        <v>91</v>
      </c>
      <c r="X2" s="54" t="s">
        <v>92</v>
      </c>
      <c r="Y2" s="54" t="s">
        <v>93</v>
      </c>
      <c r="Z2" s="54" t="s">
        <v>94</v>
      </c>
      <c r="AA2" s="54" t="s">
        <v>95</v>
      </c>
      <c r="AB2" s="54" t="s">
        <v>96</v>
      </c>
      <c r="AC2" s="54" t="s">
        <v>213</v>
      </c>
      <c r="AD2" s="54" t="s">
        <v>97</v>
      </c>
      <c r="AE2" s="54" t="s">
        <v>98</v>
      </c>
      <c r="AF2" s="54" t="s">
        <v>99</v>
      </c>
      <c r="AG2" s="54" t="s">
        <v>100</v>
      </c>
      <c r="AH2" s="54" t="s">
        <v>101</v>
      </c>
      <c r="AI2" s="54" t="s">
        <v>102</v>
      </c>
      <c r="AJ2" s="54" t="s">
        <v>103</v>
      </c>
      <c r="AK2" s="54" t="s">
        <v>104</v>
      </c>
      <c r="AL2" s="54" t="s">
        <v>105</v>
      </c>
      <c r="AM2" s="54" t="s">
        <v>106</v>
      </c>
      <c r="AN2" s="36" t="s">
        <v>107</v>
      </c>
      <c r="AO2" s="36" t="s">
        <v>108</v>
      </c>
      <c r="AP2" s="36" t="s">
        <v>109</v>
      </c>
      <c r="AQ2" s="36" t="s">
        <v>110</v>
      </c>
      <c r="AR2" s="36" t="s">
        <v>111</v>
      </c>
      <c r="AS2" s="36" t="s">
        <v>112</v>
      </c>
      <c r="AT2" s="36" t="s">
        <v>113</v>
      </c>
      <c r="AU2" s="36" t="s">
        <v>114</v>
      </c>
      <c r="AV2" s="36" t="s">
        <v>115</v>
      </c>
      <c r="AW2" s="36" t="s">
        <v>116</v>
      </c>
      <c r="AX2" s="36" t="s">
        <v>117</v>
      </c>
      <c r="AY2" s="54" t="s">
        <v>138</v>
      </c>
      <c r="AZ2" s="54" t="s">
        <v>118</v>
      </c>
      <c r="BA2" s="54" t="s">
        <v>119</v>
      </c>
      <c r="BB2" s="54" t="s">
        <v>120</v>
      </c>
      <c r="BC2" s="54" t="s">
        <v>121</v>
      </c>
      <c r="BD2" s="54" t="s">
        <v>122</v>
      </c>
      <c r="BE2" s="54" t="s">
        <v>123</v>
      </c>
      <c r="BF2" s="54" t="s">
        <v>124</v>
      </c>
      <c r="BG2" s="54" t="s">
        <v>125</v>
      </c>
      <c r="BH2" s="54" t="s">
        <v>126</v>
      </c>
      <c r="BI2" s="54" t="s">
        <v>127</v>
      </c>
      <c r="BJ2" s="54" t="s">
        <v>128</v>
      </c>
      <c r="BK2" s="54" t="s">
        <v>129</v>
      </c>
      <c r="BL2" s="54" t="s">
        <v>131</v>
      </c>
      <c r="BM2" s="54" t="s">
        <v>130</v>
      </c>
      <c r="BN2" s="54" t="s">
        <v>132</v>
      </c>
      <c r="BO2" s="54" t="s">
        <v>133</v>
      </c>
      <c r="BP2" s="54" t="s">
        <v>134</v>
      </c>
      <c r="BQ2" s="54" t="s">
        <v>135</v>
      </c>
      <c r="BR2" s="54" t="s">
        <v>136</v>
      </c>
      <c r="BS2" s="54" t="s">
        <v>117</v>
      </c>
      <c r="BT2" s="36" t="s">
        <v>139</v>
      </c>
      <c r="BU2" s="36" t="s">
        <v>140</v>
      </c>
      <c r="BV2" s="36" t="s">
        <v>145</v>
      </c>
      <c r="BW2" s="36" t="s">
        <v>141</v>
      </c>
      <c r="BX2" s="36" t="s">
        <v>142</v>
      </c>
      <c r="BY2" s="36" t="s">
        <v>143</v>
      </c>
      <c r="BZ2" s="36" t="s">
        <v>144</v>
      </c>
      <c r="CA2" s="36" t="s">
        <v>146</v>
      </c>
      <c r="CB2" s="36" t="s">
        <v>147</v>
      </c>
      <c r="CC2" s="36" t="s">
        <v>117</v>
      </c>
      <c r="CD2" s="129" t="s">
        <v>148</v>
      </c>
      <c r="CE2" s="129" t="s">
        <v>149</v>
      </c>
      <c r="CF2" s="129" t="s">
        <v>60</v>
      </c>
      <c r="CG2" s="129" t="s">
        <v>150</v>
      </c>
      <c r="CH2" s="129" t="s">
        <v>151</v>
      </c>
      <c r="CI2" s="129" t="s">
        <v>152</v>
      </c>
      <c r="CJ2" s="129" t="s">
        <v>277</v>
      </c>
      <c r="CK2" s="129" t="s">
        <v>278</v>
      </c>
      <c r="CL2" s="129" t="s">
        <v>46</v>
      </c>
      <c r="CM2" s="129" t="s">
        <v>237</v>
      </c>
      <c r="CN2" s="129" t="s">
        <v>45</v>
      </c>
      <c r="CO2" s="129" t="s">
        <v>69</v>
      </c>
      <c r="CP2" s="129" t="s">
        <v>43</v>
      </c>
      <c r="CQ2" s="129" t="s">
        <v>44</v>
      </c>
      <c r="CR2" s="129" t="s">
        <v>275</v>
      </c>
      <c r="CS2" s="129" t="s">
        <v>276</v>
      </c>
      <c r="CT2" s="129" t="s">
        <v>153</v>
      </c>
      <c r="CU2" s="129" t="s">
        <v>155</v>
      </c>
      <c r="CV2" s="129" t="s">
        <v>154</v>
      </c>
      <c r="CW2" s="129" t="s">
        <v>160</v>
      </c>
      <c r="CX2" s="129" t="s">
        <v>163</v>
      </c>
      <c r="CY2" s="129" t="s">
        <v>164</v>
      </c>
      <c r="CZ2" s="129" t="s">
        <v>162</v>
      </c>
      <c r="DA2" s="129" t="s">
        <v>166</v>
      </c>
      <c r="DB2" s="129" t="s">
        <v>148</v>
      </c>
      <c r="DC2" s="129" t="s">
        <v>167</v>
      </c>
      <c r="DD2" s="129" t="s">
        <v>172</v>
      </c>
      <c r="DE2" s="129" t="s">
        <v>177</v>
      </c>
      <c r="DF2" s="129" t="s">
        <v>178</v>
      </c>
      <c r="DG2" s="129" t="s">
        <v>251</v>
      </c>
      <c r="DH2" s="129" t="s">
        <v>180</v>
      </c>
      <c r="DI2" s="129" t="s">
        <v>183</v>
      </c>
      <c r="DJ2" s="129" t="s">
        <v>189</v>
      </c>
      <c r="DK2" s="129" t="s">
        <v>197</v>
      </c>
      <c r="DL2" s="129" t="s">
        <v>193</v>
      </c>
      <c r="DM2" s="129" t="s">
        <v>194</v>
      </c>
      <c r="DN2" s="129" t="s">
        <v>195</v>
      </c>
      <c r="DO2" s="129" t="s">
        <v>198</v>
      </c>
      <c r="DP2" s="129" t="s">
        <v>239</v>
      </c>
      <c r="DQ2" s="159" t="s">
        <v>249</v>
      </c>
      <c r="DR2" s="130"/>
      <c r="DT2" s="20" t="s">
        <v>254</v>
      </c>
      <c r="DU2" s="20" t="s">
        <v>255</v>
      </c>
      <c r="DV2" s="20" t="s">
        <v>256</v>
      </c>
      <c r="DW2" s="20" t="s">
        <v>257</v>
      </c>
      <c r="DX2" s="20" t="s">
        <v>258</v>
      </c>
      <c r="DY2" s="20" t="s">
        <v>259</v>
      </c>
      <c r="DZ2" s="20" t="s">
        <v>260</v>
      </c>
      <c r="EA2" s="20" t="s">
        <v>261</v>
      </c>
      <c r="EB2" s="20" t="s">
        <v>262</v>
      </c>
      <c r="EC2" s="20" t="s">
        <v>263</v>
      </c>
      <c r="ED2" s="20" t="s">
        <v>264</v>
      </c>
      <c r="EE2" s="20" t="s">
        <v>265</v>
      </c>
      <c r="EF2" s="20" t="s">
        <v>266</v>
      </c>
      <c r="EG2" s="20" t="s">
        <v>267</v>
      </c>
      <c r="EH2" s="20" t="s">
        <v>268</v>
      </c>
      <c r="EI2" s="20" t="s">
        <v>269</v>
      </c>
      <c r="EJ2" s="20" t="s">
        <v>270</v>
      </c>
      <c r="EK2" s="20" t="s">
        <v>271</v>
      </c>
      <c r="EL2" s="20" t="s">
        <v>272</v>
      </c>
      <c r="EM2" s="20" t="s">
        <v>273</v>
      </c>
      <c r="EN2" s="20" t="s">
        <v>274</v>
      </c>
    </row>
    <row r="3" spans="1:144" s="5" customFormat="1" ht="12.75" customHeight="1">
      <c r="A3" s="50" t="s">
        <v>38</v>
      </c>
      <c r="B3" s="41">
        <v>183</v>
      </c>
      <c r="C3" s="6">
        <v>431192</v>
      </c>
      <c r="D3" s="63">
        <v>2356.24</v>
      </c>
      <c r="E3" s="63">
        <v>62.69</v>
      </c>
      <c r="F3" s="125">
        <v>4</v>
      </c>
      <c r="G3" s="131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"/>
      <c r="BU3" s="4"/>
      <c r="BV3" s="4"/>
      <c r="BW3" s="4"/>
      <c r="BX3" s="4"/>
      <c r="BY3" s="4"/>
      <c r="BZ3" s="4"/>
      <c r="CA3" s="4"/>
      <c r="CB3" s="4"/>
      <c r="CC3" s="4"/>
      <c r="CD3" s="74"/>
      <c r="CE3" s="76"/>
      <c r="CF3" s="76"/>
      <c r="CG3" s="76"/>
      <c r="CH3" s="76"/>
      <c r="CI3" s="37"/>
      <c r="CJ3" s="37"/>
      <c r="CK3" s="37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2"/>
      <c r="CW3" s="76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1"/>
      <c r="DO3" s="76"/>
      <c r="DP3" s="145"/>
      <c r="DQ3" s="160"/>
      <c r="DR3" s="65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</row>
    <row r="4" spans="1:144" ht="12.75">
      <c r="A4" s="51" t="s">
        <v>0</v>
      </c>
      <c r="B4" s="42">
        <v>1996</v>
      </c>
      <c r="C4" s="38">
        <v>7232375</v>
      </c>
      <c r="D4" s="66">
        <v>3623.43</v>
      </c>
      <c r="E4" s="66">
        <v>96.4</v>
      </c>
      <c r="F4" s="126"/>
      <c r="G4" s="132"/>
      <c r="H4" s="42"/>
      <c r="I4" s="42"/>
      <c r="J4" s="42"/>
      <c r="K4" s="42"/>
      <c r="L4" s="42"/>
      <c r="M4" s="43"/>
      <c r="N4" s="42"/>
      <c r="O4" s="42"/>
      <c r="P4" s="42"/>
      <c r="Q4" s="42"/>
      <c r="R4" s="42"/>
      <c r="S4" s="42"/>
      <c r="T4" s="42"/>
      <c r="U4" s="42"/>
      <c r="V4" s="42"/>
      <c r="W4" s="43"/>
      <c r="X4" s="42"/>
      <c r="Y4" s="43"/>
      <c r="Z4" s="42"/>
      <c r="AA4" s="42"/>
      <c r="AB4" s="42"/>
      <c r="AC4" s="42"/>
      <c r="AD4" s="42"/>
      <c r="AE4" s="43"/>
      <c r="AF4" s="42"/>
      <c r="AG4" s="42"/>
      <c r="AH4" s="42"/>
      <c r="AI4" s="42"/>
      <c r="AJ4" s="42"/>
      <c r="AK4" s="42"/>
      <c r="AL4" s="42"/>
      <c r="AM4" s="42"/>
      <c r="AN4" s="38"/>
      <c r="AO4" s="38"/>
      <c r="AP4" s="38"/>
      <c r="AQ4" s="38"/>
      <c r="AR4" s="38"/>
      <c r="AS4" s="4"/>
      <c r="AT4" s="38"/>
      <c r="AU4" s="4"/>
      <c r="AV4" s="38"/>
      <c r="AW4" s="38"/>
      <c r="AX4" s="4"/>
      <c r="AY4" s="42"/>
      <c r="AZ4" s="42"/>
      <c r="BA4" s="42"/>
      <c r="BB4" s="42"/>
      <c r="BC4" s="42"/>
      <c r="BD4" s="42"/>
      <c r="BE4" s="42"/>
      <c r="BF4" s="43"/>
      <c r="BG4" s="42"/>
      <c r="BH4" s="42"/>
      <c r="BI4" s="42"/>
      <c r="BJ4" s="42"/>
      <c r="BK4" s="42"/>
      <c r="BL4" s="42"/>
      <c r="BM4" s="42"/>
      <c r="BN4" s="42"/>
      <c r="BO4" s="43"/>
      <c r="BP4" s="42"/>
      <c r="BQ4" s="42"/>
      <c r="BR4" s="42"/>
      <c r="BS4" s="43"/>
      <c r="BT4" s="4"/>
      <c r="BU4" s="4"/>
      <c r="BV4" s="4"/>
      <c r="BW4" s="4"/>
      <c r="BX4" s="4"/>
      <c r="BY4" s="4"/>
      <c r="BZ4" s="4"/>
      <c r="CA4" s="4"/>
      <c r="CB4" s="4"/>
      <c r="CC4" s="4"/>
      <c r="CD4" s="74"/>
      <c r="CE4" s="76"/>
      <c r="CF4" s="76"/>
      <c r="CG4" s="76"/>
      <c r="CH4" s="76"/>
      <c r="CI4" s="37"/>
      <c r="CJ4" s="37"/>
      <c r="CK4" s="37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2"/>
      <c r="CW4" s="76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1"/>
      <c r="DO4" s="76"/>
      <c r="DP4" s="145"/>
      <c r="DQ4" s="160"/>
      <c r="DR4" s="68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5"/>
      <c r="EE4" s="174"/>
      <c r="EF4" s="174"/>
      <c r="EG4" s="174"/>
      <c r="EH4" s="174"/>
      <c r="EI4" s="174"/>
      <c r="EJ4" s="174"/>
      <c r="EK4" s="174"/>
      <c r="EL4" s="174"/>
      <c r="EM4" s="175"/>
      <c r="EN4" s="175"/>
    </row>
    <row r="5" spans="1:144" ht="12.75">
      <c r="A5" s="52" t="s">
        <v>32</v>
      </c>
      <c r="B5" s="43">
        <v>386</v>
      </c>
      <c r="C5" s="4">
        <v>1486031</v>
      </c>
      <c r="D5" s="69">
        <v>3849.82</v>
      </c>
      <c r="E5" s="69">
        <v>102.43</v>
      </c>
      <c r="F5" s="8">
        <v>4</v>
      </c>
      <c r="G5" s="131">
        <f aca="true" t="shared" si="0" ref="G5:L5">(G42/($B$5+$B$28)*$B$5)</f>
        <v>10341.366576819406</v>
      </c>
      <c r="H5" s="131">
        <f t="shared" si="0"/>
        <v>1489.9756064690025</v>
      </c>
      <c r="I5" s="131">
        <f t="shared" si="0"/>
        <v>0</v>
      </c>
      <c r="J5" s="131">
        <f t="shared" si="0"/>
        <v>0</v>
      </c>
      <c r="K5" s="131">
        <f t="shared" si="0"/>
        <v>0</v>
      </c>
      <c r="L5" s="131">
        <f t="shared" si="0"/>
        <v>0</v>
      </c>
      <c r="M5" s="43">
        <f aca="true" t="shared" si="1" ref="M5:M31">SUM(K5:L5)</f>
        <v>0</v>
      </c>
      <c r="N5" s="131">
        <f aca="true" t="shared" si="2" ref="N5:V5">(N42/($B$5+$B$28)*$B$5)</f>
        <v>0</v>
      </c>
      <c r="O5" s="131">
        <f t="shared" si="2"/>
        <v>0</v>
      </c>
      <c r="P5" s="131">
        <f t="shared" si="2"/>
        <v>168713.81118598382</v>
      </c>
      <c r="Q5" s="131">
        <f t="shared" si="2"/>
        <v>0</v>
      </c>
      <c r="R5" s="131">
        <f t="shared" si="2"/>
        <v>0</v>
      </c>
      <c r="S5" s="131">
        <f t="shared" si="2"/>
        <v>0</v>
      </c>
      <c r="T5" s="131">
        <f t="shared" si="2"/>
        <v>0</v>
      </c>
      <c r="U5" s="131">
        <f t="shared" si="2"/>
        <v>0</v>
      </c>
      <c r="V5" s="131">
        <f t="shared" si="2"/>
        <v>0</v>
      </c>
      <c r="W5" s="43">
        <f aca="true" t="shared" si="3" ref="W5:W31">SUM(R5:V5)</f>
        <v>0</v>
      </c>
      <c r="X5" s="131">
        <f>(X42/($B$5+$B$28)*$B$5)</f>
        <v>0</v>
      </c>
      <c r="Y5" s="43">
        <f aca="true" t="shared" si="4" ref="Y5:Y31">SUM(G5:X5)-M5-W5</f>
        <v>180545.15336927224</v>
      </c>
      <c r="Z5" s="131">
        <f>(Z42/($B$5+$B$28)*$B$5)</f>
        <v>76741.71603773585</v>
      </c>
      <c r="AA5" s="131">
        <f>(AA42/($B$5+$B$28)*$B$5)</f>
        <v>5305.315094339622</v>
      </c>
      <c r="AB5" s="131">
        <f>(AB42/($B$5+$B$28)*$B$5)</f>
        <v>0</v>
      </c>
      <c r="AC5" s="131">
        <f>(AC42/($B$5+$B$28)*$B$5)</f>
        <v>3351.957412398922</v>
      </c>
      <c r="AD5" s="131">
        <f>(AD42/($B$5+$B$28)*$B$5)</f>
        <v>0</v>
      </c>
      <c r="AE5" s="43">
        <f aca="true" t="shared" si="5" ref="AE5:AE31">SUM(Z5:AD5)</f>
        <v>85398.98854447438</v>
      </c>
      <c r="AF5" s="131">
        <f aca="true" t="shared" si="6" ref="AF5:AR5">(AF42/($B$5+$B$28)*$B$5)</f>
        <v>0</v>
      </c>
      <c r="AG5" s="131">
        <f t="shared" si="6"/>
        <v>396.6904312668463</v>
      </c>
      <c r="AH5" s="131">
        <f t="shared" si="6"/>
        <v>0</v>
      </c>
      <c r="AI5" s="131">
        <f t="shared" si="6"/>
        <v>51241.239892183294</v>
      </c>
      <c r="AJ5" s="131">
        <f t="shared" si="6"/>
        <v>0</v>
      </c>
      <c r="AK5" s="131">
        <f t="shared" si="6"/>
        <v>1677.175202156334</v>
      </c>
      <c r="AL5" s="131">
        <f t="shared" si="6"/>
        <v>0</v>
      </c>
      <c r="AM5" s="131">
        <f t="shared" si="6"/>
        <v>0</v>
      </c>
      <c r="AN5" s="131">
        <f t="shared" si="6"/>
        <v>0</v>
      </c>
      <c r="AO5" s="131">
        <f t="shared" si="6"/>
        <v>0</v>
      </c>
      <c r="AP5" s="131">
        <f t="shared" si="6"/>
        <v>0</v>
      </c>
      <c r="AQ5" s="131">
        <f t="shared" si="6"/>
        <v>0</v>
      </c>
      <c r="AR5" s="131">
        <f t="shared" si="6"/>
        <v>0</v>
      </c>
      <c r="AS5" s="4">
        <f aca="true" t="shared" si="7" ref="AS5:AS31">SUM(AN5:AR5)</f>
        <v>0</v>
      </c>
      <c r="AT5" s="131">
        <f>(AT42/($B$5+$B$28)*$B$5)</f>
        <v>0</v>
      </c>
      <c r="AU5" s="4">
        <f aca="true" t="shared" si="8" ref="AU5:AU31">SUM(Z5:AT5)-AE5-AH5-AS5</f>
        <v>138714.09407008084</v>
      </c>
      <c r="AV5" s="131">
        <f>(AV42/($B$5+$B$28)*$B$5)</f>
        <v>0</v>
      </c>
      <c r="AW5" s="131">
        <f>(AW42/($B$5+$B$28)*$B$5)</f>
        <v>41831.05929919138</v>
      </c>
      <c r="AX5" s="4">
        <f aca="true" t="shared" si="9" ref="AX5:AX31">Y5-AU5+AV5-AW5</f>
        <v>0</v>
      </c>
      <c r="AY5" s="131">
        <f aca="true" t="shared" si="10" ref="AY5:BE5">(AY42/($B$5+$B$28)*$B$5)</f>
        <v>0</v>
      </c>
      <c r="AZ5" s="131">
        <f t="shared" si="10"/>
        <v>0</v>
      </c>
      <c r="BA5" s="131">
        <f t="shared" si="10"/>
        <v>0</v>
      </c>
      <c r="BB5" s="131">
        <f t="shared" si="10"/>
        <v>0</v>
      </c>
      <c r="BC5" s="131">
        <f t="shared" si="10"/>
        <v>0</v>
      </c>
      <c r="BD5" s="131">
        <f t="shared" si="10"/>
        <v>0</v>
      </c>
      <c r="BE5" s="131">
        <f t="shared" si="10"/>
        <v>0</v>
      </c>
      <c r="BF5" s="43">
        <f aca="true" t="shared" si="11" ref="BF5:BF31">SUM(AZ5:BE5)</f>
        <v>0</v>
      </c>
      <c r="BG5" s="131">
        <f aca="true" t="shared" si="12" ref="BG5:BN5">(BG42/($B$5+$B$28)*$B$5)</f>
        <v>0</v>
      </c>
      <c r="BH5" s="131">
        <f t="shared" si="12"/>
        <v>0</v>
      </c>
      <c r="BI5" s="131">
        <f t="shared" si="12"/>
        <v>0</v>
      </c>
      <c r="BJ5" s="131">
        <f t="shared" si="12"/>
        <v>0</v>
      </c>
      <c r="BK5" s="131">
        <f t="shared" si="12"/>
        <v>0</v>
      </c>
      <c r="BL5" s="131">
        <f t="shared" si="12"/>
        <v>0</v>
      </c>
      <c r="BM5" s="131">
        <f t="shared" si="12"/>
        <v>0</v>
      </c>
      <c r="BN5" s="131">
        <f t="shared" si="12"/>
        <v>0</v>
      </c>
      <c r="BO5" s="43">
        <f aca="true" t="shared" si="13" ref="BO5:BO31">SUM(BG5:BN5)</f>
        <v>0</v>
      </c>
      <c r="BP5" s="131">
        <f>(BP42/($B$5+$B$28)*$B$5)</f>
        <v>0</v>
      </c>
      <c r="BQ5" s="131">
        <f>(BQ42/($B$5+$B$28)*$B$5)</f>
        <v>0</v>
      </c>
      <c r="BR5" s="131">
        <f>(BR42/($B$5+$B$28)*$B$5)</f>
        <v>0</v>
      </c>
      <c r="BS5" s="43">
        <f aca="true" t="shared" si="14" ref="BS5:BS31">+BF5-BO5+BP5+BQ5-BR5</f>
        <v>0</v>
      </c>
      <c r="BT5" s="4">
        <f aca="true" t="shared" si="15" ref="BT5:BT31">DT5+DU5+DV5+DW5</f>
        <v>174758.92493261458</v>
      </c>
      <c r="BU5" s="4">
        <f aca="true" t="shared" si="16" ref="BU5:BU31">DX5+DY5+DZ5+EA5</f>
        <v>0</v>
      </c>
      <c r="BV5" s="4">
        <f aca="true" t="shared" si="17" ref="BV5:BW31">EB5</f>
        <v>0</v>
      </c>
      <c r="BW5" s="4">
        <f t="shared" si="17"/>
        <v>0</v>
      </c>
      <c r="BX5" s="4">
        <f aca="true" t="shared" si="18" ref="BX5:BX31">SUM(BT5:BW5)</f>
        <v>174758.92493261458</v>
      </c>
      <c r="BY5" s="4">
        <f aca="true" t="shared" si="19" ref="BY5:BY31">EE5+EF5+EG5+EH5+EI5+EJ5</f>
        <v>60918.187061994606</v>
      </c>
      <c r="BZ5" s="4">
        <f aca="true" t="shared" si="20" ref="BZ5:CA31">EK5</f>
        <v>0</v>
      </c>
      <c r="CA5" s="4">
        <f t="shared" si="20"/>
        <v>113840.73787061994</v>
      </c>
      <c r="CB5" s="4">
        <f aca="true" t="shared" si="21" ref="CB5:CB31">SUM(BY5:CA5)</f>
        <v>174758.92493261455</v>
      </c>
      <c r="CC5" s="4">
        <f aca="true" t="shared" si="22" ref="CC5:CC31">BX5-CB5</f>
        <v>0</v>
      </c>
      <c r="CD5" s="74">
        <f aca="true" t="shared" si="23" ref="CD5:CD31">K5+L5+AV5-AW5</f>
        <v>-41831.05929919138</v>
      </c>
      <c r="CE5" s="76">
        <f aca="true" t="shared" si="24" ref="CE5:CE31">CD5+W5-AS5</f>
        <v>-41831.05929919138</v>
      </c>
      <c r="CF5" s="76">
        <f aca="true" t="shared" si="25" ref="CF5:CF31">BR5-BP5</f>
        <v>0</v>
      </c>
      <c r="CG5" s="76">
        <f aca="true" t="shared" si="26" ref="CG5:CG31">AU5-AM5-AT5-AS5</f>
        <v>138714.09407008084</v>
      </c>
      <c r="CH5" s="76">
        <f aca="true" t="shared" si="27" ref="CH5:CH31">I5-AG5+AY5+AH5+BQ5</f>
        <v>-396.6904312668463</v>
      </c>
      <c r="CI5" s="37">
        <f aca="true" t="shared" si="28" ref="CI5:CI31">CH5+K5</f>
        <v>-396.6904312668463</v>
      </c>
      <c r="CJ5" s="37">
        <f aca="true" t="shared" si="29" ref="CJ5:CJ21">EF5+EG5+EH5</f>
        <v>0</v>
      </c>
      <c r="CK5" s="37">
        <f aca="true" t="shared" si="30" ref="CK5:CK31">Y5+BR5-K5-L5-Q5-W5-X5</f>
        <v>180545.15336927224</v>
      </c>
      <c r="CL5" s="141" t="str">
        <f aca="true" t="shared" si="31" ref="CL5:CL31">IF(CF5=0,"-",(CD5/CF5))</f>
        <v>-</v>
      </c>
      <c r="CM5" s="141" t="str">
        <f aca="true" t="shared" si="32" ref="CM5:CM31">IF(CF5=0,"-",(CE5/CF5))</f>
        <v>-</v>
      </c>
      <c r="CN5" s="141">
        <f aca="true" t="shared" si="33" ref="CN5:CN31">IF(CG5=0,"-",(CD5/CG5*1))</f>
        <v>-0.3015631510238432</v>
      </c>
      <c r="CO5" s="141">
        <f aca="true" t="shared" si="34" ref="CO5:CO31">IF(CE5=0,"-",(CE5/CG5))</f>
        <v>-0.3015631510238432</v>
      </c>
      <c r="CP5" s="141">
        <f aca="true" t="shared" si="35" ref="CP5:CP31">IF(CG5=0,"-",(CH5/CG5))</f>
        <v>-0.0028597701908101075</v>
      </c>
      <c r="CQ5" s="141">
        <f aca="true" t="shared" si="36" ref="CQ5:CQ31">IF(CG5=0,"-",(CI5/CG5))</f>
        <v>-0.0028597701908101075</v>
      </c>
      <c r="CR5" s="141" t="str">
        <f aca="true" t="shared" si="37" ref="CR5:CR31">IF(CJ5=0,"-",((CJ5/CG5)))</f>
        <v>-</v>
      </c>
      <c r="CS5" s="141" t="str">
        <f aca="true" t="shared" si="38" ref="CS5:CS31">IF(BR5=0,"-",(BR5/CK5))</f>
        <v>-</v>
      </c>
      <c r="CT5" s="141" t="str">
        <f aca="true" t="shared" si="39" ref="CT5:CT31">IF(BU5+K5+L5=0,"-",((K5+L5)/(BU5+K5+L5)))</f>
        <v>-</v>
      </c>
      <c r="CU5" s="141" t="str">
        <f aca="true" t="shared" si="40" ref="CU5:CU31">IF(BU5+K5+L5=0,"-",((K5)/(BU5+K5+L5)))</f>
        <v>-</v>
      </c>
      <c r="CV5" s="142">
        <f aca="true" t="shared" si="41" ref="CV5:CV31">IF(CE5=0,"-",(CW5/CE5))</f>
        <v>-2.7214404745619385</v>
      </c>
      <c r="CW5" s="76">
        <f aca="true" t="shared" si="42" ref="CW5:CW31">BT5-BY5</f>
        <v>113840.73787061998</v>
      </c>
      <c r="CX5" s="80">
        <f aca="true" t="shared" si="43" ref="CX5:CX31">Y5-K5-L5-V5</f>
        <v>180545.15336927224</v>
      </c>
      <c r="CY5" s="80">
        <f aca="true" t="shared" si="44" ref="CY5:CY31">AU5-AR5</f>
        <v>138714.09407008084</v>
      </c>
      <c r="CZ5" s="80">
        <f aca="true" t="shared" si="45" ref="CZ5:CZ31">CY5-CX5</f>
        <v>-41831.0592991914</v>
      </c>
      <c r="DA5" s="80">
        <f aca="true" t="shared" si="46" ref="DA5:DA31">-V5+AR5</f>
        <v>0</v>
      </c>
      <c r="DB5" s="80">
        <f aca="true" t="shared" si="47" ref="DB5:DB31">CZ5+DA5</f>
        <v>-41831.0592991914</v>
      </c>
      <c r="DC5" s="80">
        <f aca="true" t="shared" si="48" ref="DC5:DC31">DB5-K5-L5</f>
        <v>-41831.0592991914</v>
      </c>
      <c r="DD5" s="80">
        <f aca="true" t="shared" si="49" ref="DD5:DD31">BR5-BP5</f>
        <v>0</v>
      </c>
      <c r="DE5" s="80">
        <f aca="true" t="shared" si="50" ref="DE5:DE31">K5+L5</f>
        <v>0</v>
      </c>
      <c r="DF5" s="80">
        <f aca="true" t="shared" si="51" ref="DF5:DF31">-DD5+DE5+DC5</f>
        <v>-41831.0592991914</v>
      </c>
      <c r="DG5" s="80">
        <f aca="true" t="shared" si="52" ref="DG5:DG31">-DD5+DE5+DC5+W5-AS5</f>
        <v>-41831.0592991914</v>
      </c>
      <c r="DH5" s="80">
        <f aca="true" t="shared" si="53" ref="DH5:DH31">-BP5-DE5</f>
        <v>0</v>
      </c>
      <c r="DI5" s="80">
        <f aca="true" t="shared" si="54" ref="DI5:DI31">DF5+DH5+BR5</f>
        <v>-41831.0592991914</v>
      </c>
      <c r="DJ5" s="80">
        <f aca="true" t="shared" si="55" ref="DJ5:DJ31">Z5+AA5+AB5</f>
        <v>82047.03113207547</v>
      </c>
      <c r="DK5" s="80">
        <f aca="true" t="shared" si="56" ref="DK5:DK31">CW5/B5</f>
        <v>294.92419137466317</v>
      </c>
      <c r="DL5" s="80">
        <f aca="true" t="shared" si="57" ref="DL5:DL31">CH5/B5</f>
        <v>-1.0276954177897573</v>
      </c>
      <c r="DM5" s="80">
        <f aca="true" t="shared" si="58" ref="DM5:DM31">DJ5/B5</f>
        <v>212.5570754716981</v>
      </c>
      <c r="DN5" s="81">
        <f aca="true" t="shared" si="59" ref="DN5:DN31">DD5/B5</f>
        <v>0</v>
      </c>
      <c r="DO5" s="76">
        <f aca="true" t="shared" si="60" ref="DO5:DO31">DF5/B5</f>
        <v>-108.37061994609171</v>
      </c>
      <c r="DP5" s="145">
        <f aca="true" t="shared" si="61" ref="DP5:DP31">CA5-BW5-BU5</f>
        <v>113840.73787061994</v>
      </c>
      <c r="DQ5" s="131">
        <f>(DQ42/($B$5+$B$28)*$B$5)</f>
        <v>0</v>
      </c>
      <c r="DR5" s="65"/>
      <c r="DT5" s="178">
        <f>(DT42/($B$5+$B$28)*$B$5)</f>
        <v>132383.43396226416</v>
      </c>
      <c r="DU5" s="178">
        <f aca="true" t="shared" si="62" ref="DU5:EL5">(DU42/($B$5+$B$28)*$B$5)</f>
        <v>29773.943530997305</v>
      </c>
      <c r="DV5" s="178">
        <f t="shared" si="62"/>
        <v>6451.194070080863</v>
      </c>
      <c r="DW5" s="178">
        <f t="shared" si="62"/>
        <v>6150.353369272238</v>
      </c>
      <c r="DX5" s="178">
        <f t="shared" si="62"/>
        <v>0</v>
      </c>
      <c r="DY5" s="178">
        <f t="shared" si="62"/>
        <v>0</v>
      </c>
      <c r="DZ5" s="178">
        <f t="shared" si="62"/>
        <v>0</v>
      </c>
      <c r="EA5" s="178">
        <f t="shared" si="62"/>
        <v>0</v>
      </c>
      <c r="EB5" s="178">
        <f t="shared" si="62"/>
        <v>0</v>
      </c>
      <c r="EC5" s="178">
        <f t="shared" si="62"/>
        <v>0</v>
      </c>
      <c r="ED5" s="173">
        <f>SUM(DT5:EC5)</f>
        <v>174758.92493261458</v>
      </c>
      <c r="EE5" s="178">
        <f t="shared" si="62"/>
        <v>60918.187061994606</v>
      </c>
      <c r="EF5" s="178">
        <f t="shared" si="62"/>
        <v>0</v>
      </c>
      <c r="EG5" s="178">
        <f t="shared" si="62"/>
        <v>0</v>
      </c>
      <c r="EH5" s="178">
        <f t="shared" si="62"/>
        <v>0</v>
      </c>
      <c r="EI5" s="178">
        <f t="shared" si="62"/>
        <v>0</v>
      </c>
      <c r="EJ5" s="178">
        <f t="shared" si="62"/>
        <v>0</v>
      </c>
      <c r="EK5" s="178">
        <f t="shared" si="62"/>
        <v>0</v>
      </c>
      <c r="EL5" s="178">
        <f t="shared" si="62"/>
        <v>113840.73787061994</v>
      </c>
      <c r="EM5" s="173">
        <f>SUM(EE5:EL5)</f>
        <v>174758.92493261455</v>
      </c>
      <c r="EN5" s="173">
        <f aca="true" t="shared" si="63" ref="EN5:EN31">ED5-EM5</f>
        <v>0</v>
      </c>
    </row>
    <row r="6" spans="1:144" ht="12.75">
      <c r="A6" s="51" t="s">
        <v>1</v>
      </c>
      <c r="B6" s="42"/>
      <c r="C6" s="38"/>
      <c r="D6" s="66"/>
      <c r="E6" s="66"/>
      <c r="F6" s="126"/>
      <c r="G6" s="132"/>
      <c r="H6" s="42"/>
      <c r="I6" s="42"/>
      <c r="J6" s="42"/>
      <c r="K6" s="42"/>
      <c r="L6" s="42"/>
      <c r="M6" s="43"/>
      <c r="N6" s="42"/>
      <c r="O6" s="42"/>
      <c r="P6" s="42"/>
      <c r="Q6" s="42"/>
      <c r="R6" s="42"/>
      <c r="S6" s="42"/>
      <c r="T6" s="42"/>
      <c r="U6" s="42"/>
      <c r="V6" s="42"/>
      <c r="W6" s="43"/>
      <c r="X6" s="42"/>
      <c r="Y6" s="43"/>
      <c r="Z6" s="42"/>
      <c r="AA6" s="42"/>
      <c r="AB6" s="42"/>
      <c r="AC6" s="42"/>
      <c r="AD6" s="42"/>
      <c r="AE6" s="43"/>
      <c r="AF6" s="42"/>
      <c r="AG6" s="42"/>
      <c r="AH6" s="42"/>
      <c r="AI6" s="42"/>
      <c r="AJ6" s="42"/>
      <c r="AK6" s="42"/>
      <c r="AL6" s="42"/>
      <c r="AM6" s="42"/>
      <c r="AN6" s="38"/>
      <c r="AO6" s="38"/>
      <c r="AP6" s="38"/>
      <c r="AQ6" s="38"/>
      <c r="AR6" s="38"/>
      <c r="AS6" s="4"/>
      <c r="AT6" s="38"/>
      <c r="AU6" s="4"/>
      <c r="AV6" s="38"/>
      <c r="AW6" s="38"/>
      <c r="AX6" s="4"/>
      <c r="AY6" s="42"/>
      <c r="AZ6" s="42"/>
      <c r="BA6" s="42"/>
      <c r="BB6" s="42"/>
      <c r="BC6" s="42"/>
      <c r="BD6" s="42"/>
      <c r="BE6" s="42"/>
      <c r="BF6" s="43"/>
      <c r="BG6" s="42"/>
      <c r="BH6" s="42"/>
      <c r="BI6" s="42"/>
      <c r="BJ6" s="42"/>
      <c r="BK6" s="42"/>
      <c r="BL6" s="42"/>
      <c r="BM6" s="42"/>
      <c r="BN6" s="42"/>
      <c r="BO6" s="43"/>
      <c r="BP6" s="42"/>
      <c r="BQ6" s="42"/>
      <c r="BR6" s="42"/>
      <c r="BS6" s="43"/>
      <c r="BT6" s="4"/>
      <c r="BU6" s="4"/>
      <c r="BV6" s="4"/>
      <c r="BW6" s="4"/>
      <c r="BX6" s="4"/>
      <c r="BY6" s="4"/>
      <c r="BZ6" s="4"/>
      <c r="CA6" s="4"/>
      <c r="CB6" s="4"/>
      <c r="CC6" s="4"/>
      <c r="CD6" s="74"/>
      <c r="CE6" s="76"/>
      <c r="CF6" s="76"/>
      <c r="CG6" s="76"/>
      <c r="CH6" s="76"/>
      <c r="CI6" s="37"/>
      <c r="CJ6" s="37"/>
      <c r="CK6" s="37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2"/>
      <c r="CW6" s="76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1"/>
      <c r="DO6" s="76"/>
      <c r="DP6" s="145"/>
      <c r="DQ6" s="160"/>
      <c r="DR6" s="68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5"/>
      <c r="EE6" s="179"/>
      <c r="EF6" s="179"/>
      <c r="EG6" s="179"/>
      <c r="EH6" s="179"/>
      <c r="EI6" s="179"/>
      <c r="EJ6" s="179"/>
      <c r="EK6" s="179"/>
      <c r="EL6" s="179"/>
      <c r="EM6" s="175"/>
      <c r="EN6" s="175"/>
    </row>
    <row r="7" spans="1:144" ht="12.75">
      <c r="A7" s="52" t="s">
        <v>2</v>
      </c>
      <c r="B7" s="43">
        <v>728</v>
      </c>
      <c r="C7" s="4">
        <v>2076591</v>
      </c>
      <c r="D7" s="69">
        <v>2852.46</v>
      </c>
      <c r="E7" s="69">
        <v>75.89</v>
      </c>
      <c r="F7" s="8">
        <v>4</v>
      </c>
      <c r="G7" s="131">
        <v>10615.3</v>
      </c>
      <c r="H7" s="43">
        <v>3921.4</v>
      </c>
      <c r="I7" s="43">
        <v>0</v>
      </c>
      <c r="J7" s="43">
        <v>0</v>
      </c>
      <c r="K7" s="43">
        <v>0</v>
      </c>
      <c r="L7" s="43">
        <v>0</v>
      </c>
      <c r="M7" s="43">
        <f t="shared" si="1"/>
        <v>0</v>
      </c>
      <c r="N7" s="43">
        <v>0</v>
      </c>
      <c r="O7" s="43">
        <v>0</v>
      </c>
      <c r="P7" s="43">
        <v>127901.35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f t="shared" si="3"/>
        <v>0</v>
      </c>
      <c r="X7" s="43">
        <v>0</v>
      </c>
      <c r="Y7" s="43">
        <f t="shared" si="4"/>
        <v>142438.05000000002</v>
      </c>
      <c r="Z7" s="43">
        <v>137086</v>
      </c>
      <c r="AA7" s="43">
        <v>0</v>
      </c>
      <c r="AB7" s="43">
        <v>0</v>
      </c>
      <c r="AC7" s="43">
        <v>0</v>
      </c>
      <c r="AD7" s="43">
        <v>0</v>
      </c>
      <c r="AE7" s="43">
        <f t="shared" si="5"/>
        <v>137086</v>
      </c>
      <c r="AF7" s="43">
        <v>0</v>
      </c>
      <c r="AG7" s="43">
        <v>1213.4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7"/>
        <v>0</v>
      </c>
      <c r="AT7" s="4">
        <v>0</v>
      </c>
      <c r="AU7" s="4">
        <f t="shared" si="8"/>
        <v>138299.40000000002</v>
      </c>
      <c r="AV7" s="4">
        <v>0</v>
      </c>
      <c r="AW7" s="4">
        <v>4138.65</v>
      </c>
      <c r="AX7" s="34">
        <f t="shared" si="9"/>
        <v>0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11"/>
        <v>0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f t="shared" si="13"/>
        <v>0</v>
      </c>
      <c r="BP7" s="43">
        <v>0</v>
      </c>
      <c r="BQ7" s="43">
        <v>0</v>
      </c>
      <c r="BR7" s="43">
        <v>0</v>
      </c>
      <c r="BS7" s="43">
        <f t="shared" si="14"/>
        <v>0</v>
      </c>
      <c r="BT7" s="4">
        <f t="shared" si="15"/>
        <v>350354.69</v>
      </c>
      <c r="BU7" s="4">
        <f t="shared" si="16"/>
        <v>0</v>
      </c>
      <c r="BV7" s="4">
        <f t="shared" si="17"/>
        <v>0</v>
      </c>
      <c r="BW7" s="4">
        <f t="shared" si="17"/>
        <v>0</v>
      </c>
      <c r="BX7" s="4">
        <f t="shared" si="18"/>
        <v>350354.69</v>
      </c>
      <c r="BY7" s="4">
        <f t="shared" si="19"/>
        <v>234088.86</v>
      </c>
      <c r="BZ7" s="4">
        <f t="shared" si="20"/>
        <v>0</v>
      </c>
      <c r="CA7" s="4">
        <f t="shared" si="20"/>
        <v>116265.83</v>
      </c>
      <c r="CB7" s="4">
        <f t="shared" si="21"/>
        <v>350354.69</v>
      </c>
      <c r="CC7" s="4">
        <f t="shared" si="22"/>
        <v>0</v>
      </c>
      <c r="CD7" s="74">
        <f t="shared" si="23"/>
        <v>-4138.65</v>
      </c>
      <c r="CE7" s="76">
        <f t="shared" si="24"/>
        <v>-4138.65</v>
      </c>
      <c r="CF7" s="76">
        <f t="shared" si="25"/>
        <v>0</v>
      </c>
      <c r="CG7" s="76">
        <f t="shared" si="26"/>
        <v>138299.40000000002</v>
      </c>
      <c r="CH7" s="76">
        <f t="shared" si="27"/>
        <v>-1213.4</v>
      </c>
      <c r="CI7" s="37">
        <f t="shared" si="28"/>
        <v>-1213.4</v>
      </c>
      <c r="CJ7" s="37">
        <f t="shared" si="29"/>
        <v>172345.16</v>
      </c>
      <c r="CK7" s="37">
        <f t="shared" si="30"/>
        <v>142438.05000000002</v>
      </c>
      <c r="CL7" s="141" t="str">
        <f t="shared" si="31"/>
        <v>-</v>
      </c>
      <c r="CM7" s="141" t="str">
        <f t="shared" si="32"/>
        <v>-</v>
      </c>
      <c r="CN7" s="141">
        <f t="shared" si="33"/>
        <v>-0.02992529251753803</v>
      </c>
      <c r="CO7" s="141">
        <f t="shared" si="34"/>
        <v>-0.02992529251753803</v>
      </c>
      <c r="CP7" s="141">
        <f t="shared" si="35"/>
        <v>-0.008773718468771376</v>
      </c>
      <c r="CQ7" s="141">
        <f t="shared" si="36"/>
        <v>-0.008773718468771376</v>
      </c>
      <c r="CR7" s="141">
        <f t="shared" si="37"/>
        <v>1.246174314566802</v>
      </c>
      <c r="CS7" s="141" t="str">
        <f t="shared" si="38"/>
        <v>-</v>
      </c>
      <c r="CT7" s="141" t="str">
        <f t="shared" si="39"/>
        <v>-</v>
      </c>
      <c r="CU7" s="141" t="str">
        <f t="shared" si="40"/>
        <v>-</v>
      </c>
      <c r="CV7" s="142">
        <f t="shared" si="41"/>
        <v>-28.092694477667845</v>
      </c>
      <c r="CW7" s="76">
        <f t="shared" si="42"/>
        <v>116265.83000000002</v>
      </c>
      <c r="CX7" s="80">
        <f t="shared" si="43"/>
        <v>142438.05000000002</v>
      </c>
      <c r="CY7" s="80">
        <f t="shared" si="44"/>
        <v>138299.40000000002</v>
      </c>
      <c r="CZ7" s="80">
        <f t="shared" si="45"/>
        <v>-4138.649999999994</v>
      </c>
      <c r="DA7" s="80">
        <f t="shared" si="46"/>
        <v>0</v>
      </c>
      <c r="DB7" s="80">
        <f t="shared" si="47"/>
        <v>-4138.649999999994</v>
      </c>
      <c r="DC7" s="80">
        <f t="shared" si="48"/>
        <v>-4138.649999999994</v>
      </c>
      <c r="DD7" s="80">
        <f t="shared" si="49"/>
        <v>0</v>
      </c>
      <c r="DE7" s="80">
        <f t="shared" si="50"/>
        <v>0</v>
      </c>
      <c r="DF7" s="80">
        <f t="shared" si="51"/>
        <v>-4138.649999999994</v>
      </c>
      <c r="DG7" s="80">
        <f t="shared" si="52"/>
        <v>-4138.649999999994</v>
      </c>
      <c r="DH7" s="80">
        <f t="shared" si="53"/>
        <v>0</v>
      </c>
      <c r="DI7" s="80">
        <f t="shared" si="54"/>
        <v>-4138.649999999994</v>
      </c>
      <c r="DJ7" s="80">
        <f t="shared" si="55"/>
        <v>137086</v>
      </c>
      <c r="DK7" s="80">
        <f t="shared" si="56"/>
        <v>159.70581043956045</v>
      </c>
      <c r="DL7" s="80">
        <f t="shared" si="57"/>
        <v>-1.6667582417582418</v>
      </c>
      <c r="DM7" s="80">
        <f t="shared" si="58"/>
        <v>188.30494505494505</v>
      </c>
      <c r="DN7" s="81">
        <f t="shared" si="59"/>
        <v>0</v>
      </c>
      <c r="DO7" s="76">
        <f t="shared" si="60"/>
        <v>-5.684958791208783</v>
      </c>
      <c r="DP7" s="145">
        <f t="shared" si="61"/>
        <v>116265.83</v>
      </c>
      <c r="DQ7" s="160">
        <v>0</v>
      </c>
      <c r="DR7" s="65"/>
      <c r="DT7" s="178">
        <v>78216.54</v>
      </c>
      <c r="DU7" s="178">
        <v>48181.69</v>
      </c>
      <c r="DV7" s="178">
        <v>223956.46</v>
      </c>
      <c r="DW7" s="178">
        <v>0</v>
      </c>
      <c r="DX7" s="178">
        <v>0</v>
      </c>
      <c r="DY7" s="178">
        <v>0</v>
      </c>
      <c r="DZ7" s="178">
        <v>0</v>
      </c>
      <c r="EA7" s="178">
        <v>0</v>
      </c>
      <c r="EB7" s="178">
        <v>0</v>
      </c>
      <c r="EC7" s="178"/>
      <c r="ED7" s="173">
        <f>SUM(DT7:EC7)</f>
        <v>350354.69</v>
      </c>
      <c r="EE7" s="178">
        <v>0</v>
      </c>
      <c r="EF7" s="178">
        <v>0</v>
      </c>
      <c r="EG7" s="178">
        <v>0</v>
      </c>
      <c r="EH7" s="178">
        <v>172345.16</v>
      </c>
      <c r="EI7" s="178">
        <v>0</v>
      </c>
      <c r="EJ7" s="178">
        <v>61743.7</v>
      </c>
      <c r="EK7" s="178">
        <v>0</v>
      </c>
      <c r="EL7" s="178">
        <v>116265.83</v>
      </c>
      <c r="EM7" s="173">
        <f>SUM(EE7:EL7)</f>
        <v>350354.69</v>
      </c>
      <c r="EN7" s="184">
        <f t="shared" si="63"/>
        <v>0</v>
      </c>
    </row>
    <row r="8" spans="1:144" ht="12.75">
      <c r="A8" s="51" t="s">
        <v>3</v>
      </c>
      <c r="B8" s="42">
        <v>662</v>
      </c>
      <c r="C8" s="38">
        <v>2016563</v>
      </c>
      <c r="D8" s="66">
        <v>3046.17</v>
      </c>
      <c r="E8" s="66">
        <v>81.05</v>
      </c>
      <c r="F8" s="126">
        <v>4</v>
      </c>
      <c r="G8" s="132">
        <f>440+6000+2300+204.05+247+7800+523.5+2370</f>
        <v>19884.55</v>
      </c>
      <c r="H8" s="42">
        <f>418.7+310+485.8+268.45+320.1+320+984</f>
        <v>3107.05</v>
      </c>
      <c r="I8" s="42">
        <v>0</v>
      </c>
      <c r="J8" s="42">
        <v>0</v>
      </c>
      <c r="K8" s="42">
        <v>0</v>
      </c>
      <c r="L8" s="42">
        <v>0</v>
      </c>
      <c r="M8" s="43">
        <f t="shared" si="1"/>
        <v>0</v>
      </c>
      <c r="N8" s="42">
        <v>0</v>
      </c>
      <c r="O8" s="42">
        <v>0</v>
      </c>
      <c r="P8" s="42">
        <f>2722.65+12110+869.2+1180.8+55222.4+100+600+772.8+55417.75+31716.75+15308</f>
        <v>176020.35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3">
        <f t="shared" si="3"/>
        <v>0</v>
      </c>
      <c r="X8" s="42">
        <v>0</v>
      </c>
      <c r="Y8" s="43">
        <f t="shared" si="4"/>
        <v>199011.95</v>
      </c>
      <c r="Z8" s="42">
        <f>45439.85+73502.4</f>
        <v>118942.25</v>
      </c>
      <c r="AA8" s="42">
        <f>4449.1+7252.15</f>
        <v>11701.25</v>
      </c>
      <c r="AB8" s="42">
        <v>0</v>
      </c>
      <c r="AC8" s="42">
        <f>5748.65</f>
        <v>5748.65</v>
      </c>
      <c r="AD8" s="42">
        <v>0</v>
      </c>
      <c r="AE8" s="43">
        <f t="shared" si="5"/>
        <v>136392.15</v>
      </c>
      <c r="AF8" s="42">
        <v>0</v>
      </c>
      <c r="AG8" s="42">
        <f>104.15+1475.85</f>
        <v>1580</v>
      </c>
      <c r="AH8" s="42">
        <v>0</v>
      </c>
      <c r="AI8" s="42">
        <f>58313.9+2232.05+30400</f>
        <v>90945.95000000001</v>
      </c>
      <c r="AJ8" s="42">
        <v>0</v>
      </c>
      <c r="AK8" s="42">
        <v>0</v>
      </c>
      <c r="AL8" s="42">
        <v>0</v>
      </c>
      <c r="AM8" s="42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4">
        <f t="shared" si="7"/>
        <v>0</v>
      </c>
      <c r="AT8" s="38">
        <v>0</v>
      </c>
      <c r="AU8" s="4">
        <f t="shared" si="8"/>
        <v>228918.1</v>
      </c>
      <c r="AV8" s="38">
        <v>29906.15</v>
      </c>
      <c r="AW8" s="38">
        <v>0</v>
      </c>
      <c r="AX8" s="34">
        <f t="shared" si="9"/>
        <v>7.275957614183426E-12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3">
        <f t="shared" si="11"/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f t="shared" si="13"/>
        <v>0</v>
      </c>
      <c r="BP8" s="42">
        <v>0</v>
      </c>
      <c r="BQ8" s="42">
        <v>0</v>
      </c>
      <c r="BR8" s="42">
        <v>0</v>
      </c>
      <c r="BS8" s="43">
        <f t="shared" si="14"/>
        <v>0</v>
      </c>
      <c r="BT8" s="4">
        <f t="shared" si="15"/>
        <v>285444.27</v>
      </c>
      <c r="BU8" s="4">
        <f t="shared" si="16"/>
        <v>0</v>
      </c>
      <c r="BV8" s="4">
        <f t="shared" si="17"/>
        <v>0</v>
      </c>
      <c r="BW8" s="4">
        <f t="shared" si="17"/>
        <v>0</v>
      </c>
      <c r="BX8" s="4">
        <f t="shared" si="18"/>
        <v>285444.27</v>
      </c>
      <c r="BY8" s="4">
        <f t="shared" si="19"/>
        <v>65907.5</v>
      </c>
      <c r="BZ8" s="4">
        <f t="shared" si="20"/>
        <v>0</v>
      </c>
      <c r="CA8" s="4">
        <f t="shared" si="20"/>
        <v>219536.77</v>
      </c>
      <c r="CB8" s="4">
        <f t="shared" si="21"/>
        <v>285444.27</v>
      </c>
      <c r="CC8" s="4">
        <f t="shared" si="22"/>
        <v>0</v>
      </c>
      <c r="CD8" s="74">
        <f t="shared" si="23"/>
        <v>29906.15</v>
      </c>
      <c r="CE8" s="76">
        <f t="shared" si="24"/>
        <v>29906.15</v>
      </c>
      <c r="CF8" s="76">
        <f t="shared" si="25"/>
        <v>0</v>
      </c>
      <c r="CG8" s="76">
        <f t="shared" si="26"/>
        <v>228918.1</v>
      </c>
      <c r="CH8" s="76">
        <f t="shared" si="27"/>
        <v>-1580</v>
      </c>
      <c r="CI8" s="37">
        <f t="shared" si="28"/>
        <v>-1580</v>
      </c>
      <c r="CJ8" s="37">
        <f t="shared" si="29"/>
        <v>0</v>
      </c>
      <c r="CK8" s="37">
        <f t="shared" si="30"/>
        <v>199011.95</v>
      </c>
      <c r="CL8" s="141" t="str">
        <f t="shared" si="31"/>
        <v>-</v>
      </c>
      <c r="CM8" s="141" t="str">
        <f t="shared" si="32"/>
        <v>-</v>
      </c>
      <c r="CN8" s="141">
        <f t="shared" si="33"/>
        <v>0.13064126427748615</v>
      </c>
      <c r="CO8" s="141">
        <f t="shared" si="34"/>
        <v>0.13064126427748615</v>
      </c>
      <c r="CP8" s="141">
        <f t="shared" si="35"/>
        <v>-0.006902031774682736</v>
      </c>
      <c r="CQ8" s="141">
        <f t="shared" si="36"/>
        <v>-0.006902031774682736</v>
      </c>
      <c r="CR8" s="141" t="str">
        <f t="shared" si="37"/>
        <v>-</v>
      </c>
      <c r="CS8" s="141" t="str">
        <f t="shared" si="38"/>
        <v>-</v>
      </c>
      <c r="CT8" s="141" t="str">
        <f t="shared" si="39"/>
        <v>-</v>
      </c>
      <c r="CU8" s="141" t="str">
        <f t="shared" si="40"/>
        <v>-</v>
      </c>
      <c r="CV8" s="142">
        <f t="shared" si="41"/>
        <v>7.340856980921984</v>
      </c>
      <c r="CW8" s="76">
        <f t="shared" si="42"/>
        <v>219536.77000000002</v>
      </c>
      <c r="CX8" s="80">
        <f t="shared" si="43"/>
        <v>199011.95</v>
      </c>
      <c r="CY8" s="80">
        <f t="shared" si="44"/>
        <v>228918.1</v>
      </c>
      <c r="CZ8" s="80">
        <f t="shared" si="45"/>
        <v>29906.149999999994</v>
      </c>
      <c r="DA8" s="80">
        <f t="shared" si="46"/>
        <v>0</v>
      </c>
      <c r="DB8" s="80">
        <f t="shared" si="47"/>
        <v>29906.149999999994</v>
      </c>
      <c r="DC8" s="80">
        <f t="shared" si="48"/>
        <v>29906.149999999994</v>
      </c>
      <c r="DD8" s="80">
        <f t="shared" si="49"/>
        <v>0</v>
      </c>
      <c r="DE8" s="80">
        <f t="shared" si="50"/>
        <v>0</v>
      </c>
      <c r="DF8" s="80">
        <f t="shared" si="51"/>
        <v>29906.149999999994</v>
      </c>
      <c r="DG8" s="80">
        <f t="shared" si="52"/>
        <v>29906.149999999994</v>
      </c>
      <c r="DH8" s="80">
        <f t="shared" si="53"/>
        <v>0</v>
      </c>
      <c r="DI8" s="80">
        <f t="shared" si="54"/>
        <v>29906.149999999994</v>
      </c>
      <c r="DJ8" s="80">
        <f t="shared" si="55"/>
        <v>130643.5</v>
      </c>
      <c r="DK8" s="80">
        <f t="shared" si="56"/>
        <v>331.6265407854985</v>
      </c>
      <c r="DL8" s="80">
        <f t="shared" si="57"/>
        <v>-2.3867069486404833</v>
      </c>
      <c r="DM8" s="80">
        <f t="shared" si="58"/>
        <v>197.34667673716012</v>
      </c>
      <c r="DN8" s="81">
        <f t="shared" si="59"/>
        <v>0</v>
      </c>
      <c r="DO8" s="76">
        <f t="shared" si="60"/>
        <v>45.17545317220543</v>
      </c>
      <c r="DP8" s="145">
        <f t="shared" si="61"/>
        <v>219536.77</v>
      </c>
      <c r="DQ8" s="160">
        <v>0</v>
      </c>
      <c r="DR8" s="68"/>
      <c r="DT8" s="179">
        <v>163754.12</v>
      </c>
      <c r="DU8" s="179">
        <v>51959.35</v>
      </c>
      <c r="DV8" s="179">
        <v>69661.8</v>
      </c>
      <c r="DW8" s="179">
        <v>69</v>
      </c>
      <c r="DX8" s="179">
        <v>0</v>
      </c>
      <c r="DY8" s="179">
        <v>0</v>
      </c>
      <c r="DZ8" s="179">
        <v>0</v>
      </c>
      <c r="EA8" s="179">
        <v>0</v>
      </c>
      <c r="EB8" s="179">
        <v>0</v>
      </c>
      <c r="EC8" s="179">
        <v>0</v>
      </c>
      <c r="ED8" s="175">
        <f>SUM(DT8:EC8)</f>
        <v>285444.27</v>
      </c>
      <c r="EE8" s="179">
        <v>65907.5</v>
      </c>
      <c r="EF8" s="179">
        <v>0</v>
      </c>
      <c r="EG8" s="179">
        <v>0</v>
      </c>
      <c r="EH8" s="179">
        <v>0</v>
      </c>
      <c r="EI8" s="179">
        <v>0</v>
      </c>
      <c r="EJ8" s="179">
        <v>0</v>
      </c>
      <c r="EK8" s="179">
        <v>0</v>
      </c>
      <c r="EL8" s="179">
        <f>189630.62+29906.15</f>
        <v>219536.77</v>
      </c>
      <c r="EM8" s="175">
        <f>SUM(EE8:EL8)</f>
        <v>285444.27</v>
      </c>
      <c r="EN8" s="185">
        <f t="shared" si="63"/>
        <v>0</v>
      </c>
    </row>
    <row r="9" spans="1:144" ht="12.75">
      <c r="A9" s="52" t="s">
        <v>4</v>
      </c>
      <c r="B9" s="43">
        <v>2700</v>
      </c>
      <c r="C9" s="4">
        <v>10559222</v>
      </c>
      <c r="D9" s="69">
        <v>3910.82</v>
      </c>
      <c r="E9" s="69">
        <v>104.05</v>
      </c>
      <c r="F9" s="8">
        <v>5</v>
      </c>
      <c r="G9" s="131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"/>
      <c r="BU9" s="4"/>
      <c r="BV9" s="4"/>
      <c r="BW9" s="4"/>
      <c r="BX9" s="4"/>
      <c r="BY9" s="4"/>
      <c r="BZ9" s="4"/>
      <c r="CA9" s="4"/>
      <c r="CB9" s="4"/>
      <c r="CC9" s="4"/>
      <c r="CD9" s="74"/>
      <c r="CE9" s="76"/>
      <c r="CF9" s="76"/>
      <c r="CG9" s="76"/>
      <c r="CH9" s="76"/>
      <c r="CI9" s="37"/>
      <c r="CJ9" s="37"/>
      <c r="CK9" s="37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2"/>
      <c r="CW9" s="76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1"/>
      <c r="DO9" s="76"/>
      <c r="DP9" s="145"/>
      <c r="DQ9" s="162"/>
      <c r="DR9" s="65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3"/>
      <c r="EE9" s="178"/>
      <c r="EF9" s="178"/>
      <c r="EG9" s="178"/>
      <c r="EH9" s="178"/>
      <c r="EI9" s="178"/>
      <c r="EJ9" s="178"/>
      <c r="EK9" s="178"/>
      <c r="EL9" s="178"/>
      <c r="EM9" s="173"/>
      <c r="EN9" s="173"/>
    </row>
    <row r="10" spans="1:144" ht="12.75">
      <c r="A10" s="51" t="s">
        <v>5</v>
      </c>
      <c r="B10" s="42">
        <v>534</v>
      </c>
      <c r="C10" s="38">
        <v>1771232</v>
      </c>
      <c r="D10" s="66">
        <v>3316.91</v>
      </c>
      <c r="E10" s="66">
        <v>88.25</v>
      </c>
      <c r="F10" s="126">
        <v>4</v>
      </c>
      <c r="G10" s="132">
        <v>6272.3</v>
      </c>
      <c r="H10" s="42">
        <v>10971.8</v>
      </c>
      <c r="I10" s="42">
        <v>135.1</v>
      </c>
      <c r="J10" s="42">
        <v>0</v>
      </c>
      <c r="K10" s="42">
        <v>0</v>
      </c>
      <c r="L10" s="42">
        <v>0</v>
      </c>
      <c r="M10" s="43">
        <f t="shared" si="1"/>
        <v>0</v>
      </c>
      <c r="N10" s="42">
        <v>0</v>
      </c>
      <c r="O10" s="42">
        <v>129844.55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3">
        <f t="shared" si="3"/>
        <v>0</v>
      </c>
      <c r="X10" s="42">
        <v>0</v>
      </c>
      <c r="Y10" s="43">
        <f t="shared" si="4"/>
        <v>147223.75</v>
      </c>
      <c r="Z10" s="42">
        <v>80100.9</v>
      </c>
      <c r="AA10" s="42">
        <v>10230.9</v>
      </c>
      <c r="AB10" s="42">
        <v>0</v>
      </c>
      <c r="AC10" s="42">
        <v>4637.15</v>
      </c>
      <c r="AD10" s="42">
        <v>0</v>
      </c>
      <c r="AE10" s="43">
        <f t="shared" si="5"/>
        <v>94968.94999999998</v>
      </c>
      <c r="AF10" s="42">
        <v>0</v>
      </c>
      <c r="AG10" s="42">
        <v>12082.5</v>
      </c>
      <c r="AH10" s="42">
        <v>0</v>
      </c>
      <c r="AI10" s="42">
        <v>36260.25</v>
      </c>
      <c r="AJ10" s="42">
        <v>0</v>
      </c>
      <c r="AK10" s="42">
        <v>0</v>
      </c>
      <c r="AL10" s="42">
        <v>0</v>
      </c>
      <c r="AM10" s="42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4">
        <f t="shared" si="7"/>
        <v>0</v>
      </c>
      <c r="AT10" s="38">
        <v>0</v>
      </c>
      <c r="AU10" s="4">
        <f t="shared" si="8"/>
        <v>143311.69999999998</v>
      </c>
      <c r="AV10" s="38">
        <v>0</v>
      </c>
      <c r="AW10" s="38">
        <v>3912.05</v>
      </c>
      <c r="AX10" s="34">
        <f t="shared" si="9"/>
        <v>1.7280399333685637E-11</v>
      </c>
      <c r="AY10" s="42">
        <v>2397.7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3">
        <f t="shared" si="11"/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13"/>
        <v>0</v>
      </c>
      <c r="BP10" s="42">
        <v>0</v>
      </c>
      <c r="BQ10" s="42">
        <v>0</v>
      </c>
      <c r="BR10" s="42">
        <v>0</v>
      </c>
      <c r="BS10" s="43">
        <f t="shared" si="14"/>
        <v>0</v>
      </c>
      <c r="BT10" s="4">
        <f t="shared" si="15"/>
        <v>361878.77</v>
      </c>
      <c r="BU10" s="4">
        <f t="shared" si="16"/>
        <v>0</v>
      </c>
      <c r="BV10" s="4">
        <f t="shared" si="17"/>
        <v>0</v>
      </c>
      <c r="BW10" s="4">
        <f t="shared" si="17"/>
        <v>0</v>
      </c>
      <c r="BX10" s="4">
        <f t="shared" si="18"/>
        <v>361878.77</v>
      </c>
      <c r="BY10" s="4">
        <f t="shared" si="19"/>
        <v>80316.05</v>
      </c>
      <c r="BZ10" s="4">
        <f t="shared" si="20"/>
        <v>0</v>
      </c>
      <c r="CA10" s="4">
        <f t="shared" si="20"/>
        <v>281562.72</v>
      </c>
      <c r="CB10" s="4">
        <f t="shared" si="21"/>
        <v>361878.76999999996</v>
      </c>
      <c r="CC10" s="4">
        <f t="shared" si="22"/>
        <v>0</v>
      </c>
      <c r="CD10" s="74">
        <f t="shared" si="23"/>
        <v>-3912.05</v>
      </c>
      <c r="CE10" s="76">
        <f t="shared" si="24"/>
        <v>-3912.05</v>
      </c>
      <c r="CF10" s="76">
        <f t="shared" si="25"/>
        <v>0</v>
      </c>
      <c r="CG10" s="76">
        <f t="shared" si="26"/>
        <v>143311.69999999998</v>
      </c>
      <c r="CH10" s="76">
        <f t="shared" si="27"/>
        <v>-9549.7</v>
      </c>
      <c r="CI10" s="37">
        <f t="shared" si="28"/>
        <v>-9549.7</v>
      </c>
      <c r="CJ10" s="37">
        <f t="shared" si="29"/>
        <v>0</v>
      </c>
      <c r="CK10" s="37">
        <f t="shared" si="30"/>
        <v>147223.75</v>
      </c>
      <c r="CL10" s="141" t="str">
        <f t="shared" si="31"/>
        <v>-</v>
      </c>
      <c r="CM10" s="141" t="str">
        <f t="shared" si="32"/>
        <v>-</v>
      </c>
      <c r="CN10" s="141">
        <f t="shared" si="33"/>
        <v>-0.027297492109855655</v>
      </c>
      <c r="CO10" s="141">
        <f t="shared" si="34"/>
        <v>-0.027297492109855655</v>
      </c>
      <c r="CP10" s="141">
        <f t="shared" si="35"/>
        <v>-0.06663587132104358</v>
      </c>
      <c r="CQ10" s="141">
        <f t="shared" si="36"/>
        <v>-0.06663587132104358</v>
      </c>
      <c r="CR10" s="141" t="str">
        <f t="shared" si="37"/>
        <v>-</v>
      </c>
      <c r="CS10" s="141" t="str">
        <f t="shared" si="38"/>
        <v>-</v>
      </c>
      <c r="CT10" s="141" t="str">
        <f t="shared" si="39"/>
        <v>-</v>
      </c>
      <c r="CU10" s="141" t="str">
        <f t="shared" si="40"/>
        <v>-</v>
      </c>
      <c r="CV10" s="142">
        <f t="shared" si="41"/>
        <v>-71.97319052670595</v>
      </c>
      <c r="CW10" s="76">
        <f t="shared" si="42"/>
        <v>281562.72000000003</v>
      </c>
      <c r="CX10" s="80">
        <f t="shared" si="43"/>
        <v>147223.75</v>
      </c>
      <c r="CY10" s="80">
        <f t="shared" si="44"/>
        <v>143311.69999999998</v>
      </c>
      <c r="CZ10" s="80">
        <f t="shared" si="45"/>
        <v>-3912.0500000000175</v>
      </c>
      <c r="DA10" s="80">
        <f t="shared" si="46"/>
        <v>0</v>
      </c>
      <c r="DB10" s="80">
        <f t="shared" si="47"/>
        <v>-3912.0500000000175</v>
      </c>
      <c r="DC10" s="80">
        <f t="shared" si="48"/>
        <v>-3912.0500000000175</v>
      </c>
      <c r="DD10" s="80">
        <f t="shared" si="49"/>
        <v>0</v>
      </c>
      <c r="DE10" s="80">
        <f t="shared" si="50"/>
        <v>0</v>
      </c>
      <c r="DF10" s="80">
        <f t="shared" si="51"/>
        <v>-3912.0500000000175</v>
      </c>
      <c r="DG10" s="80">
        <f t="shared" si="52"/>
        <v>-3912.0500000000175</v>
      </c>
      <c r="DH10" s="80">
        <f t="shared" si="53"/>
        <v>0</v>
      </c>
      <c r="DI10" s="80">
        <f t="shared" si="54"/>
        <v>-3912.0500000000175</v>
      </c>
      <c r="DJ10" s="80">
        <f t="shared" si="55"/>
        <v>90331.79999999999</v>
      </c>
      <c r="DK10" s="80">
        <f t="shared" si="56"/>
        <v>527.2710112359551</v>
      </c>
      <c r="DL10" s="80">
        <f t="shared" si="57"/>
        <v>-17.883333333333336</v>
      </c>
      <c r="DM10" s="80">
        <f t="shared" si="58"/>
        <v>169.16067415730336</v>
      </c>
      <c r="DN10" s="81">
        <f t="shared" si="59"/>
        <v>0</v>
      </c>
      <c r="DO10" s="76">
        <f t="shared" si="60"/>
        <v>-7.325936329588048</v>
      </c>
      <c r="DP10" s="145">
        <f t="shared" si="61"/>
        <v>281562.72</v>
      </c>
      <c r="DQ10" s="162">
        <v>0</v>
      </c>
      <c r="DR10" s="68"/>
      <c r="DT10" s="179">
        <v>122715.82</v>
      </c>
      <c r="DU10" s="179">
        <v>35162.95</v>
      </c>
      <c r="DV10" s="179">
        <v>204000</v>
      </c>
      <c r="DW10" s="179">
        <v>0</v>
      </c>
      <c r="DX10" s="179">
        <v>0</v>
      </c>
      <c r="DY10" s="179">
        <v>0</v>
      </c>
      <c r="DZ10" s="179">
        <v>0</v>
      </c>
      <c r="EA10" s="179">
        <v>0</v>
      </c>
      <c r="EB10" s="179">
        <v>0</v>
      </c>
      <c r="EC10" s="179">
        <v>0</v>
      </c>
      <c r="ED10" s="175">
        <f>SUM(DT10:EC10)</f>
        <v>361878.77</v>
      </c>
      <c r="EE10" s="179">
        <v>68816.05</v>
      </c>
      <c r="EF10" s="179">
        <v>0</v>
      </c>
      <c r="EG10" s="179">
        <v>0</v>
      </c>
      <c r="EH10" s="179">
        <v>0</v>
      </c>
      <c r="EI10" s="179">
        <v>0</v>
      </c>
      <c r="EJ10" s="179">
        <v>11500</v>
      </c>
      <c r="EK10" s="179">
        <v>0</v>
      </c>
      <c r="EL10" s="179">
        <v>281562.72</v>
      </c>
      <c r="EM10" s="175">
        <f>SUM(EE10:EL10)</f>
        <v>361878.76999999996</v>
      </c>
      <c r="EN10" s="185">
        <f t="shared" si="63"/>
        <v>0</v>
      </c>
    </row>
    <row r="11" spans="1:144" ht="12.75">
      <c r="A11" s="52" t="s">
        <v>6</v>
      </c>
      <c r="B11" s="43">
        <v>5691</v>
      </c>
      <c r="C11" s="4">
        <v>25022999</v>
      </c>
      <c r="D11" s="69">
        <v>4396.94</v>
      </c>
      <c r="E11" s="69">
        <v>116.98</v>
      </c>
      <c r="F11" s="8">
        <v>4</v>
      </c>
      <c r="G11" s="131">
        <f aca="true" t="shared" si="64" ref="G11:L11">(G40/($B$11+$B$27)*$B$11)</f>
        <v>351132.48111353716</v>
      </c>
      <c r="H11" s="131">
        <f t="shared" si="64"/>
        <v>93267.9635371179</v>
      </c>
      <c r="I11" s="131">
        <f t="shared" si="64"/>
        <v>8139.807478165939</v>
      </c>
      <c r="J11" s="131">
        <f t="shared" si="64"/>
        <v>0</v>
      </c>
      <c r="K11" s="131">
        <f t="shared" si="64"/>
        <v>7792.55174672489</v>
      </c>
      <c r="L11" s="131">
        <f t="shared" si="64"/>
        <v>0</v>
      </c>
      <c r="M11" s="43">
        <f t="shared" si="1"/>
        <v>7792.55174672489</v>
      </c>
      <c r="N11" s="131">
        <f aca="true" t="shared" si="65" ref="N11:V11">(N40/($B$11+$B$27)*$B$11)</f>
        <v>0</v>
      </c>
      <c r="O11" s="131">
        <f t="shared" si="65"/>
        <v>0</v>
      </c>
      <c r="P11" s="131">
        <f t="shared" si="65"/>
        <v>3573818.4614082966</v>
      </c>
      <c r="Q11" s="131">
        <f t="shared" si="65"/>
        <v>0</v>
      </c>
      <c r="R11" s="131">
        <f t="shared" si="65"/>
        <v>0</v>
      </c>
      <c r="S11" s="131">
        <f t="shared" si="65"/>
        <v>0</v>
      </c>
      <c r="T11" s="131">
        <f t="shared" si="65"/>
        <v>0</v>
      </c>
      <c r="U11" s="131">
        <f t="shared" si="65"/>
        <v>0</v>
      </c>
      <c r="V11" s="131">
        <f t="shared" si="65"/>
        <v>0</v>
      </c>
      <c r="W11" s="43">
        <f t="shared" si="3"/>
        <v>0</v>
      </c>
      <c r="X11" s="131">
        <f>(X40/($B$11+$B$27)*$B$11)</f>
        <v>108492.54235807862</v>
      </c>
      <c r="Y11" s="43">
        <f t="shared" si="4"/>
        <v>4142643.8076419206</v>
      </c>
      <c r="Z11" s="131">
        <f>(Z40/($B$11+$B$27)*$B$11)</f>
        <v>1307543.0184497817</v>
      </c>
      <c r="AA11" s="131">
        <f>(AA40/($B$11+$B$27)*$B$11)</f>
        <v>163428.75409388647</v>
      </c>
      <c r="AB11" s="131">
        <f>(AB40/($B$11+$B$27)*$B$11)</f>
        <v>0</v>
      </c>
      <c r="AC11" s="131">
        <f>(AC40/($B$11+$B$27)*$B$11)</f>
        <v>49419.438700873354</v>
      </c>
      <c r="AD11" s="131">
        <f>(AD40/($B$11+$B$27)*$B$11)</f>
        <v>0</v>
      </c>
      <c r="AE11" s="43">
        <f t="shared" si="5"/>
        <v>1520391.2112445417</v>
      </c>
      <c r="AF11" s="131">
        <f aca="true" t="shared" si="66" ref="AF11:AR11">(AF40/($B$11+$B$27)*$B$11)</f>
        <v>0</v>
      </c>
      <c r="AG11" s="131">
        <f t="shared" si="66"/>
        <v>31423.337554585156</v>
      </c>
      <c r="AH11" s="131">
        <f t="shared" si="66"/>
        <v>0</v>
      </c>
      <c r="AI11" s="131">
        <f t="shared" si="66"/>
        <v>2211940.700338428</v>
      </c>
      <c r="AJ11" s="131">
        <f t="shared" si="66"/>
        <v>0</v>
      </c>
      <c r="AK11" s="131">
        <f t="shared" si="66"/>
        <v>13354.146288209608</v>
      </c>
      <c r="AL11" s="131">
        <f t="shared" si="66"/>
        <v>0</v>
      </c>
      <c r="AM11" s="131">
        <f t="shared" si="66"/>
        <v>0</v>
      </c>
      <c r="AN11" s="131">
        <f t="shared" si="66"/>
        <v>0</v>
      </c>
      <c r="AO11" s="131">
        <f t="shared" si="66"/>
        <v>0</v>
      </c>
      <c r="AP11" s="131">
        <f t="shared" si="66"/>
        <v>0</v>
      </c>
      <c r="AQ11" s="131">
        <f t="shared" si="66"/>
        <v>0</v>
      </c>
      <c r="AR11" s="131">
        <f t="shared" si="66"/>
        <v>0</v>
      </c>
      <c r="AS11" s="4">
        <f t="shared" si="7"/>
        <v>0</v>
      </c>
      <c r="AT11" s="131">
        <f>(AT40/($B$11+$B$27)*$B$11)</f>
        <v>108492.54235807862</v>
      </c>
      <c r="AU11" s="4">
        <f t="shared" si="8"/>
        <v>3885601.9377838434</v>
      </c>
      <c r="AV11" s="131">
        <f>(AV40/($B$11+$B$27)*$B$11)</f>
        <v>0</v>
      </c>
      <c r="AW11" s="131">
        <f>(AW40/($B$11+$B$27)*$B$11)</f>
        <v>257041.8698580786</v>
      </c>
      <c r="AX11" s="4">
        <f t="shared" si="9"/>
        <v>-1.3387762010097504E-09</v>
      </c>
      <c r="AY11" s="131">
        <f aca="true" t="shared" si="67" ref="AY11:BE11">(AY40/($B$11+$B$27)*$B$11)</f>
        <v>0</v>
      </c>
      <c r="AZ11" s="131">
        <f t="shared" si="67"/>
        <v>0</v>
      </c>
      <c r="BA11" s="131">
        <f t="shared" si="67"/>
        <v>0</v>
      </c>
      <c r="BB11" s="131">
        <f t="shared" si="67"/>
        <v>0</v>
      </c>
      <c r="BC11" s="131">
        <f t="shared" si="67"/>
        <v>0</v>
      </c>
      <c r="BD11" s="131">
        <f t="shared" si="67"/>
        <v>0</v>
      </c>
      <c r="BE11" s="131">
        <f t="shared" si="67"/>
        <v>0</v>
      </c>
      <c r="BF11" s="43">
        <f t="shared" si="11"/>
        <v>0</v>
      </c>
      <c r="BG11" s="131">
        <f aca="true" t="shared" si="68" ref="BG11:BN11">(BG40/($B$11+$B$27)*$B$11)</f>
        <v>0</v>
      </c>
      <c r="BH11" s="131">
        <f t="shared" si="68"/>
        <v>0</v>
      </c>
      <c r="BI11" s="131">
        <f t="shared" si="68"/>
        <v>0</v>
      </c>
      <c r="BJ11" s="131">
        <f t="shared" si="68"/>
        <v>0</v>
      </c>
      <c r="BK11" s="131">
        <f t="shared" si="68"/>
        <v>0</v>
      </c>
      <c r="BL11" s="131">
        <f t="shared" si="68"/>
        <v>0</v>
      </c>
      <c r="BM11" s="131">
        <f t="shared" si="68"/>
        <v>0</v>
      </c>
      <c r="BN11" s="131">
        <f t="shared" si="68"/>
        <v>0</v>
      </c>
      <c r="BO11" s="43">
        <f t="shared" si="13"/>
        <v>0</v>
      </c>
      <c r="BP11" s="131">
        <f>(BP40/($B$11+$B$27)*$B$11)</f>
        <v>0</v>
      </c>
      <c r="BQ11" s="131">
        <f>(BQ40/($B$11+$B$27)*$B$11)</f>
        <v>0</v>
      </c>
      <c r="BR11" s="131">
        <f>(BR40/($B$11+$B$27)*$B$11)</f>
        <v>0</v>
      </c>
      <c r="BS11" s="43">
        <f t="shared" si="14"/>
        <v>0</v>
      </c>
      <c r="BT11" s="4">
        <f t="shared" si="15"/>
        <v>1852918.1518558953</v>
      </c>
      <c r="BU11" s="4">
        <f t="shared" si="16"/>
        <v>11688.827620087337</v>
      </c>
      <c r="BV11" s="4">
        <f t="shared" si="17"/>
        <v>0</v>
      </c>
      <c r="BW11" s="4">
        <f t="shared" si="17"/>
        <v>0</v>
      </c>
      <c r="BX11" s="4">
        <f t="shared" si="18"/>
        <v>1864606.9794759827</v>
      </c>
      <c r="BY11" s="4">
        <f t="shared" si="19"/>
        <v>1354774.351080786</v>
      </c>
      <c r="BZ11" s="4">
        <f t="shared" si="20"/>
        <v>0</v>
      </c>
      <c r="CA11" s="4">
        <f t="shared" si="20"/>
        <v>509832.6283951965</v>
      </c>
      <c r="CB11" s="4">
        <f t="shared" si="21"/>
        <v>1864606.9794759825</v>
      </c>
      <c r="CC11" s="4">
        <f t="shared" si="22"/>
        <v>0</v>
      </c>
      <c r="CD11" s="74">
        <f t="shared" si="23"/>
        <v>-249249.3181113537</v>
      </c>
      <c r="CE11" s="76">
        <f t="shared" si="24"/>
        <v>-249249.3181113537</v>
      </c>
      <c r="CF11" s="76">
        <f t="shared" si="25"/>
        <v>0</v>
      </c>
      <c r="CG11" s="76">
        <f t="shared" si="26"/>
        <v>3777109.395425765</v>
      </c>
      <c r="CH11" s="76">
        <f t="shared" si="27"/>
        <v>-23283.530076419218</v>
      </c>
      <c r="CI11" s="37">
        <f t="shared" si="28"/>
        <v>-15490.978329694328</v>
      </c>
      <c r="CJ11" s="37">
        <f t="shared" si="29"/>
        <v>532532.7510917031</v>
      </c>
      <c r="CK11" s="37">
        <f t="shared" si="30"/>
        <v>4026358.713537117</v>
      </c>
      <c r="CL11" s="141" t="str">
        <f t="shared" si="31"/>
        <v>-</v>
      </c>
      <c r="CM11" s="141" t="str">
        <f t="shared" si="32"/>
        <v>-</v>
      </c>
      <c r="CN11" s="141">
        <f t="shared" si="33"/>
        <v>-0.06598943584032935</v>
      </c>
      <c r="CO11" s="141">
        <f t="shared" si="34"/>
        <v>-0.06598943584032935</v>
      </c>
      <c r="CP11" s="141">
        <f t="shared" si="35"/>
        <v>-0.00616437800414691</v>
      </c>
      <c r="CQ11" s="141">
        <f t="shared" si="36"/>
        <v>-0.004101278704941546</v>
      </c>
      <c r="CR11" s="141">
        <f t="shared" si="37"/>
        <v>0.14098949628957588</v>
      </c>
      <c r="CS11" s="141" t="str">
        <f t="shared" si="38"/>
        <v>-</v>
      </c>
      <c r="CT11" s="141">
        <f t="shared" si="39"/>
        <v>0.39999999999999997</v>
      </c>
      <c r="CU11" s="141">
        <f t="shared" si="40"/>
        <v>0.39999999999999997</v>
      </c>
      <c r="CV11" s="142">
        <f t="shared" si="41"/>
        <v>-1.9985763834770471</v>
      </c>
      <c r="CW11" s="76">
        <f t="shared" si="42"/>
        <v>498143.8007751093</v>
      </c>
      <c r="CX11" s="80">
        <f t="shared" si="43"/>
        <v>4134851.2558951955</v>
      </c>
      <c r="CY11" s="80">
        <f t="shared" si="44"/>
        <v>3885601.9377838434</v>
      </c>
      <c r="CZ11" s="80">
        <f t="shared" si="45"/>
        <v>-249249.31811135216</v>
      </c>
      <c r="DA11" s="80">
        <f t="shared" si="46"/>
        <v>0</v>
      </c>
      <c r="DB11" s="80">
        <f t="shared" si="47"/>
        <v>-249249.31811135216</v>
      </c>
      <c r="DC11" s="80">
        <f t="shared" si="48"/>
        <v>-257041.86985807706</v>
      </c>
      <c r="DD11" s="80">
        <f t="shared" si="49"/>
        <v>0</v>
      </c>
      <c r="DE11" s="80">
        <f t="shared" si="50"/>
        <v>7792.55174672489</v>
      </c>
      <c r="DF11" s="80">
        <f t="shared" si="51"/>
        <v>-249249.31811135216</v>
      </c>
      <c r="DG11" s="80">
        <f t="shared" si="52"/>
        <v>-249249.31811135216</v>
      </c>
      <c r="DH11" s="80">
        <f t="shared" si="53"/>
        <v>-7792.55174672489</v>
      </c>
      <c r="DI11" s="80">
        <f t="shared" si="54"/>
        <v>-257041.86985807706</v>
      </c>
      <c r="DJ11" s="80">
        <f t="shared" si="55"/>
        <v>1470971.7725436683</v>
      </c>
      <c r="DK11" s="80">
        <f t="shared" si="56"/>
        <v>87.53185745477234</v>
      </c>
      <c r="DL11" s="80">
        <f t="shared" si="57"/>
        <v>-4.091289769182783</v>
      </c>
      <c r="DM11" s="80">
        <f t="shared" si="58"/>
        <v>258.47333905177794</v>
      </c>
      <c r="DN11" s="81">
        <f t="shared" si="59"/>
        <v>0</v>
      </c>
      <c r="DO11" s="76">
        <f t="shared" si="60"/>
        <v>-43.7971038677477</v>
      </c>
      <c r="DP11" s="145">
        <f t="shared" si="61"/>
        <v>498143.8007751092</v>
      </c>
      <c r="DQ11" s="131">
        <f>(DQ40/($B$11+$B$27)*$B$11)</f>
        <v>0</v>
      </c>
      <c r="DR11" s="65"/>
      <c r="DT11" s="178">
        <f>(DT40/($B$11+$B$27)*$B$11)</f>
        <v>1052305.4849344979</v>
      </c>
      <c r="DU11" s="178">
        <f aca="true" t="shared" si="69" ref="DU11:EL11">(DU40/($B$11+$B$27)*$B$11)</f>
        <v>452476.6588427947</v>
      </c>
      <c r="DV11" s="178">
        <f t="shared" si="69"/>
        <v>239639.73799126636</v>
      </c>
      <c r="DW11" s="178">
        <f t="shared" si="69"/>
        <v>108496.27008733625</v>
      </c>
      <c r="DX11" s="178">
        <f t="shared" si="69"/>
        <v>11688.827620087337</v>
      </c>
      <c r="DY11" s="178">
        <f t="shared" si="69"/>
        <v>0</v>
      </c>
      <c r="DZ11" s="178">
        <f t="shared" si="69"/>
        <v>0</v>
      </c>
      <c r="EA11" s="178">
        <f t="shared" si="69"/>
        <v>0</v>
      </c>
      <c r="EB11" s="178">
        <f t="shared" si="69"/>
        <v>0</v>
      </c>
      <c r="EC11" s="178">
        <f t="shared" si="69"/>
        <v>0</v>
      </c>
      <c r="ED11" s="173">
        <f>SUM(DT11:EC11)</f>
        <v>1864606.9794759827</v>
      </c>
      <c r="EE11" s="178">
        <f t="shared" si="69"/>
        <v>0</v>
      </c>
      <c r="EF11" s="178">
        <f t="shared" si="69"/>
        <v>0</v>
      </c>
      <c r="EG11" s="178">
        <f t="shared" si="69"/>
        <v>532532.7510917031</v>
      </c>
      <c r="EH11" s="178">
        <f t="shared" si="69"/>
        <v>0</v>
      </c>
      <c r="EI11" s="178">
        <f t="shared" si="69"/>
        <v>0</v>
      </c>
      <c r="EJ11" s="178">
        <f t="shared" si="69"/>
        <v>822241.599989083</v>
      </c>
      <c r="EK11" s="178">
        <f t="shared" si="69"/>
        <v>0</v>
      </c>
      <c r="EL11" s="178">
        <f t="shared" si="69"/>
        <v>509832.6283951965</v>
      </c>
      <c r="EM11" s="173">
        <f>SUM(EE11:EL11)</f>
        <v>1864606.9794759825</v>
      </c>
      <c r="EN11" s="173">
        <f t="shared" si="63"/>
        <v>0</v>
      </c>
    </row>
    <row r="12" spans="1:144" ht="12.75">
      <c r="A12" s="51" t="s">
        <v>7</v>
      </c>
      <c r="B12" s="42">
        <v>630</v>
      </c>
      <c r="C12" s="38">
        <v>1802991</v>
      </c>
      <c r="D12" s="66">
        <v>2861.89</v>
      </c>
      <c r="E12" s="66">
        <v>76.14</v>
      </c>
      <c r="F12" s="126">
        <v>3</v>
      </c>
      <c r="G12" s="132">
        <f aca="true" t="shared" si="70" ref="G12:L12">(G41/($B$12+$B$14+$B$23)*$B$12)</f>
        <v>12249.936787072245</v>
      </c>
      <c r="H12" s="132">
        <f t="shared" si="70"/>
        <v>2191.7352661596956</v>
      </c>
      <c r="I12" s="132">
        <f t="shared" si="70"/>
        <v>0</v>
      </c>
      <c r="J12" s="132">
        <f t="shared" si="70"/>
        <v>0</v>
      </c>
      <c r="K12" s="132">
        <f t="shared" si="70"/>
        <v>0</v>
      </c>
      <c r="L12" s="132">
        <f t="shared" si="70"/>
        <v>0</v>
      </c>
      <c r="M12" s="43">
        <f t="shared" si="1"/>
        <v>0</v>
      </c>
      <c r="N12" s="132">
        <f aca="true" t="shared" si="71" ref="N12:V12">(N41/($B$12+$B$14+$B$23)*$B$12)</f>
        <v>0</v>
      </c>
      <c r="O12" s="132">
        <f t="shared" si="71"/>
        <v>0</v>
      </c>
      <c r="P12" s="132">
        <f t="shared" si="71"/>
        <v>295932.9781368821</v>
      </c>
      <c r="Q12" s="132">
        <f t="shared" si="71"/>
        <v>0</v>
      </c>
      <c r="R12" s="132">
        <f t="shared" si="71"/>
        <v>0</v>
      </c>
      <c r="S12" s="132">
        <f t="shared" si="71"/>
        <v>0</v>
      </c>
      <c r="T12" s="132">
        <f t="shared" si="71"/>
        <v>0</v>
      </c>
      <c r="U12" s="132">
        <f t="shared" si="71"/>
        <v>0</v>
      </c>
      <c r="V12" s="132">
        <f t="shared" si="71"/>
        <v>0</v>
      </c>
      <c r="W12" s="43">
        <f t="shared" si="3"/>
        <v>0</v>
      </c>
      <c r="X12" s="132">
        <f>(X41/($B$12+$B$14+$B$23)*$B$12)</f>
        <v>0</v>
      </c>
      <c r="Y12" s="43">
        <f t="shared" si="4"/>
        <v>310374.65019011404</v>
      </c>
      <c r="Z12" s="132">
        <f>(Z41/($B$12+$B$14+$B$23)*$B$12)</f>
        <v>98483.46245247147</v>
      </c>
      <c r="AA12" s="132">
        <f>(AA41/($B$12+$B$14+$B$23)*$B$12)</f>
        <v>1488.1953422053234</v>
      </c>
      <c r="AB12" s="132">
        <f>(AB41/($B$12+$B$14+$B$23)*$B$12)</f>
        <v>0</v>
      </c>
      <c r="AC12" s="132">
        <f>(AC41/($B$12+$B$14+$B$23)*$B$12)</f>
        <v>5470.789448669201</v>
      </c>
      <c r="AD12" s="132">
        <f>(AD41/($B$12+$B$14+$B$23)*$B$12)</f>
        <v>0</v>
      </c>
      <c r="AE12" s="43">
        <f t="shared" si="5"/>
        <v>105442.44724334599</v>
      </c>
      <c r="AF12" s="132">
        <f aca="true" t="shared" si="72" ref="AF12:AR12">(AF41/($B$12+$B$14+$B$23)*$B$12)</f>
        <v>0</v>
      </c>
      <c r="AG12" s="132">
        <f t="shared" si="72"/>
        <v>4980.144011406844</v>
      </c>
      <c r="AH12" s="132">
        <f t="shared" si="72"/>
        <v>0</v>
      </c>
      <c r="AI12" s="132">
        <f t="shared" si="72"/>
        <v>85021.49429657795</v>
      </c>
      <c r="AJ12" s="132">
        <f t="shared" si="72"/>
        <v>0</v>
      </c>
      <c r="AK12" s="132">
        <f t="shared" si="72"/>
        <v>0</v>
      </c>
      <c r="AL12" s="132">
        <f t="shared" si="72"/>
        <v>703.9890684410645</v>
      </c>
      <c r="AM12" s="132">
        <f t="shared" si="72"/>
        <v>0</v>
      </c>
      <c r="AN12" s="132">
        <f t="shared" si="72"/>
        <v>0</v>
      </c>
      <c r="AO12" s="132">
        <f t="shared" si="72"/>
        <v>0</v>
      </c>
      <c r="AP12" s="132">
        <f t="shared" si="72"/>
        <v>0</v>
      </c>
      <c r="AQ12" s="132">
        <f t="shared" si="72"/>
        <v>0</v>
      </c>
      <c r="AR12" s="132">
        <f t="shared" si="72"/>
        <v>0</v>
      </c>
      <c r="AS12" s="4">
        <f t="shared" si="7"/>
        <v>0</v>
      </c>
      <c r="AT12" s="132">
        <f>(AT41/($B$12+$B$14+$B$23)*$B$12)</f>
        <v>0</v>
      </c>
      <c r="AU12" s="4">
        <f t="shared" si="8"/>
        <v>196148.07461977188</v>
      </c>
      <c r="AV12" s="132">
        <f>(AV41/($B$12+$B$14+$B$23)*$B$12)</f>
        <v>0</v>
      </c>
      <c r="AW12" s="132">
        <f>(AW41/($B$12+$B$14+$B$23)*$B$12)</f>
        <v>114226.57557034222</v>
      </c>
      <c r="AX12" s="4">
        <f t="shared" si="9"/>
        <v>0</v>
      </c>
      <c r="AY12" s="132">
        <f aca="true" t="shared" si="73" ref="AY12:BE12">(AY41/($B$12+$B$14+$B$23)*$B$12)</f>
        <v>0</v>
      </c>
      <c r="AZ12" s="132">
        <f t="shared" si="73"/>
        <v>0</v>
      </c>
      <c r="BA12" s="132">
        <f t="shared" si="73"/>
        <v>0</v>
      </c>
      <c r="BB12" s="132">
        <f t="shared" si="73"/>
        <v>0</v>
      </c>
      <c r="BC12" s="132">
        <f t="shared" si="73"/>
        <v>0</v>
      </c>
      <c r="BD12" s="132">
        <f t="shared" si="73"/>
        <v>0</v>
      </c>
      <c r="BE12" s="132">
        <f t="shared" si="73"/>
        <v>0</v>
      </c>
      <c r="BF12" s="43">
        <f t="shared" si="11"/>
        <v>0</v>
      </c>
      <c r="BG12" s="132">
        <f aca="true" t="shared" si="74" ref="BG12:BN12">(BG41/($B$12+$B$14+$B$23)*$B$12)</f>
        <v>0</v>
      </c>
      <c r="BH12" s="132">
        <f t="shared" si="74"/>
        <v>0</v>
      </c>
      <c r="BI12" s="132">
        <f t="shared" si="74"/>
        <v>0</v>
      </c>
      <c r="BJ12" s="132">
        <f t="shared" si="74"/>
        <v>0</v>
      </c>
      <c r="BK12" s="132">
        <f t="shared" si="74"/>
        <v>0</v>
      </c>
      <c r="BL12" s="132">
        <f t="shared" si="74"/>
        <v>0</v>
      </c>
      <c r="BM12" s="132">
        <f t="shared" si="74"/>
        <v>0</v>
      </c>
      <c r="BN12" s="132">
        <f t="shared" si="74"/>
        <v>0</v>
      </c>
      <c r="BO12" s="43">
        <f t="shared" si="13"/>
        <v>0</v>
      </c>
      <c r="BP12" s="132">
        <f>(BP41/($B$12+$B$14+$B$23)*$B$12)</f>
        <v>0</v>
      </c>
      <c r="BQ12" s="132">
        <f>(BQ41/($B$12+$B$14+$B$23)*$B$12)</f>
        <v>0</v>
      </c>
      <c r="BR12" s="132">
        <f>(BR41/($B$12+$B$14+$B$23)*$B$12)</f>
        <v>0</v>
      </c>
      <c r="BS12" s="43">
        <f t="shared" si="14"/>
        <v>0</v>
      </c>
      <c r="BT12" s="4">
        <f t="shared" si="15"/>
        <v>495133.3129277567</v>
      </c>
      <c r="BU12" s="4">
        <f t="shared" si="16"/>
        <v>74047.7566539924</v>
      </c>
      <c r="BV12" s="4">
        <f t="shared" si="17"/>
        <v>0</v>
      </c>
      <c r="BW12" s="4">
        <f t="shared" si="17"/>
        <v>0</v>
      </c>
      <c r="BX12" s="4">
        <f t="shared" si="18"/>
        <v>569181.0695817492</v>
      </c>
      <c r="BY12" s="4">
        <f t="shared" si="19"/>
        <v>90081.73574144488</v>
      </c>
      <c r="BZ12" s="4">
        <f t="shared" si="20"/>
        <v>0</v>
      </c>
      <c r="CA12" s="4">
        <f t="shared" si="20"/>
        <v>479099.33384030417</v>
      </c>
      <c r="CB12" s="4">
        <f t="shared" si="21"/>
        <v>569181.069581749</v>
      </c>
      <c r="CC12" s="4">
        <f t="shared" si="22"/>
        <v>0</v>
      </c>
      <c r="CD12" s="74">
        <f t="shared" si="23"/>
        <v>-114226.57557034222</v>
      </c>
      <c r="CE12" s="76">
        <f t="shared" si="24"/>
        <v>-114226.57557034222</v>
      </c>
      <c r="CF12" s="76">
        <f t="shared" si="25"/>
        <v>0</v>
      </c>
      <c r="CG12" s="76">
        <f t="shared" si="26"/>
        <v>196148.07461977188</v>
      </c>
      <c r="CH12" s="76">
        <f t="shared" si="27"/>
        <v>-4980.144011406844</v>
      </c>
      <c r="CI12" s="37">
        <f t="shared" si="28"/>
        <v>-4980.144011406844</v>
      </c>
      <c r="CJ12" s="37">
        <f t="shared" si="29"/>
        <v>0</v>
      </c>
      <c r="CK12" s="37">
        <f t="shared" si="30"/>
        <v>310374.65019011404</v>
      </c>
      <c r="CL12" s="141" t="str">
        <f t="shared" si="31"/>
        <v>-</v>
      </c>
      <c r="CM12" s="141" t="str">
        <f t="shared" si="32"/>
        <v>-</v>
      </c>
      <c r="CN12" s="141">
        <f t="shared" si="33"/>
        <v>-0.5823486964721298</v>
      </c>
      <c r="CO12" s="141">
        <f t="shared" si="34"/>
        <v>-0.5823486964721298</v>
      </c>
      <c r="CP12" s="141">
        <f t="shared" si="35"/>
        <v>-0.025389716524420278</v>
      </c>
      <c r="CQ12" s="141">
        <f t="shared" si="36"/>
        <v>-0.025389716524420278</v>
      </c>
      <c r="CR12" s="141" t="str">
        <f t="shared" si="37"/>
        <v>-</v>
      </c>
      <c r="CS12" s="141" t="str">
        <f t="shared" si="38"/>
        <v>-</v>
      </c>
      <c r="CT12" s="141">
        <f t="shared" si="39"/>
        <v>0</v>
      </c>
      <c r="CU12" s="141">
        <f t="shared" si="40"/>
        <v>0</v>
      </c>
      <c r="CV12" s="142">
        <f t="shared" si="41"/>
        <v>-3.5460362456272336</v>
      </c>
      <c r="CW12" s="76">
        <f t="shared" si="42"/>
        <v>405051.5771863118</v>
      </c>
      <c r="CX12" s="80">
        <f t="shared" si="43"/>
        <v>310374.65019011404</v>
      </c>
      <c r="CY12" s="80">
        <f t="shared" si="44"/>
        <v>196148.07461977188</v>
      </c>
      <c r="CZ12" s="80">
        <f t="shared" si="45"/>
        <v>-114226.57557034216</v>
      </c>
      <c r="DA12" s="80">
        <f t="shared" si="46"/>
        <v>0</v>
      </c>
      <c r="DB12" s="80">
        <f t="shared" si="47"/>
        <v>-114226.57557034216</v>
      </c>
      <c r="DC12" s="80">
        <f t="shared" si="48"/>
        <v>-114226.57557034216</v>
      </c>
      <c r="DD12" s="80">
        <f t="shared" si="49"/>
        <v>0</v>
      </c>
      <c r="DE12" s="80">
        <f t="shared" si="50"/>
        <v>0</v>
      </c>
      <c r="DF12" s="80">
        <f t="shared" si="51"/>
        <v>-114226.57557034216</v>
      </c>
      <c r="DG12" s="80">
        <f t="shared" si="52"/>
        <v>-114226.57557034216</v>
      </c>
      <c r="DH12" s="80">
        <f t="shared" si="53"/>
        <v>0</v>
      </c>
      <c r="DI12" s="80">
        <f t="shared" si="54"/>
        <v>-114226.57557034216</v>
      </c>
      <c r="DJ12" s="80">
        <f t="shared" si="55"/>
        <v>99971.6577946768</v>
      </c>
      <c r="DK12" s="80">
        <f t="shared" si="56"/>
        <v>642.9390114068442</v>
      </c>
      <c r="DL12" s="80">
        <f t="shared" si="57"/>
        <v>-7.904990494296578</v>
      </c>
      <c r="DM12" s="80">
        <f t="shared" si="58"/>
        <v>158.68517110266157</v>
      </c>
      <c r="DN12" s="81">
        <f t="shared" si="59"/>
        <v>0</v>
      </c>
      <c r="DO12" s="76">
        <f t="shared" si="60"/>
        <v>-181.31202471482882</v>
      </c>
      <c r="DP12" s="145">
        <f t="shared" si="61"/>
        <v>405051.57718631177</v>
      </c>
      <c r="DQ12" s="132">
        <f>(DQ41/($B$12+$B$14+$B$23)*$B$12)</f>
        <v>0</v>
      </c>
      <c r="DR12" s="68"/>
      <c r="DT12" s="179">
        <f>(DT41/($B$12+$B$14+$B$23)*$B$12)</f>
        <v>131912.54401140683</v>
      </c>
      <c r="DU12" s="179">
        <f aca="true" t="shared" si="75" ref="DU12:EL12">(DU41/($B$12+$B$14+$B$23)*$B$12)</f>
        <v>43365.03792775665</v>
      </c>
      <c r="DV12" s="179">
        <f t="shared" si="75"/>
        <v>319855.7309885932</v>
      </c>
      <c r="DW12" s="179">
        <f t="shared" si="75"/>
        <v>0</v>
      </c>
      <c r="DX12" s="179">
        <f t="shared" si="75"/>
        <v>0.5988593155893536</v>
      </c>
      <c r="DY12" s="179">
        <f t="shared" si="75"/>
        <v>74047.15779467681</v>
      </c>
      <c r="DZ12" s="179">
        <f t="shared" si="75"/>
        <v>0</v>
      </c>
      <c r="EA12" s="179">
        <f t="shared" si="75"/>
        <v>0</v>
      </c>
      <c r="EB12" s="179">
        <f t="shared" si="75"/>
        <v>0</v>
      </c>
      <c r="EC12" s="179">
        <f t="shared" si="75"/>
        <v>0</v>
      </c>
      <c r="ED12" s="175">
        <f>SUM(DT12:EC12)</f>
        <v>569181.069581749</v>
      </c>
      <c r="EE12" s="179">
        <f t="shared" si="75"/>
        <v>1284.8227186311788</v>
      </c>
      <c r="EF12" s="179">
        <f t="shared" si="75"/>
        <v>0</v>
      </c>
      <c r="EG12" s="179">
        <f t="shared" si="75"/>
        <v>0</v>
      </c>
      <c r="EH12" s="179">
        <f t="shared" si="75"/>
        <v>0</v>
      </c>
      <c r="EI12" s="179">
        <f t="shared" si="75"/>
        <v>0</v>
      </c>
      <c r="EJ12" s="179">
        <f t="shared" si="75"/>
        <v>88796.9130228137</v>
      </c>
      <c r="EK12" s="179">
        <f t="shared" si="75"/>
        <v>0</v>
      </c>
      <c r="EL12" s="179">
        <f t="shared" si="75"/>
        <v>479099.33384030417</v>
      </c>
      <c r="EM12" s="175">
        <f>SUM(EE12:EL12)</f>
        <v>569181.069581749</v>
      </c>
      <c r="EN12" s="175">
        <f t="shared" si="63"/>
        <v>0</v>
      </c>
    </row>
    <row r="13" spans="1:144" ht="12.75">
      <c r="A13" s="52" t="s">
        <v>8</v>
      </c>
      <c r="B13" s="43"/>
      <c r="C13" s="4"/>
      <c r="D13" s="69"/>
      <c r="E13" s="69"/>
      <c r="F13" s="8"/>
      <c r="G13" s="131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74"/>
      <c r="CE13" s="76"/>
      <c r="CF13" s="76"/>
      <c r="CG13" s="76"/>
      <c r="CH13" s="76"/>
      <c r="CI13" s="37"/>
      <c r="CJ13" s="37"/>
      <c r="CK13" s="37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2"/>
      <c r="CW13" s="76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1"/>
      <c r="DO13" s="76"/>
      <c r="DP13" s="145"/>
      <c r="DQ13" s="160"/>
      <c r="DR13" s="65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3"/>
      <c r="EE13" s="178"/>
      <c r="EF13" s="178"/>
      <c r="EG13" s="178"/>
      <c r="EH13" s="178"/>
      <c r="EI13" s="178"/>
      <c r="EJ13" s="178"/>
      <c r="EK13" s="178"/>
      <c r="EL13" s="178"/>
      <c r="EM13" s="173"/>
      <c r="EN13" s="173"/>
    </row>
    <row r="14" spans="1:144" ht="12.75">
      <c r="A14" s="51" t="s">
        <v>33</v>
      </c>
      <c r="B14" s="42">
        <v>173</v>
      </c>
      <c r="C14" s="38">
        <v>553759</v>
      </c>
      <c r="D14" s="66">
        <v>3200.92</v>
      </c>
      <c r="E14" s="66">
        <v>85.16</v>
      </c>
      <c r="F14" s="126">
        <v>3</v>
      </c>
      <c r="G14" s="132">
        <f aca="true" t="shared" si="76" ref="G14:L14">(G41/($B$12+$B$14+$B$23)*$B$14)</f>
        <v>3363.8715304182515</v>
      </c>
      <c r="H14" s="132">
        <f t="shared" si="76"/>
        <v>601.8574619771863</v>
      </c>
      <c r="I14" s="132">
        <f t="shared" si="76"/>
        <v>0</v>
      </c>
      <c r="J14" s="132">
        <f t="shared" si="76"/>
        <v>0</v>
      </c>
      <c r="K14" s="132">
        <f t="shared" si="76"/>
        <v>0</v>
      </c>
      <c r="L14" s="132">
        <f t="shared" si="76"/>
        <v>0</v>
      </c>
      <c r="M14" s="43">
        <f t="shared" si="1"/>
        <v>0</v>
      </c>
      <c r="N14" s="132">
        <f aca="true" t="shared" si="77" ref="N14:V14">(N41/($B$12+$B$14+$B$23)*$B$14)</f>
        <v>0</v>
      </c>
      <c r="O14" s="132">
        <f t="shared" si="77"/>
        <v>0</v>
      </c>
      <c r="P14" s="132">
        <f t="shared" si="77"/>
        <v>81264.13526615969</v>
      </c>
      <c r="Q14" s="132">
        <f t="shared" si="77"/>
        <v>0</v>
      </c>
      <c r="R14" s="132">
        <f t="shared" si="77"/>
        <v>0</v>
      </c>
      <c r="S14" s="132">
        <f t="shared" si="77"/>
        <v>0</v>
      </c>
      <c r="T14" s="132">
        <f t="shared" si="77"/>
        <v>0</v>
      </c>
      <c r="U14" s="132">
        <f t="shared" si="77"/>
        <v>0</v>
      </c>
      <c r="V14" s="132">
        <f t="shared" si="77"/>
        <v>0</v>
      </c>
      <c r="W14" s="43">
        <f t="shared" si="3"/>
        <v>0</v>
      </c>
      <c r="X14" s="132">
        <f>(X41/($B$12+$B$14+$B$23)*$B$14)</f>
        <v>0</v>
      </c>
      <c r="Y14" s="43">
        <f t="shared" si="4"/>
        <v>85229.86425855513</v>
      </c>
      <c r="Z14" s="132">
        <f>(Z41/($B$12+$B$14+$B$23)*$B$14)</f>
        <v>27043.871435361216</v>
      </c>
      <c r="AA14" s="132">
        <f>(AA41/($B$12+$B$14+$B$23)*$B$14)</f>
        <v>408.6631653992396</v>
      </c>
      <c r="AB14" s="132">
        <f>(AB41/($B$12+$B$14+$B$23)*$B$14)</f>
        <v>0</v>
      </c>
      <c r="AC14" s="132">
        <f>(AC41/($B$12+$B$14+$B$23)*$B$14)</f>
        <v>1502.296150190114</v>
      </c>
      <c r="AD14" s="132">
        <f>(AD41/($B$12+$B$14+$B$23)*$B$14)</f>
        <v>0</v>
      </c>
      <c r="AE14" s="43">
        <f t="shared" si="5"/>
        <v>28954.830750950572</v>
      </c>
      <c r="AF14" s="132">
        <f aca="true" t="shared" si="78" ref="AF14:AR14">(AF41/($B$12+$B$14+$B$23)*$B$14)</f>
        <v>0</v>
      </c>
      <c r="AG14" s="132">
        <f t="shared" si="78"/>
        <v>1367.563355513308</v>
      </c>
      <c r="AH14" s="132">
        <f t="shared" si="78"/>
        <v>0</v>
      </c>
      <c r="AI14" s="132">
        <f t="shared" si="78"/>
        <v>23347.172243346005</v>
      </c>
      <c r="AJ14" s="132">
        <f t="shared" si="78"/>
        <v>0</v>
      </c>
      <c r="AK14" s="132">
        <f t="shared" si="78"/>
        <v>0</v>
      </c>
      <c r="AL14" s="132">
        <f t="shared" si="78"/>
        <v>193.3176330798479</v>
      </c>
      <c r="AM14" s="132">
        <f t="shared" si="78"/>
        <v>0</v>
      </c>
      <c r="AN14" s="132">
        <f t="shared" si="78"/>
        <v>0</v>
      </c>
      <c r="AO14" s="132">
        <f t="shared" si="78"/>
        <v>0</v>
      </c>
      <c r="AP14" s="132">
        <f t="shared" si="78"/>
        <v>0</v>
      </c>
      <c r="AQ14" s="132">
        <f t="shared" si="78"/>
        <v>0</v>
      </c>
      <c r="AR14" s="132">
        <f t="shared" si="78"/>
        <v>0</v>
      </c>
      <c r="AS14" s="4">
        <f t="shared" si="7"/>
        <v>0</v>
      </c>
      <c r="AT14" s="132">
        <f>(AT41/($B$12+$B$14+$B$23)*$B$14)</f>
        <v>0</v>
      </c>
      <c r="AU14" s="4">
        <f t="shared" si="8"/>
        <v>53862.88398288973</v>
      </c>
      <c r="AV14" s="132">
        <f>(AV41/($B$12+$B$14+$B$23)*$B$14)</f>
        <v>0</v>
      </c>
      <c r="AW14" s="132">
        <f>(AW41/($B$12+$B$14+$B$23)*$B$14)</f>
        <v>31366.980275665403</v>
      </c>
      <c r="AX14" s="4">
        <f t="shared" si="9"/>
        <v>0</v>
      </c>
      <c r="AY14" s="132">
        <f aca="true" t="shared" si="79" ref="AY14:BE14">(AY41/($B$12+$B$14+$B$23)*$B$14)</f>
        <v>0</v>
      </c>
      <c r="AZ14" s="132">
        <f t="shared" si="79"/>
        <v>0</v>
      </c>
      <c r="BA14" s="132">
        <f t="shared" si="79"/>
        <v>0</v>
      </c>
      <c r="BB14" s="132">
        <f t="shared" si="79"/>
        <v>0</v>
      </c>
      <c r="BC14" s="132">
        <f t="shared" si="79"/>
        <v>0</v>
      </c>
      <c r="BD14" s="132">
        <f t="shared" si="79"/>
        <v>0</v>
      </c>
      <c r="BE14" s="132">
        <f t="shared" si="79"/>
        <v>0</v>
      </c>
      <c r="BF14" s="43">
        <f t="shared" si="11"/>
        <v>0</v>
      </c>
      <c r="BG14" s="132">
        <f aca="true" t="shared" si="80" ref="BG14:BN14">(BG41/($B$12+$B$14+$B$23)*$B$14)</f>
        <v>0</v>
      </c>
      <c r="BH14" s="132">
        <f t="shared" si="80"/>
        <v>0</v>
      </c>
      <c r="BI14" s="132">
        <f t="shared" si="80"/>
        <v>0</v>
      </c>
      <c r="BJ14" s="132">
        <f t="shared" si="80"/>
        <v>0</v>
      </c>
      <c r="BK14" s="132">
        <f t="shared" si="80"/>
        <v>0</v>
      </c>
      <c r="BL14" s="132">
        <f t="shared" si="80"/>
        <v>0</v>
      </c>
      <c r="BM14" s="132">
        <f t="shared" si="80"/>
        <v>0</v>
      </c>
      <c r="BN14" s="132">
        <f t="shared" si="80"/>
        <v>0</v>
      </c>
      <c r="BO14" s="43">
        <f t="shared" si="13"/>
        <v>0</v>
      </c>
      <c r="BP14" s="132">
        <f>(BP41/($B$12+$B$14+$B$23)*$B$14)</f>
        <v>0</v>
      </c>
      <c r="BQ14" s="132">
        <f>(BQ41/($B$12+$B$14+$B$23)*$B$14)</f>
        <v>0</v>
      </c>
      <c r="BR14" s="132">
        <f>(BR41/($B$12+$B$14+$B$23)*$B$14)</f>
        <v>0</v>
      </c>
      <c r="BS14" s="43">
        <f t="shared" si="14"/>
        <v>0</v>
      </c>
      <c r="BT14" s="4">
        <f t="shared" si="15"/>
        <v>135965.17958174908</v>
      </c>
      <c r="BU14" s="4">
        <f t="shared" si="16"/>
        <v>20333.749049429658</v>
      </c>
      <c r="BV14" s="4">
        <f t="shared" si="17"/>
        <v>0</v>
      </c>
      <c r="BW14" s="4">
        <f t="shared" si="17"/>
        <v>0</v>
      </c>
      <c r="BX14" s="4">
        <f t="shared" si="18"/>
        <v>156298.92863117874</v>
      </c>
      <c r="BY14" s="4">
        <f t="shared" si="19"/>
        <v>24736.73060836502</v>
      </c>
      <c r="BZ14" s="4">
        <f t="shared" si="20"/>
        <v>0</v>
      </c>
      <c r="CA14" s="4">
        <f t="shared" si="20"/>
        <v>131562.19802281368</v>
      </c>
      <c r="CB14" s="4">
        <f t="shared" si="21"/>
        <v>156298.9286311787</v>
      </c>
      <c r="CC14" s="4">
        <f t="shared" si="22"/>
        <v>0</v>
      </c>
      <c r="CD14" s="74">
        <f t="shared" si="23"/>
        <v>-31366.980275665403</v>
      </c>
      <c r="CE14" s="76">
        <f t="shared" si="24"/>
        <v>-31366.980275665403</v>
      </c>
      <c r="CF14" s="76">
        <f t="shared" si="25"/>
        <v>0</v>
      </c>
      <c r="CG14" s="76">
        <f t="shared" si="26"/>
        <v>53862.88398288973</v>
      </c>
      <c r="CH14" s="76">
        <f t="shared" si="27"/>
        <v>-1367.563355513308</v>
      </c>
      <c r="CI14" s="37">
        <f t="shared" si="28"/>
        <v>-1367.563355513308</v>
      </c>
      <c r="CJ14" s="37">
        <f t="shared" si="29"/>
        <v>0</v>
      </c>
      <c r="CK14" s="37">
        <f t="shared" si="30"/>
        <v>85229.86425855513</v>
      </c>
      <c r="CL14" s="141" t="str">
        <f t="shared" si="31"/>
        <v>-</v>
      </c>
      <c r="CM14" s="141" t="str">
        <f t="shared" si="32"/>
        <v>-</v>
      </c>
      <c r="CN14" s="141">
        <f t="shared" si="33"/>
        <v>-0.58234869647213</v>
      </c>
      <c r="CO14" s="141">
        <f t="shared" si="34"/>
        <v>-0.58234869647213</v>
      </c>
      <c r="CP14" s="141">
        <f t="shared" si="35"/>
        <v>-0.02538971652442028</v>
      </c>
      <c r="CQ14" s="141">
        <f t="shared" si="36"/>
        <v>-0.02538971652442028</v>
      </c>
      <c r="CR14" s="141" t="str">
        <f t="shared" si="37"/>
        <v>-</v>
      </c>
      <c r="CS14" s="141" t="str">
        <f t="shared" si="38"/>
        <v>-</v>
      </c>
      <c r="CT14" s="141">
        <f t="shared" si="39"/>
        <v>0</v>
      </c>
      <c r="CU14" s="141">
        <f t="shared" si="40"/>
        <v>0</v>
      </c>
      <c r="CV14" s="142">
        <f t="shared" si="41"/>
        <v>-3.5460362456272345</v>
      </c>
      <c r="CW14" s="76">
        <f t="shared" si="42"/>
        <v>111228.44897338406</v>
      </c>
      <c r="CX14" s="80">
        <f t="shared" si="43"/>
        <v>85229.86425855513</v>
      </c>
      <c r="CY14" s="80">
        <f t="shared" si="44"/>
        <v>53862.88398288973</v>
      </c>
      <c r="CZ14" s="80">
        <f t="shared" si="45"/>
        <v>-31366.980275665395</v>
      </c>
      <c r="DA14" s="80">
        <f t="shared" si="46"/>
        <v>0</v>
      </c>
      <c r="DB14" s="80">
        <f t="shared" si="47"/>
        <v>-31366.980275665395</v>
      </c>
      <c r="DC14" s="80">
        <f t="shared" si="48"/>
        <v>-31366.980275665395</v>
      </c>
      <c r="DD14" s="80">
        <f t="shared" si="49"/>
        <v>0</v>
      </c>
      <c r="DE14" s="80">
        <f t="shared" si="50"/>
        <v>0</v>
      </c>
      <c r="DF14" s="80">
        <f t="shared" si="51"/>
        <v>-31366.980275665395</v>
      </c>
      <c r="DG14" s="80">
        <f t="shared" si="52"/>
        <v>-31366.980275665395</v>
      </c>
      <c r="DH14" s="80">
        <f t="shared" si="53"/>
        <v>0</v>
      </c>
      <c r="DI14" s="80">
        <f t="shared" si="54"/>
        <v>-31366.980275665395</v>
      </c>
      <c r="DJ14" s="80">
        <f t="shared" si="55"/>
        <v>27452.534600760457</v>
      </c>
      <c r="DK14" s="80">
        <f t="shared" si="56"/>
        <v>642.9390114068443</v>
      </c>
      <c r="DL14" s="80">
        <f t="shared" si="57"/>
        <v>-7.904990494296578</v>
      </c>
      <c r="DM14" s="80">
        <f t="shared" si="58"/>
        <v>158.6851711026616</v>
      </c>
      <c r="DN14" s="81">
        <f t="shared" si="59"/>
        <v>0</v>
      </c>
      <c r="DO14" s="76">
        <f t="shared" si="60"/>
        <v>-181.31202471482888</v>
      </c>
      <c r="DP14" s="145">
        <f t="shared" si="61"/>
        <v>111228.44897338402</v>
      </c>
      <c r="DQ14" s="132">
        <f>(DQ41/($B$12+$B$14+$B$23)*$B$14)</f>
        <v>0</v>
      </c>
      <c r="DR14" s="68"/>
      <c r="DT14" s="179">
        <f>(DT41/($B$12+$B$14+$B$23)*$B$14)</f>
        <v>36223.60335551331</v>
      </c>
      <c r="DU14" s="179">
        <f aca="true" t="shared" si="81" ref="DU14:EL14">(DU41/($B$12+$B$14+$B$23)*$B$14)</f>
        <v>11908.17708174905</v>
      </c>
      <c r="DV14" s="179">
        <f t="shared" si="81"/>
        <v>87833.3991444867</v>
      </c>
      <c r="DW14" s="179">
        <f t="shared" si="81"/>
        <v>0</v>
      </c>
      <c r="DX14" s="179">
        <f t="shared" si="81"/>
        <v>0.1644486692015209</v>
      </c>
      <c r="DY14" s="179">
        <f t="shared" si="81"/>
        <v>20333.584600760456</v>
      </c>
      <c r="DZ14" s="179">
        <f t="shared" si="81"/>
        <v>0</v>
      </c>
      <c r="EA14" s="179">
        <f t="shared" si="81"/>
        <v>0</v>
      </c>
      <c r="EB14" s="179">
        <f t="shared" si="81"/>
        <v>0</v>
      </c>
      <c r="EC14" s="179">
        <f t="shared" si="81"/>
        <v>0</v>
      </c>
      <c r="ED14" s="175">
        <f>SUM(DT14:EC14)</f>
        <v>156298.92863117874</v>
      </c>
      <c r="EE14" s="179">
        <f t="shared" si="81"/>
        <v>352.816397338403</v>
      </c>
      <c r="EF14" s="179">
        <f t="shared" si="81"/>
        <v>0</v>
      </c>
      <c r="EG14" s="179">
        <f t="shared" si="81"/>
        <v>0</v>
      </c>
      <c r="EH14" s="179">
        <f t="shared" si="81"/>
        <v>0</v>
      </c>
      <c r="EI14" s="179">
        <f t="shared" si="81"/>
        <v>0</v>
      </c>
      <c r="EJ14" s="179">
        <f t="shared" si="81"/>
        <v>24383.914211026615</v>
      </c>
      <c r="EK14" s="179">
        <f t="shared" si="81"/>
        <v>0</v>
      </c>
      <c r="EL14" s="179">
        <f t="shared" si="81"/>
        <v>131562.19802281368</v>
      </c>
      <c r="EM14" s="175">
        <f>SUM(EE14:EL14)</f>
        <v>156298.9286311787</v>
      </c>
      <c r="EN14" s="175">
        <f t="shared" si="63"/>
        <v>0</v>
      </c>
    </row>
    <row r="15" spans="1:144" ht="12.75">
      <c r="A15" s="52" t="s">
        <v>9</v>
      </c>
      <c r="B15" s="43">
        <v>1129</v>
      </c>
      <c r="C15" s="4">
        <v>3552921</v>
      </c>
      <c r="D15" s="69">
        <v>3146.96</v>
      </c>
      <c r="E15" s="69">
        <v>83.73</v>
      </c>
      <c r="F15" s="8">
        <v>6</v>
      </c>
      <c r="G15" s="131">
        <v>32110.95</v>
      </c>
      <c r="H15" s="43">
        <v>12503.4</v>
      </c>
      <c r="I15" s="43">
        <v>4977.1</v>
      </c>
      <c r="J15" s="43">
        <v>0</v>
      </c>
      <c r="K15" s="43">
        <v>11700</v>
      </c>
      <c r="L15" s="43">
        <v>40000</v>
      </c>
      <c r="M15" s="43">
        <f t="shared" si="1"/>
        <v>51700</v>
      </c>
      <c r="N15" s="43">
        <v>0</v>
      </c>
      <c r="O15" s="43">
        <v>4560.4</v>
      </c>
      <c r="P15" s="43">
        <v>357153.15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f t="shared" si="3"/>
        <v>0</v>
      </c>
      <c r="X15" s="43">
        <v>0</v>
      </c>
      <c r="Y15" s="43">
        <f t="shared" si="4"/>
        <v>463005</v>
      </c>
      <c r="Z15" s="43">
        <v>192812.95</v>
      </c>
      <c r="AA15" s="43">
        <v>76578.95</v>
      </c>
      <c r="AB15" s="43">
        <v>0</v>
      </c>
      <c r="AC15" s="43">
        <v>9804</v>
      </c>
      <c r="AD15" s="43">
        <v>0</v>
      </c>
      <c r="AE15" s="43">
        <f t="shared" si="5"/>
        <v>279195.9</v>
      </c>
      <c r="AF15" s="43">
        <v>0</v>
      </c>
      <c r="AG15" s="43">
        <v>1450.5</v>
      </c>
      <c r="AH15" s="43">
        <v>0</v>
      </c>
      <c r="AI15" s="43">
        <v>183546.22</v>
      </c>
      <c r="AJ15" s="43">
        <v>0</v>
      </c>
      <c r="AK15" s="43">
        <v>2250</v>
      </c>
      <c r="AL15" s="43">
        <v>0</v>
      </c>
      <c r="AM15" s="43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f t="shared" si="7"/>
        <v>0</v>
      </c>
      <c r="AT15" s="4">
        <v>0</v>
      </c>
      <c r="AU15" s="4">
        <f t="shared" si="8"/>
        <v>466442.62</v>
      </c>
      <c r="AV15" s="4">
        <v>3437.62</v>
      </c>
      <c r="AW15" s="4">
        <v>0</v>
      </c>
      <c r="AX15" s="4">
        <f t="shared" si="9"/>
        <v>4.547473508864641E-12</v>
      </c>
      <c r="AY15" s="43"/>
      <c r="AZ15" s="43"/>
      <c r="BA15" s="43"/>
      <c r="BB15" s="43"/>
      <c r="BC15" s="43"/>
      <c r="BD15" s="43"/>
      <c r="BE15" s="43"/>
      <c r="BF15" s="43">
        <f t="shared" si="11"/>
        <v>0</v>
      </c>
      <c r="BG15" s="43"/>
      <c r="BH15" s="43"/>
      <c r="BI15" s="43"/>
      <c r="BJ15" s="43"/>
      <c r="BK15" s="43"/>
      <c r="BL15" s="43"/>
      <c r="BM15" s="43"/>
      <c r="BN15" s="43"/>
      <c r="BO15" s="43">
        <f t="shared" si="13"/>
        <v>0</v>
      </c>
      <c r="BP15" s="43"/>
      <c r="BQ15" s="43"/>
      <c r="BR15" s="43"/>
      <c r="BS15" s="43">
        <f t="shared" si="14"/>
        <v>0</v>
      </c>
      <c r="BT15" s="4">
        <f t="shared" si="15"/>
        <v>585891.37</v>
      </c>
      <c r="BU15" s="4">
        <f t="shared" si="16"/>
        <v>65300</v>
      </c>
      <c r="BV15" s="4">
        <f t="shared" si="17"/>
        <v>0</v>
      </c>
      <c r="BW15" s="4">
        <f t="shared" si="17"/>
        <v>0</v>
      </c>
      <c r="BX15" s="4">
        <f t="shared" si="18"/>
        <v>651191.37</v>
      </c>
      <c r="BY15" s="4">
        <f t="shared" si="19"/>
        <v>270679.30000000005</v>
      </c>
      <c r="BZ15" s="4">
        <f t="shared" si="20"/>
        <v>0</v>
      </c>
      <c r="CA15" s="4">
        <f t="shared" si="20"/>
        <v>380512.07</v>
      </c>
      <c r="CB15" s="4">
        <f t="shared" si="21"/>
        <v>651191.3700000001</v>
      </c>
      <c r="CC15" s="4">
        <f t="shared" si="22"/>
        <v>0</v>
      </c>
      <c r="CD15" s="74">
        <f t="shared" si="23"/>
        <v>55137.62</v>
      </c>
      <c r="CE15" s="76">
        <f t="shared" si="24"/>
        <v>55137.62</v>
      </c>
      <c r="CF15" s="76">
        <f t="shared" si="25"/>
        <v>0</v>
      </c>
      <c r="CG15" s="76">
        <f t="shared" si="26"/>
        <v>466442.62</v>
      </c>
      <c r="CH15" s="76">
        <f t="shared" si="27"/>
        <v>3526.6000000000004</v>
      </c>
      <c r="CI15" s="37">
        <f t="shared" si="28"/>
        <v>15226.6</v>
      </c>
      <c r="CJ15" s="37">
        <f t="shared" si="29"/>
        <v>166533.95</v>
      </c>
      <c r="CK15" s="37">
        <f t="shared" si="30"/>
        <v>411305</v>
      </c>
      <c r="CL15" s="141" t="str">
        <f t="shared" si="31"/>
        <v>-</v>
      </c>
      <c r="CM15" s="141" t="str">
        <f t="shared" si="32"/>
        <v>-</v>
      </c>
      <c r="CN15" s="141">
        <f t="shared" si="33"/>
        <v>0.11820879489957414</v>
      </c>
      <c r="CO15" s="141">
        <f t="shared" si="34"/>
        <v>0.11820879489957414</v>
      </c>
      <c r="CP15" s="141">
        <f t="shared" si="35"/>
        <v>0.007560629858395017</v>
      </c>
      <c r="CQ15" s="141">
        <f t="shared" si="36"/>
        <v>0.03264410100432075</v>
      </c>
      <c r="CR15" s="141">
        <f t="shared" si="37"/>
        <v>0.35702987432837935</v>
      </c>
      <c r="CS15" s="141" t="str">
        <f t="shared" si="38"/>
        <v>-</v>
      </c>
      <c r="CT15" s="141">
        <f t="shared" si="39"/>
        <v>0.44188034188034186</v>
      </c>
      <c r="CU15" s="141">
        <f t="shared" si="40"/>
        <v>0.1</v>
      </c>
      <c r="CV15" s="142">
        <f t="shared" si="41"/>
        <v>5.716824012353089</v>
      </c>
      <c r="CW15" s="76">
        <f t="shared" si="42"/>
        <v>315212.06999999995</v>
      </c>
      <c r="CX15" s="80">
        <f t="shared" si="43"/>
        <v>411305</v>
      </c>
      <c r="CY15" s="80">
        <f t="shared" si="44"/>
        <v>466442.62</v>
      </c>
      <c r="CZ15" s="80">
        <f t="shared" si="45"/>
        <v>55137.619999999995</v>
      </c>
      <c r="DA15" s="80">
        <f t="shared" si="46"/>
        <v>0</v>
      </c>
      <c r="DB15" s="80">
        <f t="shared" si="47"/>
        <v>55137.619999999995</v>
      </c>
      <c r="DC15" s="80">
        <f t="shared" si="48"/>
        <v>3437.6199999999953</v>
      </c>
      <c r="DD15" s="80">
        <f t="shared" si="49"/>
        <v>0</v>
      </c>
      <c r="DE15" s="80">
        <f t="shared" si="50"/>
        <v>51700</v>
      </c>
      <c r="DF15" s="80">
        <f t="shared" si="51"/>
        <v>55137.619999999995</v>
      </c>
      <c r="DG15" s="80">
        <f t="shared" si="52"/>
        <v>55137.619999999995</v>
      </c>
      <c r="DH15" s="80">
        <f t="shared" si="53"/>
        <v>-51700</v>
      </c>
      <c r="DI15" s="80">
        <f t="shared" si="54"/>
        <v>3437.6199999999953</v>
      </c>
      <c r="DJ15" s="80">
        <f t="shared" si="55"/>
        <v>269391.9</v>
      </c>
      <c r="DK15" s="80">
        <f t="shared" si="56"/>
        <v>279.19581045172714</v>
      </c>
      <c r="DL15" s="80">
        <f t="shared" si="57"/>
        <v>3.123649247121347</v>
      </c>
      <c r="DM15" s="80">
        <f t="shared" si="58"/>
        <v>238.611071744907</v>
      </c>
      <c r="DN15" s="81">
        <f t="shared" si="59"/>
        <v>0</v>
      </c>
      <c r="DO15" s="76">
        <f t="shared" si="60"/>
        <v>48.83757307351638</v>
      </c>
      <c r="DP15" s="145">
        <f t="shared" si="61"/>
        <v>315212.07</v>
      </c>
      <c r="DQ15" s="160">
        <v>0</v>
      </c>
      <c r="DR15" s="65"/>
      <c r="DT15" s="178">
        <v>74650.67</v>
      </c>
      <c r="DU15" s="178">
        <v>231286</v>
      </c>
      <c r="DV15" s="178">
        <v>279954.7</v>
      </c>
      <c r="DW15" s="178">
        <v>0</v>
      </c>
      <c r="DX15" s="178">
        <v>0</v>
      </c>
      <c r="DY15" s="178">
        <v>0</v>
      </c>
      <c r="DZ15" s="178">
        <v>65300</v>
      </c>
      <c r="EA15" s="178"/>
      <c r="EB15" s="178"/>
      <c r="EC15" s="178"/>
      <c r="ED15" s="173">
        <f>SUM(DT15:EC15)</f>
        <v>651191.37</v>
      </c>
      <c r="EE15" s="178">
        <v>104145.35</v>
      </c>
      <c r="EF15" s="178"/>
      <c r="EG15" s="178"/>
      <c r="EH15" s="178">
        <v>166533.95</v>
      </c>
      <c r="EI15" s="178"/>
      <c r="EJ15" s="178"/>
      <c r="EK15" s="178"/>
      <c r="EL15" s="178">
        <v>380512.07</v>
      </c>
      <c r="EM15" s="173">
        <f>SUM(EE15:EL15)</f>
        <v>651191.3700000001</v>
      </c>
      <c r="EN15" s="173">
        <f t="shared" si="63"/>
        <v>0</v>
      </c>
    </row>
    <row r="16" spans="1:144" ht="12.75">
      <c r="A16" s="51" t="s">
        <v>34</v>
      </c>
      <c r="B16" s="42">
        <v>1137</v>
      </c>
      <c r="C16" s="38">
        <v>3069708</v>
      </c>
      <c r="D16" s="66">
        <v>2699.83</v>
      </c>
      <c r="E16" s="66">
        <v>71.83</v>
      </c>
      <c r="F16" s="126">
        <v>4</v>
      </c>
      <c r="G16" s="132"/>
      <c r="H16" s="42"/>
      <c r="I16" s="42"/>
      <c r="J16" s="42"/>
      <c r="K16" s="42"/>
      <c r="L16" s="42"/>
      <c r="M16" s="43"/>
      <c r="N16" s="42"/>
      <c r="O16" s="42"/>
      <c r="P16" s="42"/>
      <c r="Q16" s="42"/>
      <c r="R16" s="42"/>
      <c r="S16" s="42"/>
      <c r="T16" s="42"/>
      <c r="U16" s="42"/>
      <c r="V16" s="42"/>
      <c r="W16" s="43"/>
      <c r="X16" s="42"/>
      <c r="Y16" s="43"/>
      <c r="Z16" s="42"/>
      <c r="AA16" s="42"/>
      <c r="AB16" s="42"/>
      <c r="AC16" s="42"/>
      <c r="AD16" s="42"/>
      <c r="AE16" s="43"/>
      <c r="AF16" s="42"/>
      <c r="AG16" s="42"/>
      <c r="AH16" s="42"/>
      <c r="AI16" s="42"/>
      <c r="AJ16" s="42"/>
      <c r="AK16" s="42"/>
      <c r="AL16" s="42"/>
      <c r="AM16" s="42"/>
      <c r="AN16" s="38"/>
      <c r="AO16" s="38"/>
      <c r="AP16" s="38"/>
      <c r="AQ16" s="38"/>
      <c r="AR16" s="38"/>
      <c r="AS16" s="4"/>
      <c r="AT16" s="38"/>
      <c r="AU16" s="4"/>
      <c r="AV16" s="38"/>
      <c r="AW16" s="38"/>
      <c r="AX16" s="4"/>
      <c r="AY16" s="42"/>
      <c r="AZ16" s="42"/>
      <c r="BA16" s="42"/>
      <c r="BB16" s="42"/>
      <c r="BC16" s="42"/>
      <c r="BD16" s="42"/>
      <c r="BE16" s="42"/>
      <c r="BF16" s="43"/>
      <c r="BG16" s="42"/>
      <c r="BH16" s="42"/>
      <c r="BI16" s="42"/>
      <c r="BJ16" s="42"/>
      <c r="BK16" s="42"/>
      <c r="BL16" s="42"/>
      <c r="BM16" s="42"/>
      <c r="BN16" s="42"/>
      <c r="BO16" s="43"/>
      <c r="BP16" s="42"/>
      <c r="BQ16" s="42"/>
      <c r="BR16" s="42"/>
      <c r="BS16" s="43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74"/>
      <c r="CE16" s="76"/>
      <c r="CF16" s="76"/>
      <c r="CG16" s="76"/>
      <c r="CH16" s="76"/>
      <c r="CI16" s="37"/>
      <c r="CJ16" s="37"/>
      <c r="CK16" s="37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2"/>
      <c r="CW16" s="76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1"/>
      <c r="DO16" s="76"/>
      <c r="DP16" s="145"/>
      <c r="DQ16" s="160"/>
      <c r="DR16" s="68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5"/>
      <c r="EE16" s="179"/>
      <c r="EF16" s="179"/>
      <c r="EG16" s="179"/>
      <c r="EH16" s="179"/>
      <c r="EI16" s="179"/>
      <c r="EJ16" s="179"/>
      <c r="EK16" s="179"/>
      <c r="EL16" s="179"/>
      <c r="EM16" s="175"/>
      <c r="EN16" s="175"/>
    </row>
    <row r="17" spans="1:144" ht="12.75">
      <c r="A17" s="52" t="s">
        <v>10</v>
      </c>
      <c r="B17" s="43">
        <v>374</v>
      </c>
      <c r="C17" s="4">
        <v>1158536</v>
      </c>
      <c r="D17" s="69">
        <v>3097.69</v>
      </c>
      <c r="E17" s="69">
        <v>82.42</v>
      </c>
      <c r="F17" s="8">
        <v>4</v>
      </c>
      <c r="G17" s="131">
        <v>11818.5</v>
      </c>
      <c r="H17" s="43">
        <v>1199.1</v>
      </c>
      <c r="I17" s="43">
        <v>3208.55</v>
      </c>
      <c r="J17" s="43">
        <v>0</v>
      </c>
      <c r="K17" s="43">
        <v>0</v>
      </c>
      <c r="L17" s="43">
        <v>0</v>
      </c>
      <c r="M17" s="43">
        <f t="shared" si="1"/>
        <v>0</v>
      </c>
      <c r="N17" s="43">
        <v>0</v>
      </c>
      <c r="O17" s="43">
        <v>0</v>
      </c>
      <c r="P17" s="43">
        <v>91174.5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f t="shared" si="3"/>
        <v>0</v>
      </c>
      <c r="X17" s="43">
        <v>0</v>
      </c>
      <c r="Y17" s="43">
        <f t="shared" si="4"/>
        <v>107400.65</v>
      </c>
      <c r="Z17" s="43">
        <v>72738.15</v>
      </c>
      <c r="AA17" s="43">
        <v>10768.4</v>
      </c>
      <c r="AB17" s="43">
        <v>0</v>
      </c>
      <c r="AC17" s="43">
        <v>3247.75</v>
      </c>
      <c r="AD17" s="43">
        <v>0</v>
      </c>
      <c r="AE17" s="43">
        <f t="shared" si="5"/>
        <v>86754.29999999999</v>
      </c>
      <c r="AF17" s="43">
        <v>0</v>
      </c>
      <c r="AG17" s="43">
        <v>400</v>
      </c>
      <c r="AH17" s="43">
        <v>0</v>
      </c>
      <c r="AI17" s="43">
        <v>11944.8</v>
      </c>
      <c r="AJ17" s="43">
        <v>0</v>
      </c>
      <c r="AK17" s="43">
        <v>0</v>
      </c>
      <c r="AL17" s="43">
        <v>0</v>
      </c>
      <c r="AM17" s="43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7"/>
        <v>0</v>
      </c>
      <c r="AT17" s="4">
        <v>0</v>
      </c>
      <c r="AU17" s="4">
        <f t="shared" si="8"/>
        <v>99099.09999999998</v>
      </c>
      <c r="AV17" s="4">
        <v>0</v>
      </c>
      <c r="AW17" s="4">
        <v>8301.55</v>
      </c>
      <c r="AX17" s="34">
        <f t="shared" si="9"/>
        <v>1.8189894035458565E-11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f t="shared" si="11"/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f t="shared" si="13"/>
        <v>0</v>
      </c>
      <c r="BP17" s="43">
        <v>0</v>
      </c>
      <c r="BQ17" s="43">
        <v>0</v>
      </c>
      <c r="BR17" s="43">
        <v>0</v>
      </c>
      <c r="BS17" s="43">
        <f t="shared" si="14"/>
        <v>0</v>
      </c>
      <c r="BT17" s="4">
        <f t="shared" si="15"/>
        <v>20283.5</v>
      </c>
      <c r="BU17" s="4">
        <f t="shared" si="16"/>
        <v>45000</v>
      </c>
      <c r="BV17" s="4">
        <f t="shared" si="17"/>
        <v>0</v>
      </c>
      <c r="BW17" s="4">
        <f t="shared" si="17"/>
        <v>64365.05</v>
      </c>
      <c r="BX17" s="4">
        <f t="shared" si="18"/>
        <v>129648.55</v>
      </c>
      <c r="BY17" s="4">
        <f t="shared" si="19"/>
        <v>117893.40000000001</v>
      </c>
      <c r="BZ17" s="4">
        <f t="shared" si="20"/>
        <v>11755.15</v>
      </c>
      <c r="CA17" s="4">
        <f t="shared" si="20"/>
        <v>0</v>
      </c>
      <c r="CB17" s="4">
        <f t="shared" si="21"/>
        <v>129648.55</v>
      </c>
      <c r="CC17" s="4">
        <f t="shared" si="22"/>
        <v>0</v>
      </c>
      <c r="CD17" s="74">
        <f t="shared" si="23"/>
        <v>-8301.55</v>
      </c>
      <c r="CE17" s="76">
        <f t="shared" si="24"/>
        <v>-8301.55</v>
      </c>
      <c r="CF17" s="76">
        <f t="shared" si="25"/>
        <v>0</v>
      </c>
      <c r="CG17" s="76">
        <f t="shared" si="26"/>
        <v>99099.09999999998</v>
      </c>
      <c r="CH17" s="76">
        <f t="shared" si="27"/>
        <v>2808.55</v>
      </c>
      <c r="CI17" s="37">
        <f t="shared" si="28"/>
        <v>2808.55</v>
      </c>
      <c r="CJ17" s="37">
        <f t="shared" si="29"/>
        <v>78751.1</v>
      </c>
      <c r="CK17" s="37">
        <f t="shared" si="30"/>
        <v>107400.65</v>
      </c>
      <c r="CL17" s="141" t="str">
        <f t="shared" si="31"/>
        <v>-</v>
      </c>
      <c r="CM17" s="141" t="str">
        <f t="shared" si="32"/>
        <v>-</v>
      </c>
      <c r="CN17" s="141">
        <f t="shared" si="33"/>
        <v>-0.08377018560208924</v>
      </c>
      <c r="CO17" s="141">
        <f t="shared" si="34"/>
        <v>-0.08377018560208924</v>
      </c>
      <c r="CP17" s="141">
        <f t="shared" si="35"/>
        <v>0.028340822469628896</v>
      </c>
      <c r="CQ17" s="141">
        <f t="shared" si="36"/>
        <v>0.028340822469628896</v>
      </c>
      <c r="CR17" s="141">
        <f t="shared" si="37"/>
        <v>0.7946701836848168</v>
      </c>
      <c r="CS17" s="141" t="str">
        <f t="shared" si="38"/>
        <v>-</v>
      </c>
      <c r="CT17" s="141">
        <f t="shared" si="39"/>
        <v>0</v>
      </c>
      <c r="CU17" s="141">
        <f t="shared" si="40"/>
        <v>0</v>
      </c>
      <c r="CV17" s="142">
        <f t="shared" si="41"/>
        <v>11.758033138389822</v>
      </c>
      <c r="CW17" s="76">
        <f t="shared" si="42"/>
        <v>-97609.90000000001</v>
      </c>
      <c r="CX17" s="80">
        <f t="shared" si="43"/>
        <v>107400.65</v>
      </c>
      <c r="CY17" s="80">
        <f t="shared" si="44"/>
        <v>99099.09999999998</v>
      </c>
      <c r="CZ17" s="80">
        <f t="shared" si="45"/>
        <v>-8301.550000000017</v>
      </c>
      <c r="DA17" s="80">
        <f t="shared" si="46"/>
        <v>0</v>
      </c>
      <c r="DB17" s="80">
        <f t="shared" si="47"/>
        <v>-8301.550000000017</v>
      </c>
      <c r="DC17" s="80">
        <f t="shared" si="48"/>
        <v>-8301.550000000017</v>
      </c>
      <c r="DD17" s="80">
        <f t="shared" si="49"/>
        <v>0</v>
      </c>
      <c r="DE17" s="80">
        <f t="shared" si="50"/>
        <v>0</v>
      </c>
      <c r="DF17" s="80">
        <f t="shared" si="51"/>
        <v>-8301.550000000017</v>
      </c>
      <c r="DG17" s="80">
        <f t="shared" si="52"/>
        <v>-8301.550000000017</v>
      </c>
      <c r="DH17" s="80">
        <f t="shared" si="53"/>
        <v>0</v>
      </c>
      <c r="DI17" s="80">
        <f t="shared" si="54"/>
        <v>-8301.550000000017</v>
      </c>
      <c r="DJ17" s="80">
        <f t="shared" si="55"/>
        <v>83506.54999999999</v>
      </c>
      <c r="DK17" s="80">
        <f t="shared" si="56"/>
        <v>-260.9890374331551</v>
      </c>
      <c r="DL17" s="80">
        <f t="shared" si="57"/>
        <v>7.509491978609626</v>
      </c>
      <c r="DM17" s="80">
        <f t="shared" si="58"/>
        <v>223.27954545454543</v>
      </c>
      <c r="DN17" s="81">
        <f t="shared" si="59"/>
        <v>0</v>
      </c>
      <c r="DO17" s="76">
        <f t="shared" si="60"/>
        <v>-22.19665775401074</v>
      </c>
      <c r="DP17" s="145">
        <f t="shared" si="61"/>
        <v>-109365.05</v>
      </c>
      <c r="DQ17" s="162">
        <v>0</v>
      </c>
      <c r="DR17" s="65"/>
      <c r="DT17" s="178">
        <v>0</v>
      </c>
      <c r="DU17" s="178">
        <v>10283.5</v>
      </c>
      <c r="DV17" s="178">
        <v>10000</v>
      </c>
      <c r="DW17" s="178">
        <v>0</v>
      </c>
      <c r="DX17" s="178">
        <v>0</v>
      </c>
      <c r="DY17" s="178">
        <v>45000</v>
      </c>
      <c r="DZ17" s="178">
        <v>0</v>
      </c>
      <c r="EA17" s="178">
        <v>0</v>
      </c>
      <c r="EB17" s="178">
        <v>0</v>
      </c>
      <c r="EC17" s="178">
        <v>64365.05</v>
      </c>
      <c r="ED17" s="173">
        <f>SUM(DT17:EC17)</f>
        <v>129648.55</v>
      </c>
      <c r="EE17" s="178">
        <v>37245.1</v>
      </c>
      <c r="EF17" s="178">
        <v>78751.1</v>
      </c>
      <c r="EG17" s="178">
        <v>0</v>
      </c>
      <c r="EH17" s="178">
        <v>0</v>
      </c>
      <c r="EI17" s="178">
        <v>0</v>
      </c>
      <c r="EJ17" s="178">
        <v>1897.2</v>
      </c>
      <c r="EK17" s="178">
        <v>11755.15</v>
      </c>
      <c r="EL17" s="178"/>
      <c r="EM17" s="173">
        <f>SUM(EE17:EL17)</f>
        <v>129648.55</v>
      </c>
      <c r="EN17" s="184">
        <f t="shared" si="63"/>
        <v>0</v>
      </c>
    </row>
    <row r="18" spans="1:144" ht="12.75">
      <c r="A18" s="51" t="s">
        <v>11</v>
      </c>
      <c r="B18" s="42">
        <v>1075</v>
      </c>
      <c r="C18" s="38">
        <v>4902883</v>
      </c>
      <c r="D18" s="66">
        <v>4560.82</v>
      </c>
      <c r="E18" s="66">
        <v>121.34</v>
      </c>
      <c r="F18" s="126">
        <v>1</v>
      </c>
      <c r="G18" s="132">
        <f>20426+4904.85+8479</f>
        <v>33809.85</v>
      </c>
      <c r="H18" s="42">
        <f>369.05+1236+758.4+5978.05</f>
        <v>8341.5</v>
      </c>
      <c r="I18" s="42">
        <v>215</v>
      </c>
      <c r="J18" s="42">
        <v>0</v>
      </c>
      <c r="K18" s="42">
        <v>0</v>
      </c>
      <c r="L18" s="42">
        <v>0</v>
      </c>
      <c r="M18" s="43">
        <f t="shared" si="1"/>
        <v>0</v>
      </c>
      <c r="N18" s="42">
        <v>0</v>
      </c>
      <c r="O18" s="42">
        <v>0</v>
      </c>
      <c r="P18" s="42">
        <f>89673.8+4032.3+9683.2+2522.1+57486.65+105386.1+41370.4+1396</f>
        <v>311550.55000000005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3">
        <f t="shared" si="3"/>
        <v>0</v>
      </c>
      <c r="X18" s="42">
        <v>0</v>
      </c>
      <c r="Y18" s="43">
        <f t="shared" si="4"/>
        <v>353916.9</v>
      </c>
      <c r="Z18" s="42">
        <f>64869.5+17652.4</f>
        <v>82521.9</v>
      </c>
      <c r="AA18" s="42">
        <f>117221.3+31898.4</f>
        <v>149119.7</v>
      </c>
      <c r="AB18" s="42">
        <v>0</v>
      </c>
      <c r="AC18" s="42">
        <f>9335.05</f>
        <v>9335.05</v>
      </c>
      <c r="AD18" s="42">
        <v>0</v>
      </c>
      <c r="AE18" s="43">
        <f t="shared" si="5"/>
        <v>240976.65</v>
      </c>
      <c r="AF18" s="42">
        <v>0</v>
      </c>
      <c r="AG18" s="42">
        <f>1271.3+968.35+26595.65</f>
        <v>28835.300000000003</v>
      </c>
      <c r="AH18" s="42">
        <v>0</v>
      </c>
      <c r="AI18" s="42">
        <f>19800+34651+6810.8</f>
        <v>61261.8</v>
      </c>
      <c r="AJ18" s="42">
        <v>0</v>
      </c>
      <c r="AK18" s="42">
        <v>0</v>
      </c>
      <c r="AL18" s="42">
        <v>0</v>
      </c>
      <c r="AM18" s="42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7"/>
        <v>0</v>
      </c>
      <c r="AT18" s="38">
        <v>0</v>
      </c>
      <c r="AU18" s="4">
        <f t="shared" si="8"/>
        <v>331073.75</v>
      </c>
      <c r="AV18" s="38">
        <v>0</v>
      </c>
      <c r="AW18" s="38">
        <v>22843.15</v>
      </c>
      <c r="AX18" s="34">
        <f t="shared" si="9"/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11"/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3">
        <f t="shared" si="13"/>
        <v>0</v>
      </c>
      <c r="BP18" s="42">
        <v>0</v>
      </c>
      <c r="BQ18" s="42">
        <v>0</v>
      </c>
      <c r="BR18" s="42">
        <v>0</v>
      </c>
      <c r="BS18" s="43">
        <f t="shared" si="14"/>
        <v>0</v>
      </c>
      <c r="BT18" s="4">
        <f t="shared" si="15"/>
        <v>1402942.4500000002</v>
      </c>
      <c r="BU18" s="4">
        <f t="shared" si="16"/>
        <v>0</v>
      </c>
      <c r="BV18" s="4">
        <f t="shared" si="17"/>
        <v>0</v>
      </c>
      <c r="BW18" s="4">
        <f t="shared" si="17"/>
        <v>0</v>
      </c>
      <c r="BX18" s="4">
        <f t="shared" si="18"/>
        <v>1402942.4500000002</v>
      </c>
      <c r="BY18" s="4">
        <f t="shared" si="19"/>
        <v>280800.65</v>
      </c>
      <c r="BZ18" s="4">
        <f t="shared" si="20"/>
        <v>0</v>
      </c>
      <c r="CA18" s="4">
        <f t="shared" si="20"/>
        <v>1122141.8</v>
      </c>
      <c r="CB18" s="4">
        <f t="shared" si="21"/>
        <v>1402942.4500000002</v>
      </c>
      <c r="CC18" s="4">
        <f t="shared" si="22"/>
        <v>0</v>
      </c>
      <c r="CD18" s="74">
        <f t="shared" si="23"/>
        <v>-22843.15</v>
      </c>
      <c r="CE18" s="76">
        <f t="shared" si="24"/>
        <v>-22843.15</v>
      </c>
      <c r="CF18" s="76">
        <f t="shared" si="25"/>
        <v>0</v>
      </c>
      <c r="CG18" s="76">
        <f t="shared" si="26"/>
        <v>331073.75</v>
      </c>
      <c r="CH18" s="76">
        <f t="shared" si="27"/>
        <v>-28620.300000000003</v>
      </c>
      <c r="CI18" s="37">
        <f t="shared" si="28"/>
        <v>-28620.300000000003</v>
      </c>
      <c r="CJ18" s="37">
        <f t="shared" si="29"/>
        <v>43270.05</v>
      </c>
      <c r="CK18" s="37">
        <f t="shared" si="30"/>
        <v>353916.9</v>
      </c>
      <c r="CL18" s="141" t="str">
        <f t="shared" si="31"/>
        <v>-</v>
      </c>
      <c r="CM18" s="141" t="str">
        <f t="shared" si="32"/>
        <v>-</v>
      </c>
      <c r="CN18" s="141">
        <f t="shared" si="33"/>
        <v>-0.06899716452905132</v>
      </c>
      <c r="CO18" s="141">
        <f t="shared" si="34"/>
        <v>-0.06899716452905132</v>
      </c>
      <c r="CP18" s="141">
        <f t="shared" si="35"/>
        <v>-0.08644690193650208</v>
      </c>
      <c r="CQ18" s="141">
        <f t="shared" si="36"/>
        <v>-0.08644690193650208</v>
      </c>
      <c r="CR18" s="141">
        <f t="shared" si="37"/>
        <v>0.13069610623010736</v>
      </c>
      <c r="CS18" s="141" t="str">
        <f t="shared" si="38"/>
        <v>-</v>
      </c>
      <c r="CT18" s="141" t="str">
        <f t="shared" si="39"/>
        <v>-</v>
      </c>
      <c r="CU18" s="141" t="str">
        <f t="shared" si="40"/>
        <v>-</v>
      </c>
      <c r="CV18" s="142">
        <f t="shared" si="41"/>
        <v>-49.12377671205592</v>
      </c>
      <c r="CW18" s="76">
        <f t="shared" si="42"/>
        <v>1122141.8000000003</v>
      </c>
      <c r="CX18" s="80">
        <f t="shared" si="43"/>
        <v>353916.9</v>
      </c>
      <c r="CY18" s="80">
        <f t="shared" si="44"/>
        <v>331073.75</v>
      </c>
      <c r="CZ18" s="80">
        <f t="shared" si="45"/>
        <v>-22843.150000000023</v>
      </c>
      <c r="DA18" s="80">
        <f t="shared" si="46"/>
        <v>0</v>
      </c>
      <c r="DB18" s="80">
        <f t="shared" si="47"/>
        <v>-22843.150000000023</v>
      </c>
      <c r="DC18" s="80">
        <f t="shared" si="48"/>
        <v>-22843.150000000023</v>
      </c>
      <c r="DD18" s="80">
        <f t="shared" si="49"/>
        <v>0</v>
      </c>
      <c r="DE18" s="80">
        <f t="shared" si="50"/>
        <v>0</v>
      </c>
      <c r="DF18" s="80">
        <f t="shared" si="51"/>
        <v>-22843.150000000023</v>
      </c>
      <c r="DG18" s="80">
        <f t="shared" si="52"/>
        <v>-22843.150000000023</v>
      </c>
      <c r="DH18" s="80">
        <f t="shared" si="53"/>
        <v>0</v>
      </c>
      <c r="DI18" s="80">
        <f t="shared" si="54"/>
        <v>-22843.150000000023</v>
      </c>
      <c r="DJ18" s="80">
        <f t="shared" si="55"/>
        <v>231641.6</v>
      </c>
      <c r="DK18" s="80">
        <f t="shared" si="56"/>
        <v>1043.8528372093026</v>
      </c>
      <c r="DL18" s="80">
        <f t="shared" si="57"/>
        <v>-26.623534883720932</v>
      </c>
      <c r="DM18" s="80">
        <f t="shared" si="58"/>
        <v>215.48055813953488</v>
      </c>
      <c r="DN18" s="81">
        <f t="shared" si="59"/>
        <v>0</v>
      </c>
      <c r="DO18" s="76">
        <f t="shared" si="60"/>
        <v>-21.249441860465137</v>
      </c>
      <c r="DP18" s="145">
        <f t="shared" si="61"/>
        <v>1122141.8</v>
      </c>
      <c r="DQ18" s="162">
        <v>0</v>
      </c>
      <c r="DR18" s="68"/>
      <c r="DT18" s="179">
        <f>4113.15+229178</f>
        <v>233291.15</v>
      </c>
      <c r="DU18" s="179">
        <f>79479.9+6348.6</f>
        <v>85828.5</v>
      </c>
      <c r="DV18" s="179">
        <f>106822.8+175000+122000+680000</f>
        <v>1083822.8</v>
      </c>
      <c r="DW18" s="179">
        <v>0</v>
      </c>
      <c r="DX18" s="179">
        <v>0</v>
      </c>
      <c r="DY18" s="179">
        <v>0</v>
      </c>
      <c r="DZ18" s="179">
        <v>0</v>
      </c>
      <c r="EA18" s="179">
        <v>0</v>
      </c>
      <c r="EB18" s="179">
        <v>0</v>
      </c>
      <c r="EC18" s="179">
        <v>0</v>
      </c>
      <c r="ED18" s="175">
        <f>SUM(DT18:EC18)</f>
        <v>1402942.4500000002</v>
      </c>
      <c r="EE18" s="179">
        <f>237530.6</f>
        <v>237530.6</v>
      </c>
      <c r="EF18" s="179">
        <v>0</v>
      </c>
      <c r="EG18" s="179">
        <v>0</v>
      </c>
      <c r="EH18" s="179">
        <f>43270.05</f>
        <v>43270.05</v>
      </c>
      <c r="EI18" s="179">
        <v>0</v>
      </c>
      <c r="EJ18" s="179">
        <v>0</v>
      </c>
      <c r="EK18" s="179">
        <v>0</v>
      </c>
      <c r="EL18" s="179">
        <v>1122141.8</v>
      </c>
      <c r="EM18" s="175">
        <f>SUM(EE18:EL18)</f>
        <v>1402942.4500000002</v>
      </c>
      <c r="EN18" s="175">
        <f t="shared" si="63"/>
        <v>0</v>
      </c>
    </row>
    <row r="19" spans="1:144" ht="12.75">
      <c r="A19" s="52" t="s">
        <v>35</v>
      </c>
      <c r="B19" s="43">
        <v>3034</v>
      </c>
      <c r="C19" s="4">
        <v>11610764</v>
      </c>
      <c r="D19" s="69">
        <v>3826.88</v>
      </c>
      <c r="E19" s="69">
        <v>101.82</v>
      </c>
      <c r="F19" s="8">
        <v>4</v>
      </c>
      <c r="G19" s="131">
        <v>75992.45</v>
      </c>
      <c r="H19" s="43">
        <v>17496</v>
      </c>
      <c r="I19" s="43">
        <v>36497.55</v>
      </c>
      <c r="J19" s="43">
        <v>7143.35</v>
      </c>
      <c r="K19" s="43">
        <v>0</v>
      </c>
      <c r="L19" s="43">
        <v>0</v>
      </c>
      <c r="M19" s="43">
        <f t="shared" si="1"/>
        <v>0</v>
      </c>
      <c r="N19" s="43">
        <v>0</v>
      </c>
      <c r="O19" s="43">
        <v>0</v>
      </c>
      <c r="P19" s="43">
        <v>1523859.15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f t="shared" si="3"/>
        <v>0</v>
      </c>
      <c r="X19" s="43">
        <v>0</v>
      </c>
      <c r="Y19" s="43">
        <f t="shared" si="4"/>
        <v>1660988.5</v>
      </c>
      <c r="Z19" s="43">
        <v>652954.85</v>
      </c>
      <c r="AA19" s="43">
        <v>37800.8</v>
      </c>
      <c r="AB19" s="43">
        <v>0</v>
      </c>
      <c r="AC19" s="43">
        <v>26346.6</v>
      </c>
      <c r="AD19" s="43">
        <v>0</v>
      </c>
      <c r="AE19" s="43">
        <f t="shared" si="5"/>
        <v>717102.25</v>
      </c>
      <c r="AF19" s="43">
        <v>0</v>
      </c>
      <c r="AG19" s="43">
        <v>45804.8</v>
      </c>
      <c r="AH19" s="43">
        <v>0</v>
      </c>
      <c r="AI19" s="43">
        <v>891514.05</v>
      </c>
      <c r="AJ19" s="43">
        <v>-17.55</v>
      </c>
      <c r="AK19" s="43">
        <v>17732</v>
      </c>
      <c r="AL19" s="43">
        <v>0</v>
      </c>
      <c r="AM19" s="43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7"/>
        <v>0</v>
      </c>
      <c r="AT19" s="4">
        <v>0</v>
      </c>
      <c r="AU19" s="4">
        <f t="shared" si="8"/>
        <v>1672135.5500000003</v>
      </c>
      <c r="AV19" s="4">
        <v>11147.05</v>
      </c>
      <c r="AW19" s="4">
        <v>0</v>
      </c>
      <c r="AX19" s="34">
        <f t="shared" si="9"/>
        <v>-2.801243681460619E-10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f t="shared" si="11"/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f t="shared" si="13"/>
        <v>0</v>
      </c>
      <c r="BP19" s="43">
        <v>0</v>
      </c>
      <c r="BQ19" s="43">
        <v>0</v>
      </c>
      <c r="BR19" s="43">
        <v>0</v>
      </c>
      <c r="BS19" s="43">
        <f t="shared" si="14"/>
        <v>0</v>
      </c>
      <c r="BT19" s="4">
        <f t="shared" si="15"/>
        <v>2312609.75</v>
      </c>
      <c r="BU19" s="4">
        <f t="shared" si="16"/>
        <v>0</v>
      </c>
      <c r="BV19" s="4">
        <f t="shared" si="17"/>
        <v>0</v>
      </c>
      <c r="BW19" s="4">
        <f t="shared" si="17"/>
        <v>0</v>
      </c>
      <c r="BX19" s="4">
        <f t="shared" si="18"/>
        <v>2312609.75</v>
      </c>
      <c r="BY19" s="4">
        <f t="shared" si="19"/>
        <v>1112573.6</v>
      </c>
      <c r="BZ19" s="4">
        <f t="shared" si="20"/>
        <v>0</v>
      </c>
      <c r="CA19" s="4">
        <f t="shared" si="20"/>
        <v>1200036.15</v>
      </c>
      <c r="CB19" s="4">
        <f t="shared" si="21"/>
        <v>2312609.75</v>
      </c>
      <c r="CC19" s="4">
        <f t="shared" si="22"/>
        <v>0</v>
      </c>
      <c r="CD19" s="74">
        <f t="shared" si="23"/>
        <v>11147.05</v>
      </c>
      <c r="CE19" s="76">
        <f t="shared" si="24"/>
        <v>11147.05</v>
      </c>
      <c r="CF19" s="76">
        <f t="shared" si="25"/>
        <v>0</v>
      </c>
      <c r="CG19" s="76">
        <f t="shared" si="26"/>
        <v>1672135.5500000003</v>
      </c>
      <c r="CH19" s="76">
        <f t="shared" si="27"/>
        <v>-9307.25</v>
      </c>
      <c r="CI19" s="37">
        <f t="shared" si="28"/>
        <v>-9307.25</v>
      </c>
      <c r="CJ19" s="37">
        <f t="shared" si="29"/>
        <v>760998</v>
      </c>
      <c r="CK19" s="37">
        <f t="shared" si="30"/>
        <v>1660988.5</v>
      </c>
      <c r="CL19" s="141" t="str">
        <f t="shared" si="31"/>
        <v>-</v>
      </c>
      <c r="CM19" s="141" t="str">
        <f t="shared" si="32"/>
        <v>-</v>
      </c>
      <c r="CN19" s="141">
        <f t="shared" si="33"/>
        <v>0.006666355487747388</v>
      </c>
      <c r="CO19" s="141">
        <f t="shared" si="34"/>
        <v>0.006666355487747388</v>
      </c>
      <c r="CP19" s="141">
        <f t="shared" si="35"/>
        <v>-0.005566085835565184</v>
      </c>
      <c r="CQ19" s="141">
        <f t="shared" si="36"/>
        <v>-0.005566085835565184</v>
      </c>
      <c r="CR19" s="141">
        <f t="shared" si="37"/>
        <v>0.45510544883756576</v>
      </c>
      <c r="CS19" s="141" t="str">
        <f t="shared" si="38"/>
        <v>-</v>
      </c>
      <c r="CT19" s="141" t="str">
        <f t="shared" si="39"/>
        <v>-</v>
      </c>
      <c r="CU19" s="141" t="str">
        <f t="shared" si="40"/>
        <v>-</v>
      </c>
      <c r="CV19" s="142">
        <f t="shared" si="41"/>
        <v>107.65504326256722</v>
      </c>
      <c r="CW19" s="76">
        <f t="shared" si="42"/>
        <v>1200036.15</v>
      </c>
      <c r="CX19" s="80">
        <f t="shared" si="43"/>
        <v>1660988.5</v>
      </c>
      <c r="CY19" s="80">
        <f t="shared" si="44"/>
        <v>1672135.5500000003</v>
      </c>
      <c r="CZ19" s="80">
        <f t="shared" si="45"/>
        <v>11147.05000000028</v>
      </c>
      <c r="DA19" s="80">
        <f t="shared" si="46"/>
        <v>0</v>
      </c>
      <c r="DB19" s="80">
        <f t="shared" si="47"/>
        <v>11147.05000000028</v>
      </c>
      <c r="DC19" s="80">
        <f t="shared" si="48"/>
        <v>11147.05000000028</v>
      </c>
      <c r="DD19" s="80">
        <f t="shared" si="49"/>
        <v>0</v>
      </c>
      <c r="DE19" s="80">
        <f t="shared" si="50"/>
        <v>0</v>
      </c>
      <c r="DF19" s="80">
        <f t="shared" si="51"/>
        <v>11147.05000000028</v>
      </c>
      <c r="DG19" s="80">
        <f t="shared" si="52"/>
        <v>11147.05000000028</v>
      </c>
      <c r="DH19" s="80">
        <f t="shared" si="53"/>
        <v>0</v>
      </c>
      <c r="DI19" s="80">
        <f t="shared" si="54"/>
        <v>11147.05000000028</v>
      </c>
      <c r="DJ19" s="80">
        <f t="shared" si="55"/>
        <v>690755.65</v>
      </c>
      <c r="DK19" s="80">
        <f t="shared" si="56"/>
        <v>395.5293836519446</v>
      </c>
      <c r="DL19" s="80">
        <f t="shared" si="57"/>
        <v>-3.067649967040211</v>
      </c>
      <c r="DM19" s="80">
        <f t="shared" si="58"/>
        <v>227.6716051417271</v>
      </c>
      <c r="DN19" s="81">
        <f t="shared" si="59"/>
        <v>0</v>
      </c>
      <c r="DO19" s="76">
        <f t="shared" si="60"/>
        <v>3.674044166117429</v>
      </c>
      <c r="DP19" s="145">
        <f t="shared" si="61"/>
        <v>1200036.15</v>
      </c>
      <c r="DQ19" s="162">
        <v>0</v>
      </c>
      <c r="DR19" s="65"/>
      <c r="DT19" s="178">
        <v>222837.6</v>
      </c>
      <c r="DU19" s="178">
        <v>205357.6</v>
      </c>
      <c r="DV19" s="178">
        <v>1815440.95</v>
      </c>
      <c r="DW19" s="178">
        <v>68973.6</v>
      </c>
      <c r="DX19" s="178">
        <v>0</v>
      </c>
      <c r="DY19" s="178">
        <v>0</v>
      </c>
      <c r="DZ19" s="178">
        <v>0</v>
      </c>
      <c r="EA19" s="178">
        <v>0</v>
      </c>
      <c r="EB19" s="178">
        <v>0</v>
      </c>
      <c r="EC19" s="178">
        <v>0</v>
      </c>
      <c r="ED19" s="173">
        <f>SUM(DT19:EC19)</f>
        <v>2312609.75</v>
      </c>
      <c r="EE19" s="178">
        <v>328561.6</v>
      </c>
      <c r="EF19" s="178">
        <v>0</v>
      </c>
      <c r="EG19" s="178">
        <v>0</v>
      </c>
      <c r="EH19" s="178">
        <v>760998</v>
      </c>
      <c r="EI19" s="178">
        <v>0</v>
      </c>
      <c r="EJ19" s="178">
        <v>23014</v>
      </c>
      <c r="EK19" s="178">
        <v>0</v>
      </c>
      <c r="EL19" s="178">
        <v>1200036.15</v>
      </c>
      <c r="EM19" s="173">
        <f>SUM(EE19:EL19)</f>
        <v>2312609.75</v>
      </c>
      <c r="EN19" s="184">
        <f t="shared" si="63"/>
        <v>0</v>
      </c>
    </row>
    <row r="20" spans="1:144" ht="12.75">
      <c r="A20" s="51" t="s">
        <v>12</v>
      </c>
      <c r="B20" s="42">
        <v>449</v>
      </c>
      <c r="C20" s="38">
        <v>1392103</v>
      </c>
      <c r="D20" s="66">
        <v>3100.45</v>
      </c>
      <c r="E20" s="66">
        <v>82.49</v>
      </c>
      <c r="F20" s="126">
        <v>4</v>
      </c>
      <c r="G20" s="132">
        <v>6200.1</v>
      </c>
      <c r="H20" s="42">
        <v>1441.7</v>
      </c>
      <c r="I20" s="42">
        <v>0</v>
      </c>
      <c r="J20" s="42">
        <v>0</v>
      </c>
      <c r="K20" s="42">
        <v>0</v>
      </c>
      <c r="L20" s="42">
        <v>0</v>
      </c>
      <c r="M20" s="43">
        <f t="shared" si="1"/>
        <v>0</v>
      </c>
      <c r="N20" s="42">
        <v>0</v>
      </c>
      <c r="O20" s="42">
        <v>2000</v>
      </c>
      <c r="P20" s="42">
        <v>318350.2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3">
        <f t="shared" si="3"/>
        <v>0</v>
      </c>
      <c r="X20" s="42">
        <v>0</v>
      </c>
      <c r="Y20" s="183">
        <f t="shared" si="4"/>
        <v>327992</v>
      </c>
      <c r="Z20" s="42">
        <v>77165.8</v>
      </c>
      <c r="AA20" s="42">
        <v>7781.9</v>
      </c>
      <c r="AB20" s="42">
        <v>0</v>
      </c>
      <c r="AC20" s="42">
        <v>3899</v>
      </c>
      <c r="AD20" s="42">
        <v>0</v>
      </c>
      <c r="AE20" s="43">
        <f t="shared" si="5"/>
        <v>88846.7</v>
      </c>
      <c r="AF20" s="42">
        <v>0</v>
      </c>
      <c r="AG20" s="42">
        <v>346.3</v>
      </c>
      <c r="AH20" s="42">
        <v>0</v>
      </c>
      <c r="AI20" s="42">
        <v>124003.8</v>
      </c>
      <c r="AJ20" s="42">
        <v>0</v>
      </c>
      <c r="AK20" s="42">
        <v>0</v>
      </c>
      <c r="AL20" s="42">
        <v>0</v>
      </c>
      <c r="AM20" s="42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7"/>
        <v>0</v>
      </c>
      <c r="AT20" s="38">
        <v>0</v>
      </c>
      <c r="AU20" s="4">
        <f t="shared" si="8"/>
        <v>213196.8</v>
      </c>
      <c r="AV20" s="38">
        <v>0</v>
      </c>
      <c r="AW20" s="38">
        <v>114795.2</v>
      </c>
      <c r="AX20" s="4">
        <f t="shared" si="9"/>
        <v>0</v>
      </c>
      <c r="AY20" s="42">
        <v>0</v>
      </c>
      <c r="AZ20" s="42"/>
      <c r="BA20" s="42"/>
      <c r="BB20" s="42"/>
      <c r="BC20" s="42"/>
      <c r="BD20" s="42"/>
      <c r="BE20" s="42"/>
      <c r="BF20" s="43">
        <f t="shared" si="11"/>
        <v>0</v>
      </c>
      <c r="BG20" s="42"/>
      <c r="BH20" s="42"/>
      <c r="BI20" s="42"/>
      <c r="BJ20" s="42"/>
      <c r="BK20" s="42"/>
      <c r="BL20" s="42"/>
      <c r="BM20" s="42"/>
      <c r="BN20" s="42"/>
      <c r="BO20" s="43">
        <f t="shared" si="13"/>
        <v>0</v>
      </c>
      <c r="BP20" s="42"/>
      <c r="BQ20" s="42"/>
      <c r="BR20" s="42"/>
      <c r="BS20" s="43">
        <f t="shared" si="14"/>
        <v>0</v>
      </c>
      <c r="BT20" s="4">
        <f t="shared" si="15"/>
        <v>190503.83000000002</v>
      </c>
      <c r="BU20" s="4">
        <f t="shared" si="16"/>
        <v>0</v>
      </c>
      <c r="BV20" s="4">
        <f t="shared" si="17"/>
        <v>0</v>
      </c>
      <c r="BW20" s="4">
        <f t="shared" si="17"/>
        <v>0</v>
      </c>
      <c r="BX20" s="4">
        <f t="shared" si="18"/>
        <v>190503.83000000002</v>
      </c>
      <c r="BY20" s="4">
        <f t="shared" si="19"/>
        <v>97986.79999999999</v>
      </c>
      <c r="BZ20" s="4">
        <f t="shared" si="20"/>
        <v>0</v>
      </c>
      <c r="CA20" s="4">
        <f t="shared" si="20"/>
        <v>92517.03</v>
      </c>
      <c r="CB20" s="4">
        <f t="shared" si="21"/>
        <v>190503.83</v>
      </c>
      <c r="CC20" s="4">
        <f t="shared" si="22"/>
        <v>0</v>
      </c>
      <c r="CD20" s="74">
        <f t="shared" si="23"/>
        <v>-114795.2</v>
      </c>
      <c r="CE20" s="76">
        <f t="shared" si="24"/>
        <v>-114795.2</v>
      </c>
      <c r="CF20" s="76">
        <f t="shared" si="25"/>
        <v>0</v>
      </c>
      <c r="CG20" s="76">
        <f t="shared" si="26"/>
        <v>213196.8</v>
      </c>
      <c r="CH20" s="76">
        <f t="shared" si="27"/>
        <v>-346.3</v>
      </c>
      <c r="CI20" s="37">
        <f t="shared" si="28"/>
        <v>-346.3</v>
      </c>
      <c r="CJ20" s="37">
        <f t="shared" si="29"/>
        <v>26735.15</v>
      </c>
      <c r="CK20" s="37">
        <f t="shared" si="30"/>
        <v>327992</v>
      </c>
      <c r="CL20" s="141" t="str">
        <f t="shared" si="31"/>
        <v>-</v>
      </c>
      <c r="CM20" s="141" t="str">
        <f t="shared" si="32"/>
        <v>-</v>
      </c>
      <c r="CN20" s="141">
        <f t="shared" si="33"/>
        <v>-0.5384471061479347</v>
      </c>
      <c r="CO20" s="141">
        <f t="shared" si="34"/>
        <v>-0.5384471061479347</v>
      </c>
      <c r="CP20" s="141">
        <f t="shared" si="35"/>
        <v>-0.001624320815321806</v>
      </c>
      <c r="CQ20" s="141">
        <f t="shared" si="36"/>
        <v>-0.001624320815321806</v>
      </c>
      <c r="CR20" s="141">
        <f t="shared" si="37"/>
        <v>0.1254012724393612</v>
      </c>
      <c r="CS20" s="141" t="str">
        <f t="shared" si="38"/>
        <v>-</v>
      </c>
      <c r="CT20" s="141" t="str">
        <f t="shared" si="39"/>
        <v>-</v>
      </c>
      <c r="CU20" s="141" t="str">
        <f t="shared" si="40"/>
        <v>-</v>
      </c>
      <c r="CV20" s="142">
        <f t="shared" si="41"/>
        <v>-0.8059311713381747</v>
      </c>
      <c r="CW20" s="76">
        <f t="shared" si="42"/>
        <v>92517.03000000003</v>
      </c>
      <c r="CX20" s="80">
        <f t="shared" si="43"/>
        <v>327992</v>
      </c>
      <c r="CY20" s="80">
        <f t="shared" si="44"/>
        <v>213196.8</v>
      </c>
      <c r="CZ20" s="80">
        <f t="shared" si="45"/>
        <v>-114795.20000000001</v>
      </c>
      <c r="DA20" s="80">
        <f t="shared" si="46"/>
        <v>0</v>
      </c>
      <c r="DB20" s="80">
        <f t="shared" si="47"/>
        <v>-114795.20000000001</v>
      </c>
      <c r="DC20" s="80">
        <f t="shared" si="48"/>
        <v>-114795.20000000001</v>
      </c>
      <c r="DD20" s="80">
        <f t="shared" si="49"/>
        <v>0</v>
      </c>
      <c r="DE20" s="80">
        <f t="shared" si="50"/>
        <v>0</v>
      </c>
      <c r="DF20" s="80">
        <f t="shared" si="51"/>
        <v>-114795.20000000001</v>
      </c>
      <c r="DG20" s="80">
        <f t="shared" si="52"/>
        <v>-114795.20000000001</v>
      </c>
      <c r="DH20" s="80">
        <f t="shared" si="53"/>
        <v>0</v>
      </c>
      <c r="DI20" s="80">
        <f t="shared" si="54"/>
        <v>-114795.20000000001</v>
      </c>
      <c r="DJ20" s="80">
        <f t="shared" si="55"/>
        <v>84947.7</v>
      </c>
      <c r="DK20" s="80">
        <f t="shared" si="56"/>
        <v>206.05129175946553</v>
      </c>
      <c r="DL20" s="80">
        <f t="shared" si="57"/>
        <v>-0.7712694877505568</v>
      </c>
      <c r="DM20" s="80">
        <f t="shared" si="58"/>
        <v>189.19309576837415</v>
      </c>
      <c r="DN20" s="81">
        <f t="shared" si="59"/>
        <v>0</v>
      </c>
      <c r="DO20" s="76">
        <f t="shared" si="60"/>
        <v>-255.66859688195993</v>
      </c>
      <c r="DP20" s="145">
        <f t="shared" si="61"/>
        <v>92517.03</v>
      </c>
      <c r="DQ20" s="162">
        <v>0</v>
      </c>
      <c r="DR20" s="68"/>
      <c r="DT20" s="179">
        <v>79265.75</v>
      </c>
      <c r="DU20" s="179">
        <v>39415.85</v>
      </c>
      <c r="DV20" s="179">
        <v>71822.23</v>
      </c>
      <c r="DW20" s="179"/>
      <c r="DX20" s="179"/>
      <c r="DY20" s="179"/>
      <c r="DZ20" s="179"/>
      <c r="EA20" s="179"/>
      <c r="EB20" s="179"/>
      <c r="EC20" s="179"/>
      <c r="ED20" s="175">
        <f>SUM(DT20:EC20)</f>
        <v>190503.83000000002</v>
      </c>
      <c r="EE20" s="179">
        <v>70527.65</v>
      </c>
      <c r="EF20" s="179"/>
      <c r="EG20" s="179"/>
      <c r="EH20" s="179">
        <v>26735.15</v>
      </c>
      <c r="EI20" s="179"/>
      <c r="EJ20" s="179">
        <v>724</v>
      </c>
      <c r="EK20" s="179"/>
      <c r="EL20" s="179">
        <v>92517.03</v>
      </c>
      <c r="EM20" s="175">
        <f>SUM(EE20:EL20)</f>
        <v>190503.83</v>
      </c>
      <c r="EN20" s="175">
        <f t="shared" si="63"/>
        <v>0</v>
      </c>
    </row>
    <row r="21" spans="1:144" ht="12.75">
      <c r="A21" s="52" t="s">
        <v>13</v>
      </c>
      <c r="B21" s="43">
        <v>3953</v>
      </c>
      <c r="C21" s="4">
        <v>17757371</v>
      </c>
      <c r="D21" s="69">
        <v>4492.13</v>
      </c>
      <c r="E21" s="69">
        <v>119.52</v>
      </c>
      <c r="F21" s="8">
        <v>6</v>
      </c>
      <c r="G21" s="131">
        <f>19586.7+1387.7+35.25+1886.85+141539.4+9446.4+19550.9+4204.75+3452.75+2622.8</f>
        <v>203713.49999999997</v>
      </c>
      <c r="H21" s="43">
        <f>1742.85+2926.75+629.1+1592.7+11294.65+10800+855.2+12237.15+2006.75+1935.95+750+705.85+110+28586.8+2.3+992.45+200</f>
        <v>77368.5</v>
      </c>
      <c r="I21" s="43">
        <f>1570.7</f>
        <v>1570.7</v>
      </c>
      <c r="J21" s="43">
        <v>0</v>
      </c>
      <c r="K21" s="43">
        <v>0</v>
      </c>
      <c r="L21" s="43">
        <v>0</v>
      </c>
      <c r="M21" s="43">
        <f t="shared" si="1"/>
        <v>0</v>
      </c>
      <c r="N21" s="43">
        <v>0</v>
      </c>
      <c r="O21" s="43">
        <v>0</v>
      </c>
      <c r="P21" s="43">
        <f>17020.55+23874.7+5973+7167.6+329749.4+3480.6+100+236333+504801.6+100683.9+410568.85+61427.05+124768.45</f>
        <v>1825948.6999999997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f t="shared" si="3"/>
        <v>0</v>
      </c>
      <c r="X21" s="43">
        <f>78385+10120</f>
        <v>88505</v>
      </c>
      <c r="Y21" s="43">
        <f t="shared" si="4"/>
        <v>2197106.4</v>
      </c>
      <c r="Z21" s="43">
        <f>238460.6+905412.65</f>
        <v>1143873.25</v>
      </c>
      <c r="AA21" s="43">
        <f>74085.45</f>
        <v>74085.45</v>
      </c>
      <c r="AB21" s="43">
        <v>0</v>
      </c>
      <c r="AC21" s="43">
        <f>34327</f>
        <v>34327</v>
      </c>
      <c r="AD21" s="43">
        <v>0</v>
      </c>
      <c r="AE21" s="43">
        <f t="shared" si="5"/>
        <v>1252285.7</v>
      </c>
      <c r="AF21" s="43">
        <v>0</v>
      </c>
      <c r="AG21" s="43">
        <f>555.55</f>
        <v>555.55</v>
      </c>
      <c r="AH21" s="43">
        <v>0</v>
      </c>
      <c r="AI21" s="43">
        <f>0.5+100+18737.2+63243.35+74093.8+73670+63779.6+262992.85+278972.45</f>
        <v>835589.75</v>
      </c>
      <c r="AJ21" s="43">
        <v>0</v>
      </c>
      <c r="AK21" s="43">
        <f>9672+70000+229398.8</f>
        <v>309070.8</v>
      </c>
      <c r="AL21" s="43">
        <v>0</v>
      </c>
      <c r="AM21" s="43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7"/>
        <v>0</v>
      </c>
      <c r="AT21" s="4">
        <f>10055+68330+10120</f>
        <v>88505</v>
      </c>
      <c r="AU21" s="4">
        <f t="shared" si="8"/>
        <v>2486006.8</v>
      </c>
      <c r="AV21" s="4">
        <v>288900.4</v>
      </c>
      <c r="AW21" s="4">
        <v>0</v>
      </c>
      <c r="AX21" s="34">
        <f t="shared" si="9"/>
        <v>1.1641532182693481E-10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f t="shared" si="11"/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f t="shared" si="13"/>
        <v>0</v>
      </c>
      <c r="BP21" s="43">
        <v>0</v>
      </c>
      <c r="BQ21" s="43">
        <v>0</v>
      </c>
      <c r="BR21" s="43">
        <v>0</v>
      </c>
      <c r="BS21" s="43">
        <f t="shared" si="14"/>
        <v>0</v>
      </c>
      <c r="BT21" s="4">
        <f t="shared" si="15"/>
        <v>631909.97</v>
      </c>
      <c r="BU21" s="4">
        <f t="shared" si="16"/>
        <v>0</v>
      </c>
      <c r="BV21" s="4">
        <f t="shared" si="17"/>
        <v>0</v>
      </c>
      <c r="BW21" s="4">
        <f t="shared" si="17"/>
        <v>0</v>
      </c>
      <c r="BX21" s="4">
        <f t="shared" si="18"/>
        <v>631909.97</v>
      </c>
      <c r="BY21" s="4">
        <f t="shared" si="19"/>
        <v>106083.77999999998</v>
      </c>
      <c r="BZ21" s="4">
        <f t="shared" si="20"/>
        <v>0</v>
      </c>
      <c r="CA21" s="4">
        <f t="shared" si="20"/>
        <v>525826.19</v>
      </c>
      <c r="CB21" s="4">
        <f t="shared" si="21"/>
        <v>631909.97</v>
      </c>
      <c r="CC21" s="4">
        <f t="shared" si="22"/>
        <v>0</v>
      </c>
      <c r="CD21" s="74">
        <f t="shared" si="23"/>
        <v>288900.4</v>
      </c>
      <c r="CE21" s="76">
        <f t="shared" si="24"/>
        <v>288900.4</v>
      </c>
      <c r="CF21" s="76">
        <f t="shared" si="25"/>
        <v>0</v>
      </c>
      <c r="CG21" s="76">
        <f t="shared" si="26"/>
        <v>2397501.8</v>
      </c>
      <c r="CH21" s="76">
        <f t="shared" si="27"/>
        <v>1015.1500000000001</v>
      </c>
      <c r="CI21" s="37">
        <f t="shared" si="28"/>
        <v>1015.1500000000001</v>
      </c>
      <c r="CJ21" s="37">
        <f t="shared" si="29"/>
        <v>31377.18</v>
      </c>
      <c r="CK21" s="37">
        <f t="shared" si="30"/>
        <v>2108601.4</v>
      </c>
      <c r="CL21" s="141" t="str">
        <f t="shared" si="31"/>
        <v>-</v>
      </c>
      <c r="CM21" s="141" t="str">
        <f t="shared" si="32"/>
        <v>-</v>
      </c>
      <c r="CN21" s="141">
        <f t="shared" si="33"/>
        <v>0.12050059774720505</v>
      </c>
      <c r="CO21" s="141">
        <f t="shared" si="34"/>
        <v>0.12050059774720505</v>
      </c>
      <c r="CP21" s="141">
        <f t="shared" si="35"/>
        <v>0.00042341991150955557</v>
      </c>
      <c r="CQ21" s="141">
        <f t="shared" si="36"/>
        <v>0.00042341991150955557</v>
      </c>
      <c r="CR21" s="141">
        <f t="shared" si="37"/>
        <v>0.013087447942687676</v>
      </c>
      <c r="CS21" s="141" t="str">
        <f t="shared" si="38"/>
        <v>-</v>
      </c>
      <c r="CT21" s="141" t="str">
        <f t="shared" si="39"/>
        <v>-</v>
      </c>
      <c r="CU21" s="141" t="str">
        <f t="shared" si="40"/>
        <v>-</v>
      </c>
      <c r="CV21" s="142">
        <f t="shared" si="41"/>
        <v>1.8200950569815753</v>
      </c>
      <c r="CW21" s="76">
        <f t="shared" si="42"/>
        <v>525826.19</v>
      </c>
      <c r="CX21" s="80">
        <f t="shared" si="43"/>
        <v>2197106.4</v>
      </c>
      <c r="CY21" s="80">
        <f t="shared" si="44"/>
        <v>2486006.8</v>
      </c>
      <c r="CZ21" s="80">
        <f t="shared" si="45"/>
        <v>288900.3999999999</v>
      </c>
      <c r="DA21" s="80">
        <f t="shared" si="46"/>
        <v>0</v>
      </c>
      <c r="DB21" s="80">
        <f t="shared" si="47"/>
        <v>288900.3999999999</v>
      </c>
      <c r="DC21" s="80">
        <f t="shared" si="48"/>
        <v>288900.3999999999</v>
      </c>
      <c r="DD21" s="80">
        <f t="shared" si="49"/>
        <v>0</v>
      </c>
      <c r="DE21" s="80">
        <f t="shared" si="50"/>
        <v>0</v>
      </c>
      <c r="DF21" s="80">
        <f t="shared" si="51"/>
        <v>288900.3999999999</v>
      </c>
      <c r="DG21" s="80">
        <f t="shared" si="52"/>
        <v>288900.3999999999</v>
      </c>
      <c r="DH21" s="80">
        <f t="shared" si="53"/>
        <v>0</v>
      </c>
      <c r="DI21" s="80">
        <f t="shared" si="54"/>
        <v>288900.3999999999</v>
      </c>
      <c r="DJ21" s="80">
        <f t="shared" si="55"/>
        <v>1217958.7</v>
      </c>
      <c r="DK21" s="80">
        <f t="shared" si="56"/>
        <v>133.01952694156336</v>
      </c>
      <c r="DL21" s="80">
        <f t="shared" si="57"/>
        <v>0.25680495825954974</v>
      </c>
      <c r="DM21" s="80">
        <f t="shared" si="58"/>
        <v>308.1099671135846</v>
      </c>
      <c r="DN21" s="81">
        <f t="shared" si="59"/>
        <v>0</v>
      </c>
      <c r="DO21" s="76">
        <f t="shared" si="60"/>
        <v>73.08383506197822</v>
      </c>
      <c r="DP21" s="145">
        <f t="shared" si="61"/>
        <v>525826.19</v>
      </c>
      <c r="DQ21" s="162">
        <v>0</v>
      </c>
      <c r="DR21" s="65"/>
      <c r="DT21" s="178">
        <v>611940.97</v>
      </c>
      <c r="DU21" s="178">
        <v>19969</v>
      </c>
      <c r="DV21" s="178">
        <v>0</v>
      </c>
      <c r="DW21" s="178">
        <v>0</v>
      </c>
      <c r="DX21" s="178">
        <v>0</v>
      </c>
      <c r="DY21" s="178">
        <v>0</v>
      </c>
      <c r="DZ21" s="178">
        <v>0</v>
      </c>
      <c r="EA21" s="178">
        <v>0</v>
      </c>
      <c r="EB21" s="178">
        <v>0</v>
      </c>
      <c r="EC21" s="178">
        <v>0</v>
      </c>
      <c r="ED21" s="173">
        <f>SUM(DT21:EC21)</f>
        <v>631909.97</v>
      </c>
      <c r="EE21" s="178">
        <v>69723.65</v>
      </c>
      <c r="EF21" s="178">
        <v>0</v>
      </c>
      <c r="EG21" s="178">
        <v>31377.18</v>
      </c>
      <c r="EH21" s="178">
        <v>0</v>
      </c>
      <c r="EI21" s="178">
        <v>0</v>
      </c>
      <c r="EJ21" s="178">
        <v>4982.95</v>
      </c>
      <c r="EK21" s="178">
        <v>0</v>
      </c>
      <c r="EL21" s="178">
        <v>525826.19</v>
      </c>
      <c r="EM21" s="173">
        <f>SUM(EE21:EL21)</f>
        <v>631909.97</v>
      </c>
      <c r="EN21" s="184">
        <f t="shared" si="63"/>
        <v>0</v>
      </c>
    </row>
    <row r="22" spans="1:144" ht="12.75">
      <c r="A22" s="51" t="s">
        <v>14</v>
      </c>
      <c r="B22" s="42">
        <v>2886</v>
      </c>
      <c r="C22" s="38">
        <v>10780228</v>
      </c>
      <c r="D22" s="66">
        <v>3735.35</v>
      </c>
      <c r="E22" s="66">
        <v>99.38</v>
      </c>
      <c r="F22" s="126">
        <v>4</v>
      </c>
      <c r="G22" s="132">
        <v>59100.15</v>
      </c>
      <c r="H22" s="42">
        <v>9663.05</v>
      </c>
      <c r="I22" s="42">
        <v>0</v>
      </c>
      <c r="J22" s="42">
        <v>0</v>
      </c>
      <c r="K22" s="42">
        <v>0</v>
      </c>
      <c r="L22" s="42">
        <v>0</v>
      </c>
      <c r="M22" s="43">
        <f t="shared" si="1"/>
        <v>0</v>
      </c>
      <c r="N22" s="42">
        <v>0</v>
      </c>
      <c r="O22" s="42">
        <v>0</v>
      </c>
      <c r="P22" s="42">
        <v>1400697.25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3">
        <f t="shared" si="3"/>
        <v>0</v>
      </c>
      <c r="X22" s="42">
        <v>0</v>
      </c>
      <c r="Y22" s="43">
        <f t="shared" si="4"/>
        <v>1469460.45</v>
      </c>
      <c r="Z22" s="42">
        <v>642042.15</v>
      </c>
      <c r="AA22" s="42">
        <v>0</v>
      </c>
      <c r="AB22" s="42">
        <v>0</v>
      </c>
      <c r="AC22" s="42">
        <v>25061.4</v>
      </c>
      <c r="AD22" s="42">
        <v>0</v>
      </c>
      <c r="AE22" s="43">
        <f t="shared" si="5"/>
        <v>667103.55</v>
      </c>
      <c r="AF22" s="42">
        <v>0</v>
      </c>
      <c r="AG22" s="42">
        <v>15760.75</v>
      </c>
      <c r="AH22" s="42">
        <v>8571.8</v>
      </c>
      <c r="AI22" s="42">
        <v>536575.55</v>
      </c>
      <c r="AJ22" s="42">
        <v>0</v>
      </c>
      <c r="AK22" s="42">
        <v>0</v>
      </c>
      <c r="AL22" s="42">
        <v>0</v>
      </c>
      <c r="AM22" s="42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4">
        <f t="shared" si="7"/>
        <v>0</v>
      </c>
      <c r="AT22" s="38">
        <v>0</v>
      </c>
      <c r="AU22" s="4">
        <f t="shared" si="8"/>
        <v>1219439.85</v>
      </c>
      <c r="AV22" s="38">
        <v>0</v>
      </c>
      <c r="AW22" s="38">
        <v>250020.6</v>
      </c>
      <c r="AX22" s="34">
        <f t="shared" si="9"/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3">
        <f t="shared" si="11"/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3">
        <f t="shared" si="13"/>
        <v>0</v>
      </c>
      <c r="BP22" s="42">
        <v>0</v>
      </c>
      <c r="BQ22" s="42">
        <v>0</v>
      </c>
      <c r="BR22" s="42">
        <v>0</v>
      </c>
      <c r="BS22" s="43">
        <f t="shared" si="14"/>
        <v>0</v>
      </c>
      <c r="BT22" s="4">
        <f t="shared" si="15"/>
        <v>653092.28</v>
      </c>
      <c r="BU22" s="4">
        <f t="shared" si="16"/>
        <v>1</v>
      </c>
      <c r="BV22" s="4">
        <f t="shared" si="17"/>
        <v>0</v>
      </c>
      <c r="BW22" s="4">
        <f t="shared" si="17"/>
        <v>0</v>
      </c>
      <c r="BX22" s="4">
        <f t="shared" si="18"/>
        <v>653093.28</v>
      </c>
      <c r="BY22" s="4">
        <f t="shared" si="19"/>
        <v>298658</v>
      </c>
      <c r="BZ22" s="4">
        <f t="shared" si="20"/>
        <v>0</v>
      </c>
      <c r="CA22" s="4">
        <f t="shared" si="20"/>
        <v>354435.28</v>
      </c>
      <c r="CB22" s="4">
        <f t="shared" si="21"/>
        <v>653093.28</v>
      </c>
      <c r="CC22" s="4">
        <f t="shared" si="22"/>
        <v>0</v>
      </c>
      <c r="CD22" s="74">
        <f t="shared" si="23"/>
        <v>-250020.6</v>
      </c>
      <c r="CE22" s="76">
        <f t="shared" si="24"/>
        <v>-250020.6</v>
      </c>
      <c r="CF22" s="76">
        <f t="shared" si="25"/>
        <v>0</v>
      </c>
      <c r="CG22" s="76">
        <f t="shared" si="26"/>
        <v>1219439.85</v>
      </c>
      <c r="CH22" s="76">
        <f t="shared" si="27"/>
        <v>-7188.950000000001</v>
      </c>
      <c r="CI22" s="37">
        <f t="shared" si="28"/>
        <v>-7188.950000000001</v>
      </c>
      <c r="CJ22" s="37">
        <f>EF22+EG22+EH22</f>
        <v>0</v>
      </c>
      <c r="CK22" s="37">
        <f t="shared" si="30"/>
        <v>1469460.45</v>
      </c>
      <c r="CL22" s="141" t="str">
        <f t="shared" si="31"/>
        <v>-</v>
      </c>
      <c r="CM22" s="141" t="str">
        <f t="shared" si="32"/>
        <v>-</v>
      </c>
      <c r="CN22" s="141">
        <f t="shared" si="33"/>
        <v>-0.2050290549386261</v>
      </c>
      <c r="CO22" s="141">
        <f t="shared" si="34"/>
        <v>-0.2050290549386261</v>
      </c>
      <c r="CP22" s="141">
        <f t="shared" si="35"/>
        <v>-0.0058952887262131055</v>
      </c>
      <c r="CQ22" s="141">
        <f t="shared" si="36"/>
        <v>-0.0058952887262131055</v>
      </c>
      <c r="CR22" s="141" t="str">
        <f t="shared" si="37"/>
        <v>-</v>
      </c>
      <c r="CS22" s="141" t="str">
        <f t="shared" si="38"/>
        <v>-</v>
      </c>
      <c r="CT22" s="141">
        <f t="shared" si="39"/>
        <v>0</v>
      </c>
      <c r="CU22" s="141">
        <f t="shared" si="40"/>
        <v>0</v>
      </c>
      <c r="CV22" s="142">
        <f t="shared" si="41"/>
        <v>-1.4176203080866137</v>
      </c>
      <c r="CW22" s="76">
        <f t="shared" si="42"/>
        <v>354434.28</v>
      </c>
      <c r="CX22" s="80">
        <f t="shared" si="43"/>
        <v>1469460.45</v>
      </c>
      <c r="CY22" s="80">
        <f t="shared" si="44"/>
        <v>1219439.85</v>
      </c>
      <c r="CZ22" s="80">
        <f t="shared" si="45"/>
        <v>-250020.59999999986</v>
      </c>
      <c r="DA22" s="80">
        <f t="shared" si="46"/>
        <v>0</v>
      </c>
      <c r="DB22" s="80">
        <f t="shared" si="47"/>
        <v>-250020.59999999986</v>
      </c>
      <c r="DC22" s="80">
        <f t="shared" si="48"/>
        <v>-250020.59999999986</v>
      </c>
      <c r="DD22" s="80">
        <f t="shared" si="49"/>
        <v>0</v>
      </c>
      <c r="DE22" s="80">
        <f t="shared" si="50"/>
        <v>0</v>
      </c>
      <c r="DF22" s="80">
        <f t="shared" si="51"/>
        <v>-250020.59999999986</v>
      </c>
      <c r="DG22" s="80">
        <f t="shared" si="52"/>
        <v>-250020.59999999986</v>
      </c>
      <c r="DH22" s="80">
        <f t="shared" si="53"/>
        <v>0</v>
      </c>
      <c r="DI22" s="80">
        <f t="shared" si="54"/>
        <v>-250020.59999999986</v>
      </c>
      <c r="DJ22" s="80">
        <f t="shared" si="55"/>
        <v>642042.15</v>
      </c>
      <c r="DK22" s="80">
        <f t="shared" si="56"/>
        <v>122.81160083160084</v>
      </c>
      <c r="DL22" s="80">
        <f t="shared" si="57"/>
        <v>-2.4909736659736663</v>
      </c>
      <c r="DM22" s="80">
        <f t="shared" si="58"/>
        <v>222.46782744282746</v>
      </c>
      <c r="DN22" s="81">
        <f t="shared" si="59"/>
        <v>0</v>
      </c>
      <c r="DO22" s="76">
        <f t="shared" si="60"/>
        <v>-86.63222453222448</v>
      </c>
      <c r="DP22" s="145">
        <f t="shared" si="61"/>
        <v>354434.28</v>
      </c>
      <c r="DQ22" s="162">
        <v>0</v>
      </c>
      <c r="DR22" s="68"/>
      <c r="DT22" s="179">
        <v>215233.33</v>
      </c>
      <c r="DU22" s="179">
        <v>207894.35</v>
      </c>
      <c r="DV22" s="179">
        <v>215440.2</v>
      </c>
      <c r="DW22" s="179">
        <v>14524.4</v>
      </c>
      <c r="DX22" s="179">
        <v>1</v>
      </c>
      <c r="DY22" s="179">
        <v>0</v>
      </c>
      <c r="DZ22" s="179">
        <v>0</v>
      </c>
      <c r="EA22" s="179">
        <v>0</v>
      </c>
      <c r="EB22" s="179">
        <v>0</v>
      </c>
      <c r="EC22" s="179">
        <v>0</v>
      </c>
      <c r="ED22" s="175">
        <f>SUM(DT22:EC22)</f>
        <v>653093.28</v>
      </c>
      <c r="EE22" s="179">
        <v>298658</v>
      </c>
      <c r="EF22" s="179">
        <v>0</v>
      </c>
      <c r="EG22" s="179">
        <v>0</v>
      </c>
      <c r="EH22" s="179">
        <v>0</v>
      </c>
      <c r="EI22" s="179">
        <v>0</v>
      </c>
      <c r="EJ22" s="179">
        <v>0</v>
      </c>
      <c r="EK22" s="179">
        <v>0</v>
      </c>
      <c r="EL22" s="179">
        <v>354435.28</v>
      </c>
      <c r="EM22" s="175">
        <f>SUM(EE22:EL22)</f>
        <v>653093.28</v>
      </c>
      <c r="EN22" s="185">
        <f t="shared" si="63"/>
        <v>0</v>
      </c>
    </row>
    <row r="23" spans="1:144" ht="12.75">
      <c r="A23" s="52" t="s">
        <v>15</v>
      </c>
      <c r="B23" s="43">
        <v>249</v>
      </c>
      <c r="C23" s="4">
        <v>825091</v>
      </c>
      <c r="D23" s="69">
        <v>3313.62</v>
      </c>
      <c r="E23" s="69">
        <v>88.16</v>
      </c>
      <c r="F23" s="8">
        <v>3</v>
      </c>
      <c r="G23" s="137">
        <f aca="true" t="shared" si="82" ref="G23:L23">(G41/($B$12+$B$14+$B$23)*$B$23)</f>
        <v>4841.641682509507</v>
      </c>
      <c r="H23" s="137">
        <f t="shared" si="82"/>
        <v>866.2572718631178</v>
      </c>
      <c r="I23" s="137">
        <f t="shared" si="82"/>
        <v>0</v>
      </c>
      <c r="J23" s="137">
        <f t="shared" si="82"/>
        <v>0</v>
      </c>
      <c r="K23" s="137">
        <f t="shared" si="82"/>
        <v>0</v>
      </c>
      <c r="L23" s="137">
        <f t="shared" si="82"/>
        <v>0</v>
      </c>
      <c r="M23" s="43">
        <f t="shared" si="1"/>
        <v>0</v>
      </c>
      <c r="N23" s="137">
        <f aca="true" t="shared" si="83" ref="N23:V23">(N41/($B$12+$B$14+$B$23)*$B$23)</f>
        <v>0</v>
      </c>
      <c r="O23" s="137">
        <f t="shared" si="83"/>
        <v>0</v>
      </c>
      <c r="P23" s="137">
        <f t="shared" si="83"/>
        <v>116963.98659695816</v>
      </c>
      <c r="Q23" s="137">
        <f t="shared" si="83"/>
        <v>0</v>
      </c>
      <c r="R23" s="137">
        <f t="shared" si="83"/>
        <v>0</v>
      </c>
      <c r="S23" s="137">
        <f t="shared" si="83"/>
        <v>0</v>
      </c>
      <c r="T23" s="137">
        <f t="shared" si="83"/>
        <v>0</v>
      </c>
      <c r="U23" s="137">
        <f t="shared" si="83"/>
        <v>0</v>
      </c>
      <c r="V23" s="137">
        <f t="shared" si="83"/>
        <v>0</v>
      </c>
      <c r="W23" s="43">
        <f t="shared" si="3"/>
        <v>0</v>
      </c>
      <c r="X23" s="137">
        <f>(X41/($B$12+$B$14+$B$23)*$B$23)</f>
        <v>0</v>
      </c>
      <c r="Y23" s="43">
        <f t="shared" si="4"/>
        <v>122671.88555133078</v>
      </c>
      <c r="Z23" s="137">
        <f>(Z41/($B$12+$B$14+$B$23)*$B$23)</f>
        <v>38924.416112167295</v>
      </c>
      <c r="AA23" s="137">
        <f>(AA41/($B$12+$B$14+$B$23)*$B$23)</f>
        <v>588.1914923954373</v>
      </c>
      <c r="AB23" s="137">
        <f>(AB41/($B$12+$B$14+$B$23)*$B$23)</f>
        <v>0</v>
      </c>
      <c r="AC23" s="137">
        <f>(AC41/($B$12+$B$14+$B$23)*$B$23)</f>
        <v>2162.264401140684</v>
      </c>
      <c r="AD23" s="137">
        <f>(AD41/($B$12+$B$14+$B$23)*$B$23)</f>
        <v>0</v>
      </c>
      <c r="AE23" s="43">
        <f t="shared" si="5"/>
        <v>41674.872005703415</v>
      </c>
      <c r="AF23" s="137">
        <f aca="true" t="shared" si="84" ref="AF23:AR23">(AF41/($B$12+$B$14+$B$23)*$B$23)</f>
        <v>0</v>
      </c>
      <c r="AG23" s="137">
        <f t="shared" si="84"/>
        <v>1968.342633079848</v>
      </c>
      <c r="AH23" s="137">
        <f t="shared" si="84"/>
        <v>0</v>
      </c>
      <c r="AI23" s="137">
        <f t="shared" si="84"/>
        <v>33603.733460076044</v>
      </c>
      <c r="AJ23" s="137">
        <f t="shared" si="84"/>
        <v>0</v>
      </c>
      <c r="AK23" s="137">
        <f t="shared" si="84"/>
        <v>0</v>
      </c>
      <c r="AL23" s="137">
        <f t="shared" si="84"/>
        <v>278.2432984790874</v>
      </c>
      <c r="AM23" s="137">
        <f t="shared" si="84"/>
        <v>0</v>
      </c>
      <c r="AN23" s="137">
        <f t="shared" si="84"/>
        <v>0</v>
      </c>
      <c r="AO23" s="137">
        <f t="shared" si="84"/>
        <v>0</v>
      </c>
      <c r="AP23" s="137">
        <f t="shared" si="84"/>
        <v>0</v>
      </c>
      <c r="AQ23" s="137">
        <f t="shared" si="84"/>
        <v>0</v>
      </c>
      <c r="AR23" s="137">
        <f t="shared" si="84"/>
        <v>0</v>
      </c>
      <c r="AS23" s="4">
        <f t="shared" si="7"/>
        <v>0</v>
      </c>
      <c r="AT23" s="137">
        <f>(AT41/($B$12+$B$14+$B$23)*$B$23)</f>
        <v>0</v>
      </c>
      <c r="AU23" s="4">
        <f t="shared" si="8"/>
        <v>77525.1913973384</v>
      </c>
      <c r="AV23" s="137">
        <f>(AV41/($B$12+$B$14+$B$23)*$B$23)</f>
        <v>0</v>
      </c>
      <c r="AW23" s="137">
        <f>(AW41/($B$12+$B$14+$B$23)*$B$23)</f>
        <v>45146.6941539924</v>
      </c>
      <c r="AX23" s="34">
        <f t="shared" si="9"/>
        <v>0</v>
      </c>
      <c r="AY23" s="137">
        <f aca="true" t="shared" si="85" ref="AY23:BE23">(AY41/($B$12+$B$14+$B$23)*$B$23)</f>
        <v>0</v>
      </c>
      <c r="AZ23" s="137">
        <f t="shared" si="85"/>
        <v>0</v>
      </c>
      <c r="BA23" s="137">
        <f t="shared" si="85"/>
        <v>0</v>
      </c>
      <c r="BB23" s="137">
        <f t="shared" si="85"/>
        <v>0</v>
      </c>
      <c r="BC23" s="137">
        <f t="shared" si="85"/>
        <v>0</v>
      </c>
      <c r="BD23" s="137">
        <f t="shared" si="85"/>
        <v>0</v>
      </c>
      <c r="BE23" s="137">
        <f t="shared" si="85"/>
        <v>0</v>
      </c>
      <c r="BF23" s="43">
        <f t="shared" si="11"/>
        <v>0</v>
      </c>
      <c r="BG23" s="137">
        <f aca="true" t="shared" si="86" ref="BG23:BN23">(BG41/($B$12+$B$14+$B$23)*$B$23)</f>
        <v>0</v>
      </c>
      <c r="BH23" s="137">
        <f t="shared" si="86"/>
        <v>0</v>
      </c>
      <c r="BI23" s="137">
        <f t="shared" si="86"/>
        <v>0</v>
      </c>
      <c r="BJ23" s="137">
        <f t="shared" si="86"/>
        <v>0</v>
      </c>
      <c r="BK23" s="137">
        <f t="shared" si="86"/>
        <v>0</v>
      </c>
      <c r="BL23" s="137">
        <f t="shared" si="86"/>
        <v>0</v>
      </c>
      <c r="BM23" s="137">
        <f t="shared" si="86"/>
        <v>0</v>
      </c>
      <c r="BN23" s="137">
        <f t="shared" si="86"/>
        <v>0</v>
      </c>
      <c r="BO23" s="43">
        <f t="shared" si="13"/>
        <v>0</v>
      </c>
      <c r="BP23" s="137">
        <f>(BP41/($B$12+$B$14+$B$23)*$B$23)</f>
        <v>0</v>
      </c>
      <c r="BQ23" s="137">
        <f>(BQ41/($B$12+$B$14+$B$23)*$B$23)</f>
        <v>0</v>
      </c>
      <c r="BR23" s="137">
        <f>(BR41/($B$12+$B$14+$B$23)*$B$23)</f>
        <v>0</v>
      </c>
      <c r="BS23" s="43">
        <f t="shared" si="14"/>
        <v>0</v>
      </c>
      <c r="BT23" s="4">
        <f t="shared" si="15"/>
        <v>195695.5474904943</v>
      </c>
      <c r="BU23" s="4">
        <f t="shared" si="16"/>
        <v>29266.494296577945</v>
      </c>
      <c r="BV23" s="4">
        <f t="shared" si="17"/>
        <v>0</v>
      </c>
      <c r="BW23" s="4">
        <f t="shared" si="17"/>
        <v>0</v>
      </c>
      <c r="BX23" s="4">
        <f t="shared" si="18"/>
        <v>224962.04178707223</v>
      </c>
      <c r="BY23" s="4">
        <f t="shared" si="19"/>
        <v>35603.733650190115</v>
      </c>
      <c r="BZ23" s="4">
        <f t="shared" si="20"/>
        <v>0</v>
      </c>
      <c r="CA23" s="4">
        <f t="shared" si="20"/>
        <v>189358.30813688211</v>
      </c>
      <c r="CB23" s="4">
        <f t="shared" si="21"/>
        <v>224962.04178707223</v>
      </c>
      <c r="CC23" s="4">
        <f t="shared" si="22"/>
        <v>0</v>
      </c>
      <c r="CD23" s="74">
        <f t="shared" si="23"/>
        <v>-45146.6941539924</v>
      </c>
      <c r="CE23" s="76">
        <f t="shared" si="24"/>
        <v>-45146.6941539924</v>
      </c>
      <c r="CF23" s="76">
        <f t="shared" si="25"/>
        <v>0</v>
      </c>
      <c r="CG23" s="76">
        <f t="shared" si="26"/>
        <v>77525.1913973384</v>
      </c>
      <c r="CH23" s="76">
        <f t="shared" si="27"/>
        <v>-1968.342633079848</v>
      </c>
      <c r="CI23" s="37">
        <f t="shared" si="28"/>
        <v>-1968.342633079848</v>
      </c>
      <c r="CJ23" s="37">
        <f aca="true" t="shared" si="87" ref="CJ23:CJ31">EF23+EG23+EH23</f>
        <v>0</v>
      </c>
      <c r="CK23" s="37">
        <f t="shared" si="30"/>
        <v>122671.88555133078</v>
      </c>
      <c r="CL23" s="141" t="str">
        <f t="shared" si="31"/>
        <v>-</v>
      </c>
      <c r="CM23" s="141" t="str">
        <f t="shared" si="32"/>
        <v>-</v>
      </c>
      <c r="CN23" s="141">
        <f t="shared" si="33"/>
        <v>-0.58234869647213</v>
      </c>
      <c r="CO23" s="141">
        <f t="shared" si="34"/>
        <v>-0.58234869647213</v>
      </c>
      <c r="CP23" s="141">
        <f t="shared" si="35"/>
        <v>-0.02538971652442028</v>
      </c>
      <c r="CQ23" s="141">
        <f t="shared" si="36"/>
        <v>-0.02538971652442028</v>
      </c>
      <c r="CR23" s="141" t="str">
        <f t="shared" si="37"/>
        <v>-</v>
      </c>
      <c r="CS23" s="141" t="str">
        <f t="shared" si="38"/>
        <v>-</v>
      </c>
      <c r="CT23" s="141">
        <f t="shared" si="39"/>
        <v>0</v>
      </c>
      <c r="CU23" s="141">
        <f t="shared" si="40"/>
        <v>0</v>
      </c>
      <c r="CV23" s="142">
        <f t="shared" si="41"/>
        <v>-3.5460362456272336</v>
      </c>
      <c r="CW23" s="76">
        <f t="shared" si="42"/>
        <v>160091.81384030418</v>
      </c>
      <c r="CX23" s="80">
        <f t="shared" si="43"/>
        <v>122671.88555133078</v>
      </c>
      <c r="CY23" s="80">
        <f t="shared" si="44"/>
        <v>77525.1913973384</v>
      </c>
      <c r="CZ23" s="80">
        <f t="shared" si="45"/>
        <v>-45146.69415399237</v>
      </c>
      <c r="DA23" s="80">
        <f t="shared" si="46"/>
        <v>0</v>
      </c>
      <c r="DB23" s="80">
        <f t="shared" si="47"/>
        <v>-45146.69415399237</v>
      </c>
      <c r="DC23" s="80">
        <f t="shared" si="48"/>
        <v>-45146.69415399237</v>
      </c>
      <c r="DD23" s="80">
        <f t="shared" si="49"/>
        <v>0</v>
      </c>
      <c r="DE23" s="80">
        <f t="shared" si="50"/>
        <v>0</v>
      </c>
      <c r="DF23" s="80">
        <f t="shared" si="51"/>
        <v>-45146.69415399237</v>
      </c>
      <c r="DG23" s="80">
        <f t="shared" si="52"/>
        <v>-45146.69415399237</v>
      </c>
      <c r="DH23" s="80">
        <f t="shared" si="53"/>
        <v>0</v>
      </c>
      <c r="DI23" s="80">
        <f t="shared" si="54"/>
        <v>-45146.69415399237</v>
      </c>
      <c r="DJ23" s="80">
        <f t="shared" si="55"/>
        <v>39512.607604562734</v>
      </c>
      <c r="DK23" s="80">
        <f t="shared" si="56"/>
        <v>642.9390114068441</v>
      </c>
      <c r="DL23" s="80">
        <f t="shared" si="57"/>
        <v>-7.904990494296578</v>
      </c>
      <c r="DM23" s="80">
        <f t="shared" si="58"/>
        <v>158.68517110266157</v>
      </c>
      <c r="DN23" s="81">
        <f t="shared" si="59"/>
        <v>0</v>
      </c>
      <c r="DO23" s="76">
        <f t="shared" si="60"/>
        <v>-181.3120247148288</v>
      </c>
      <c r="DP23" s="145">
        <f t="shared" si="61"/>
        <v>160091.81384030418</v>
      </c>
      <c r="DQ23" s="137">
        <f>(DQ41/($B$12+$B$14+$B$23)*$B$23)</f>
        <v>0</v>
      </c>
      <c r="DR23" s="65"/>
      <c r="DT23" s="180">
        <f>(DT41/($B$12+$B$14+$B$23)*$B$23)</f>
        <v>52136.86263307984</v>
      </c>
      <c r="DU23" s="180">
        <f aca="true" t="shared" si="88" ref="DU23:EL23">(DU41/($B$12+$B$14+$B$23)*$B$23)</f>
        <v>17139.5149904943</v>
      </c>
      <c r="DV23" s="180">
        <f t="shared" si="88"/>
        <v>126419.16986692016</v>
      </c>
      <c r="DW23" s="180">
        <f t="shared" si="88"/>
        <v>0</v>
      </c>
      <c r="DX23" s="180">
        <f t="shared" si="88"/>
        <v>0.23669201520912547</v>
      </c>
      <c r="DY23" s="180">
        <f t="shared" si="88"/>
        <v>29266.257604562736</v>
      </c>
      <c r="DZ23" s="180">
        <f t="shared" si="88"/>
        <v>0</v>
      </c>
      <c r="EA23" s="180">
        <f t="shared" si="88"/>
        <v>0</v>
      </c>
      <c r="EB23" s="180">
        <f t="shared" si="88"/>
        <v>0</v>
      </c>
      <c r="EC23" s="180">
        <f t="shared" si="88"/>
        <v>0</v>
      </c>
      <c r="ED23" s="173">
        <f>SUM(DT23:EC23)</f>
        <v>224962.04178707223</v>
      </c>
      <c r="EE23" s="180">
        <f t="shared" si="88"/>
        <v>507.8108840304182</v>
      </c>
      <c r="EF23" s="180">
        <f t="shared" si="88"/>
        <v>0</v>
      </c>
      <c r="EG23" s="180">
        <f t="shared" si="88"/>
        <v>0</v>
      </c>
      <c r="EH23" s="180">
        <f t="shared" si="88"/>
        <v>0</v>
      </c>
      <c r="EI23" s="180">
        <f t="shared" si="88"/>
        <v>0</v>
      </c>
      <c r="EJ23" s="180">
        <f t="shared" si="88"/>
        <v>35095.922766159696</v>
      </c>
      <c r="EK23" s="180">
        <f t="shared" si="88"/>
        <v>0</v>
      </c>
      <c r="EL23" s="180">
        <f t="shared" si="88"/>
        <v>189358.30813688211</v>
      </c>
      <c r="EM23" s="173">
        <f>SUM(EE23:EL23)</f>
        <v>224962.04178707223</v>
      </c>
      <c r="EN23" s="173">
        <f t="shared" si="63"/>
        <v>0</v>
      </c>
    </row>
    <row r="24" spans="1:144" ht="12.75">
      <c r="A24" s="51" t="s">
        <v>16</v>
      </c>
      <c r="B24" s="42">
        <v>3727</v>
      </c>
      <c r="C24" s="38">
        <v>14224590</v>
      </c>
      <c r="D24" s="66">
        <v>3816.63</v>
      </c>
      <c r="E24" s="66">
        <v>101.54</v>
      </c>
      <c r="F24" s="126">
        <v>2</v>
      </c>
      <c r="G24" s="132"/>
      <c r="H24" s="42"/>
      <c r="I24" s="42"/>
      <c r="J24" s="42"/>
      <c r="K24" s="42"/>
      <c r="L24" s="42"/>
      <c r="M24" s="43"/>
      <c r="N24" s="42"/>
      <c r="O24" s="42"/>
      <c r="P24" s="42"/>
      <c r="Q24" s="42"/>
      <c r="R24" s="42"/>
      <c r="S24" s="42"/>
      <c r="T24" s="42"/>
      <c r="U24" s="42"/>
      <c r="V24" s="42"/>
      <c r="W24" s="43"/>
      <c r="X24" s="42"/>
      <c r="Y24" s="43"/>
      <c r="Z24" s="42"/>
      <c r="AA24" s="42"/>
      <c r="AB24" s="42"/>
      <c r="AC24" s="42"/>
      <c r="AD24" s="42"/>
      <c r="AE24" s="43"/>
      <c r="AF24" s="42"/>
      <c r="AG24" s="42"/>
      <c r="AH24" s="42"/>
      <c r="AI24" s="42"/>
      <c r="AJ24" s="42"/>
      <c r="AK24" s="42"/>
      <c r="AL24" s="42"/>
      <c r="AM24" s="42"/>
      <c r="AN24" s="38"/>
      <c r="AO24" s="38"/>
      <c r="AP24" s="38"/>
      <c r="AQ24" s="38"/>
      <c r="AR24" s="38"/>
      <c r="AS24" s="4"/>
      <c r="AT24" s="38"/>
      <c r="AU24" s="4"/>
      <c r="AV24" s="38"/>
      <c r="AW24" s="38"/>
      <c r="AX24" s="4"/>
      <c r="AY24" s="42"/>
      <c r="AZ24" s="42"/>
      <c r="BA24" s="42"/>
      <c r="BB24" s="42"/>
      <c r="BC24" s="42"/>
      <c r="BD24" s="42"/>
      <c r="BE24" s="42"/>
      <c r="BF24" s="43"/>
      <c r="BG24" s="42"/>
      <c r="BH24" s="42"/>
      <c r="BI24" s="42"/>
      <c r="BJ24" s="42"/>
      <c r="BK24" s="42"/>
      <c r="BL24" s="42"/>
      <c r="BM24" s="42"/>
      <c r="BN24" s="42"/>
      <c r="BO24" s="43"/>
      <c r="BP24" s="42"/>
      <c r="BQ24" s="42"/>
      <c r="BR24" s="42"/>
      <c r="BS24" s="43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74"/>
      <c r="CE24" s="76"/>
      <c r="CF24" s="76"/>
      <c r="CG24" s="76"/>
      <c r="CH24" s="76"/>
      <c r="CI24" s="37"/>
      <c r="CJ24" s="37"/>
      <c r="CK24" s="37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2"/>
      <c r="CW24" s="76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1"/>
      <c r="DO24" s="76"/>
      <c r="DP24" s="145"/>
      <c r="DQ24" s="162"/>
      <c r="DR24" s="68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5"/>
      <c r="EE24" s="179"/>
      <c r="EF24" s="179"/>
      <c r="EG24" s="179"/>
      <c r="EH24" s="179"/>
      <c r="EI24" s="179"/>
      <c r="EJ24" s="179"/>
      <c r="EK24" s="179"/>
      <c r="EL24" s="179"/>
      <c r="EM24" s="175"/>
      <c r="EN24" s="175"/>
    </row>
    <row r="25" spans="1:144" ht="12.75">
      <c r="A25" s="52" t="s">
        <v>36</v>
      </c>
      <c r="B25" s="43">
        <v>1835</v>
      </c>
      <c r="C25" s="4">
        <v>5292241</v>
      </c>
      <c r="D25" s="69">
        <v>2884.06</v>
      </c>
      <c r="E25" s="69">
        <v>76.73</v>
      </c>
      <c r="F25" s="8">
        <v>5</v>
      </c>
      <c r="G25" s="131">
        <f>200+3330+11000+952.35+18000+2496.65+1485.5+191.1+12</f>
        <v>37667.6</v>
      </c>
      <c r="H25" s="43">
        <f>470.8+508.85+4500+441.95+688.35+254+2737.5</f>
        <v>9601.45</v>
      </c>
      <c r="I25" s="43">
        <f>7.5</f>
        <v>7.5</v>
      </c>
      <c r="J25" s="43">
        <v>0</v>
      </c>
      <c r="K25" s="43">
        <v>0</v>
      </c>
      <c r="L25" s="43">
        <v>0</v>
      </c>
      <c r="M25" s="43">
        <f t="shared" si="1"/>
        <v>0</v>
      </c>
      <c r="N25" s="43">
        <v>0</v>
      </c>
      <c r="O25" s="43">
        <v>0</v>
      </c>
      <c r="P25" s="43">
        <f>4799.15+6545+153071.15+7650.45+100+69306.9+299867.9+40967.7+182080.05+79550.65+88975.85</f>
        <v>932914.8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f t="shared" si="3"/>
        <v>0</v>
      </c>
      <c r="X25" s="43">
        <v>0</v>
      </c>
      <c r="Y25" s="43">
        <f t="shared" si="4"/>
        <v>980191.3500000001</v>
      </c>
      <c r="Z25" s="43">
        <f>91.4+327495.25</f>
        <v>327586.65</v>
      </c>
      <c r="AA25" s="43">
        <v>0</v>
      </c>
      <c r="AB25" s="43">
        <v>0</v>
      </c>
      <c r="AC25" s="43">
        <f>15934.75</f>
        <v>15934.75</v>
      </c>
      <c r="AD25" s="43">
        <v>0</v>
      </c>
      <c r="AE25" s="43">
        <f t="shared" si="5"/>
        <v>343521.4</v>
      </c>
      <c r="AF25" s="43">
        <v>0</v>
      </c>
      <c r="AG25" s="43">
        <f>112.55+972+2383.2</f>
        <v>3467.75</v>
      </c>
      <c r="AH25" s="43">
        <v>0</v>
      </c>
      <c r="AI25" s="43">
        <f>5286.4+33840.85+66381.4+40851+245620.2</f>
        <v>391979.85</v>
      </c>
      <c r="AJ25" s="43">
        <v>0</v>
      </c>
      <c r="AK25" s="43">
        <f>12597.4</f>
        <v>12597.4</v>
      </c>
      <c r="AL25" s="43">
        <v>4305.8</v>
      </c>
      <c r="AM25" s="43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7"/>
        <v>0</v>
      </c>
      <c r="AT25" s="4">
        <v>0</v>
      </c>
      <c r="AU25" s="4">
        <f t="shared" si="8"/>
        <v>755872.1999999998</v>
      </c>
      <c r="AV25" s="4">
        <v>0</v>
      </c>
      <c r="AW25" s="4">
        <v>224319.15</v>
      </c>
      <c r="AX25" s="34">
        <f t="shared" si="9"/>
        <v>2.6193447411060333E-10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f t="shared" si="11"/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f t="shared" si="13"/>
        <v>0</v>
      </c>
      <c r="BP25" s="43">
        <v>0</v>
      </c>
      <c r="BQ25" s="43">
        <v>0</v>
      </c>
      <c r="BR25" s="43">
        <v>0</v>
      </c>
      <c r="BS25" s="43">
        <f t="shared" si="14"/>
        <v>0</v>
      </c>
      <c r="BT25" s="4">
        <f t="shared" si="15"/>
        <v>288720.7</v>
      </c>
      <c r="BU25" s="4">
        <f t="shared" si="16"/>
        <v>0</v>
      </c>
      <c r="BV25" s="4">
        <f t="shared" si="17"/>
        <v>0</v>
      </c>
      <c r="BW25" s="4">
        <f t="shared" si="17"/>
        <v>80025.45</v>
      </c>
      <c r="BX25" s="4">
        <f t="shared" si="18"/>
        <v>368746.15</v>
      </c>
      <c r="BY25" s="4">
        <f t="shared" si="19"/>
        <v>368746.15</v>
      </c>
      <c r="BZ25" s="4">
        <f t="shared" si="20"/>
        <v>0</v>
      </c>
      <c r="CA25" s="4">
        <f t="shared" si="20"/>
        <v>0</v>
      </c>
      <c r="CB25" s="4">
        <f t="shared" si="21"/>
        <v>368746.15</v>
      </c>
      <c r="CC25" s="4">
        <f t="shared" si="22"/>
        <v>0</v>
      </c>
      <c r="CD25" s="74">
        <f t="shared" si="23"/>
        <v>-224319.15</v>
      </c>
      <c r="CE25" s="76">
        <f t="shared" si="24"/>
        <v>-224319.15</v>
      </c>
      <c r="CF25" s="76">
        <f t="shared" si="25"/>
        <v>0</v>
      </c>
      <c r="CG25" s="76">
        <f t="shared" si="26"/>
        <v>755872.1999999998</v>
      </c>
      <c r="CH25" s="76">
        <f t="shared" si="27"/>
        <v>-3460.25</v>
      </c>
      <c r="CI25" s="37">
        <f t="shared" si="28"/>
        <v>-3460.25</v>
      </c>
      <c r="CJ25" s="37">
        <f t="shared" si="87"/>
        <v>112894.15</v>
      </c>
      <c r="CK25" s="37">
        <f t="shared" si="30"/>
        <v>980191.3500000001</v>
      </c>
      <c r="CL25" s="141" t="str">
        <f t="shared" si="31"/>
        <v>-</v>
      </c>
      <c r="CM25" s="141" t="str">
        <f t="shared" si="32"/>
        <v>-</v>
      </c>
      <c r="CN25" s="141">
        <f t="shared" si="33"/>
        <v>-0.29676862040964075</v>
      </c>
      <c r="CO25" s="141">
        <f t="shared" si="34"/>
        <v>-0.29676862040964075</v>
      </c>
      <c r="CP25" s="141">
        <f t="shared" si="35"/>
        <v>-0.004577824134820676</v>
      </c>
      <c r="CQ25" s="141">
        <f t="shared" si="36"/>
        <v>-0.004577824134820676</v>
      </c>
      <c r="CR25" s="141">
        <f t="shared" si="37"/>
        <v>0.1493561345423208</v>
      </c>
      <c r="CS25" s="141" t="str">
        <f t="shared" si="38"/>
        <v>-</v>
      </c>
      <c r="CT25" s="141" t="str">
        <f t="shared" si="39"/>
        <v>-</v>
      </c>
      <c r="CU25" s="141" t="str">
        <f t="shared" si="40"/>
        <v>-</v>
      </c>
      <c r="CV25" s="142">
        <f t="shared" si="41"/>
        <v>0.3567481866795591</v>
      </c>
      <c r="CW25" s="76">
        <f t="shared" si="42"/>
        <v>-80025.45000000001</v>
      </c>
      <c r="CX25" s="80">
        <f t="shared" si="43"/>
        <v>980191.3500000001</v>
      </c>
      <c r="CY25" s="80">
        <f t="shared" si="44"/>
        <v>755872.1999999998</v>
      </c>
      <c r="CZ25" s="80">
        <f t="shared" si="45"/>
        <v>-224319.15000000026</v>
      </c>
      <c r="DA25" s="80">
        <f t="shared" si="46"/>
        <v>0</v>
      </c>
      <c r="DB25" s="80">
        <f t="shared" si="47"/>
        <v>-224319.15000000026</v>
      </c>
      <c r="DC25" s="80">
        <f t="shared" si="48"/>
        <v>-224319.15000000026</v>
      </c>
      <c r="DD25" s="80">
        <f t="shared" si="49"/>
        <v>0</v>
      </c>
      <c r="DE25" s="80">
        <f t="shared" si="50"/>
        <v>0</v>
      </c>
      <c r="DF25" s="80">
        <f t="shared" si="51"/>
        <v>-224319.15000000026</v>
      </c>
      <c r="DG25" s="80">
        <f t="shared" si="52"/>
        <v>-224319.15000000026</v>
      </c>
      <c r="DH25" s="80">
        <f t="shared" si="53"/>
        <v>0</v>
      </c>
      <c r="DI25" s="80">
        <f t="shared" si="54"/>
        <v>-224319.15000000026</v>
      </c>
      <c r="DJ25" s="80">
        <f t="shared" si="55"/>
        <v>327586.65</v>
      </c>
      <c r="DK25" s="80">
        <f t="shared" si="56"/>
        <v>-43.61059945504088</v>
      </c>
      <c r="DL25" s="80">
        <f t="shared" si="57"/>
        <v>-1.8856948228882833</v>
      </c>
      <c r="DM25" s="80">
        <f t="shared" si="58"/>
        <v>178.52133514986377</v>
      </c>
      <c r="DN25" s="81">
        <f t="shared" si="59"/>
        <v>0</v>
      </c>
      <c r="DO25" s="76">
        <f t="shared" si="60"/>
        <v>-122.24476839237072</v>
      </c>
      <c r="DP25" s="145">
        <f t="shared" si="61"/>
        <v>-80025.45</v>
      </c>
      <c r="DQ25" s="162">
        <v>0</v>
      </c>
      <c r="DR25" s="65"/>
      <c r="DT25" s="178">
        <f>705+23234.15+35899.9+6259.2</f>
        <v>66098.25</v>
      </c>
      <c r="DU25" s="178">
        <v>26</v>
      </c>
      <c r="DV25" s="178">
        <v>0</v>
      </c>
      <c r="DW25" s="178">
        <v>222596.45</v>
      </c>
      <c r="DX25" s="178">
        <v>0</v>
      </c>
      <c r="DY25" s="178">
        <v>0</v>
      </c>
      <c r="DZ25" s="178">
        <v>0</v>
      </c>
      <c r="EA25" s="178">
        <v>0</v>
      </c>
      <c r="EB25" s="178">
        <v>0</v>
      </c>
      <c r="EC25" s="178">
        <v>80025.45</v>
      </c>
      <c r="ED25" s="173">
        <f>SUM(DT25:EC25)</f>
        <v>368746.15</v>
      </c>
      <c r="EE25" s="178">
        <v>226439.5</v>
      </c>
      <c r="EF25" s="178">
        <v>100000</v>
      </c>
      <c r="EG25" s="178">
        <v>0</v>
      </c>
      <c r="EH25" s="178">
        <v>12894.15</v>
      </c>
      <c r="EI25" s="178">
        <v>0</v>
      </c>
      <c r="EJ25" s="178">
        <v>29412.5</v>
      </c>
      <c r="EK25" s="178"/>
      <c r="EL25" s="178"/>
      <c r="EM25" s="173">
        <f>SUM(EE25:EL25)</f>
        <v>368746.15</v>
      </c>
      <c r="EN25" s="173">
        <f t="shared" si="63"/>
        <v>0</v>
      </c>
    </row>
    <row r="26" spans="1:144" ht="12.75">
      <c r="A26" s="51" t="s">
        <v>17</v>
      </c>
      <c r="B26" s="42">
        <v>457</v>
      </c>
      <c r="C26" s="38">
        <v>1500709</v>
      </c>
      <c r="D26" s="66">
        <v>3283.83</v>
      </c>
      <c r="E26" s="66">
        <v>87.37</v>
      </c>
      <c r="F26" s="126">
        <v>4</v>
      </c>
      <c r="G26" s="132">
        <v>5100</v>
      </c>
      <c r="H26" s="42">
        <v>4254.3</v>
      </c>
      <c r="I26" s="42">
        <v>0</v>
      </c>
      <c r="J26" s="42">
        <v>0</v>
      </c>
      <c r="K26" s="42">
        <v>0</v>
      </c>
      <c r="L26" s="42">
        <v>0</v>
      </c>
      <c r="M26" s="43">
        <f t="shared" si="1"/>
        <v>0</v>
      </c>
      <c r="N26" s="42">
        <v>0</v>
      </c>
      <c r="O26" s="42">
        <v>0</v>
      </c>
      <c r="P26" s="42">
        <v>187019.35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3">
        <f t="shared" si="3"/>
        <v>0</v>
      </c>
      <c r="X26" s="42">
        <v>0</v>
      </c>
      <c r="Y26" s="43">
        <f t="shared" si="4"/>
        <v>196373.65</v>
      </c>
      <c r="Z26" s="42">
        <v>85752.1</v>
      </c>
      <c r="AA26" s="42">
        <v>3357.45</v>
      </c>
      <c r="AB26" s="42">
        <v>0</v>
      </c>
      <c r="AC26" s="42">
        <v>3968.5</v>
      </c>
      <c r="AD26" s="42">
        <v>0</v>
      </c>
      <c r="AE26" s="43">
        <f t="shared" si="5"/>
        <v>93078.05</v>
      </c>
      <c r="AF26" s="42">
        <v>0</v>
      </c>
      <c r="AG26" s="42">
        <v>336.65</v>
      </c>
      <c r="AH26" s="42">
        <v>0</v>
      </c>
      <c r="AI26" s="42">
        <v>76746.1</v>
      </c>
      <c r="AJ26" s="42">
        <v>0</v>
      </c>
      <c r="AK26" s="42">
        <v>0</v>
      </c>
      <c r="AL26" s="42">
        <v>0</v>
      </c>
      <c r="AM26" s="42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7"/>
        <v>0</v>
      </c>
      <c r="AT26" s="38">
        <v>0</v>
      </c>
      <c r="AU26" s="4">
        <f t="shared" si="8"/>
        <v>170160.8</v>
      </c>
      <c r="AV26" s="38">
        <v>0</v>
      </c>
      <c r="AW26" s="38">
        <v>26212.85</v>
      </c>
      <c r="AX26" s="34">
        <f t="shared" si="9"/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11"/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3">
        <f t="shared" si="13"/>
        <v>0</v>
      </c>
      <c r="BP26" s="42">
        <v>0</v>
      </c>
      <c r="BQ26" s="42">
        <v>0</v>
      </c>
      <c r="BR26" s="42">
        <v>0</v>
      </c>
      <c r="BS26" s="43">
        <f t="shared" si="14"/>
        <v>0</v>
      </c>
      <c r="BT26" s="4">
        <f t="shared" si="15"/>
        <v>195690.91</v>
      </c>
      <c r="BU26" s="4">
        <f t="shared" si="16"/>
        <v>0</v>
      </c>
      <c r="BV26" s="4">
        <f t="shared" si="17"/>
        <v>0</v>
      </c>
      <c r="BW26" s="4">
        <f t="shared" si="17"/>
        <v>0</v>
      </c>
      <c r="BX26" s="4">
        <f t="shared" si="18"/>
        <v>195690.91</v>
      </c>
      <c r="BY26" s="4">
        <f t="shared" si="19"/>
        <v>88503.95000000001</v>
      </c>
      <c r="BZ26" s="4">
        <f t="shared" si="20"/>
        <v>0</v>
      </c>
      <c r="CA26" s="4">
        <f t="shared" si="20"/>
        <v>107186.96</v>
      </c>
      <c r="CB26" s="4">
        <f t="shared" si="21"/>
        <v>195690.91000000003</v>
      </c>
      <c r="CC26" s="4">
        <f t="shared" si="22"/>
        <v>0</v>
      </c>
      <c r="CD26" s="74">
        <f t="shared" si="23"/>
        <v>-26212.85</v>
      </c>
      <c r="CE26" s="76">
        <f t="shared" si="24"/>
        <v>-26212.85</v>
      </c>
      <c r="CF26" s="76">
        <f t="shared" si="25"/>
        <v>0</v>
      </c>
      <c r="CG26" s="76">
        <f t="shared" si="26"/>
        <v>170160.8</v>
      </c>
      <c r="CH26" s="76">
        <f t="shared" si="27"/>
        <v>-336.65</v>
      </c>
      <c r="CI26" s="37">
        <f t="shared" si="28"/>
        <v>-336.65</v>
      </c>
      <c r="CJ26" s="37">
        <f t="shared" si="87"/>
        <v>20004.85</v>
      </c>
      <c r="CK26" s="37">
        <f t="shared" si="30"/>
        <v>196373.65</v>
      </c>
      <c r="CL26" s="141" t="str">
        <f t="shared" si="31"/>
        <v>-</v>
      </c>
      <c r="CM26" s="141" t="str">
        <f t="shared" si="32"/>
        <v>-</v>
      </c>
      <c r="CN26" s="141">
        <f t="shared" si="33"/>
        <v>-0.1540475244592174</v>
      </c>
      <c r="CO26" s="141">
        <f t="shared" si="34"/>
        <v>-0.1540475244592174</v>
      </c>
      <c r="CP26" s="141">
        <f t="shared" si="35"/>
        <v>-0.001978422762469382</v>
      </c>
      <c r="CQ26" s="141">
        <f t="shared" si="36"/>
        <v>-0.001978422762469382</v>
      </c>
      <c r="CR26" s="141">
        <f t="shared" si="37"/>
        <v>0.11756438615709376</v>
      </c>
      <c r="CS26" s="141" t="str">
        <f t="shared" si="38"/>
        <v>-</v>
      </c>
      <c r="CT26" s="141" t="str">
        <f t="shared" si="39"/>
        <v>-</v>
      </c>
      <c r="CU26" s="141" t="str">
        <f t="shared" si="40"/>
        <v>-</v>
      </c>
      <c r="CV26" s="142">
        <f t="shared" si="41"/>
        <v>-4.089099811733558</v>
      </c>
      <c r="CW26" s="76">
        <f t="shared" si="42"/>
        <v>107186.95999999999</v>
      </c>
      <c r="CX26" s="80">
        <f t="shared" si="43"/>
        <v>196373.65</v>
      </c>
      <c r="CY26" s="80">
        <f t="shared" si="44"/>
        <v>170160.8</v>
      </c>
      <c r="CZ26" s="80">
        <f t="shared" si="45"/>
        <v>-26212.850000000006</v>
      </c>
      <c r="DA26" s="80">
        <f t="shared" si="46"/>
        <v>0</v>
      </c>
      <c r="DB26" s="80">
        <f t="shared" si="47"/>
        <v>-26212.850000000006</v>
      </c>
      <c r="DC26" s="80">
        <f t="shared" si="48"/>
        <v>-26212.850000000006</v>
      </c>
      <c r="DD26" s="80">
        <f t="shared" si="49"/>
        <v>0</v>
      </c>
      <c r="DE26" s="80">
        <f t="shared" si="50"/>
        <v>0</v>
      </c>
      <c r="DF26" s="80">
        <f t="shared" si="51"/>
        <v>-26212.850000000006</v>
      </c>
      <c r="DG26" s="80">
        <f t="shared" si="52"/>
        <v>-26212.850000000006</v>
      </c>
      <c r="DH26" s="80">
        <f t="shared" si="53"/>
        <v>0</v>
      </c>
      <c r="DI26" s="80">
        <f t="shared" si="54"/>
        <v>-26212.850000000006</v>
      </c>
      <c r="DJ26" s="80">
        <f t="shared" si="55"/>
        <v>89109.55</v>
      </c>
      <c r="DK26" s="80">
        <f t="shared" si="56"/>
        <v>234.5447702407002</v>
      </c>
      <c r="DL26" s="80">
        <f t="shared" si="57"/>
        <v>-0.736652078774617</v>
      </c>
      <c r="DM26" s="80">
        <f t="shared" si="58"/>
        <v>194.98807439824947</v>
      </c>
      <c r="DN26" s="81">
        <f t="shared" si="59"/>
        <v>0</v>
      </c>
      <c r="DO26" s="76">
        <f t="shared" si="60"/>
        <v>-57.35853391684903</v>
      </c>
      <c r="DP26" s="145">
        <f t="shared" si="61"/>
        <v>107186.96</v>
      </c>
      <c r="DQ26" s="162">
        <v>0</v>
      </c>
      <c r="DR26" s="68"/>
      <c r="DT26" s="179">
        <v>77132.96</v>
      </c>
      <c r="DU26" s="179">
        <v>36206.5</v>
      </c>
      <c r="DV26" s="179">
        <v>82351.45</v>
      </c>
      <c r="DW26" s="179">
        <v>0</v>
      </c>
      <c r="DX26" s="179">
        <v>0</v>
      </c>
      <c r="DY26" s="179">
        <v>0</v>
      </c>
      <c r="DZ26" s="179">
        <v>0</v>
      </c>
      <c r="EA26" s="179">
        <v>0</v>
      </c>
      <c r="EB26" s="179">
        <v>0</v>
      </c>
      <c r="EC26" s="179">
        <v>0</v>
      </c>
      <c r="ED26" s="175">
        <f>SUM(DT26:EC26)</f>
        <v>195690.91</v>
      </c>
      <c r="EE26" s="179">
        <v>68499.1</v>
      </c>
      <c r="EF26" s="179">
        <v>0</v>
      </c>
      <c r="EG26" s="179">
        <v>0</v>
      </c>
      <c r="EH26" s="179">
        <v>20004.85</v>
      </c>
      <c r="EI26" s="179">
        <v>0</v>
      </c>
      <c r="EJ26" s="179">
        <v>0</v>
      </c>
      <c r="EK26" s="179">
        <v>0</v>
      </c>
      <c r="EL26" s="179">
        <v>107186.96</v>
      </c>
      <c r="EM26" s="175">
        <f>SUM(EE26:EL26)</f>
        <v>195690.91000000003</v>
      </c>
      <c r="EN26" s="185">
        <f t="shared" si="63"/>
        <v>0</v>
      </c>
    </row>
    <row r="27" spans="1:144" ht="12.75">
      <c r="A27" s="52" t="s">
        <v>18</v>
      </c>
      <c r="B27" s="43">
        <v>721</v>
      </c>
      <c r="C27" s="4">
        <v>2264120</v>
      </c>
      <c r="D27" s="69">
        <v>3140.25</v>
      </c>
      <c r="E27" s="69">
        <v>83.55</v>
      </c>
      <c r="F27" s="8">
        <v>4</v>
      </c>
      <c r="G27" s="131">
        <f aca="true" t="shared" si="89" ref="G27:L27">(G40/($B$11+$B$27)*$B$27)</f>
        <v>44485.41888646289</v>
      </c>
      <c r="H27" s="131">
        <f t="shared" si="89"/>
        <v>11816.236462882096</v>
      </c>
      <c r="I27" s="131">
        <f t="shared" si="89"/>
        <v>1031.242521834061</v>
      </c>
      <c r="J27" s="131">
        <f t="shared" si="89"/>
        <v>0</v>
      </c>
      <c r="K27" s="131">
        <f t="shared" si="89"/>
        <v>987.248253275109</v>
      </c>
      <c r="L27" s="131">
        <f t="shared" si="89"/>
        <v>0</v>
      </c>
      <c r="M27" s="43">
        <f t="shared" si="1"/>
        <v>987.248253275109</v>
      </c>
      <c r="N27" s="131">
        <f aca="true" t="shared" si="90" ref="N27:V27">(N40/($B$11+$B$27)*$B$27)</f>
        <v>0</v>
      </c>
      <c r="O27" s="131">
        <f t="shared" si="90"/>
        <v>0</v>
      </c>
      <c r="P27" s="131">
        <f t="shared" si="90"/>
        <v>452771.588591703</v>
      </c>
      <c r="Q27" s="131">
        <f t="shared" si="90"/>
        <v>0</v>
      </c>
      <c r="R27" s="131">
        <f t="shared" si="90"/>
        <v>0</v>
      </c>
      <c r="S27" s="131">
        <f t="shared" si="90"/>
        <v>0</v>
      </c>
      <c r="T27" s="131">
        <f t="shared" si="90"/>
        <v>0</v>
      </c>
      <c r="U27" s="131">
        <f t="shared" si="90"/>
        <v>0</v>
      </c>
      <c r="V27" s="131">
        <f t="shared" si="90"/>
        <v>0</v>
      </c>
      <c r="W27" s="43">
        <f t="shared" si="3"/>
        <v>0</v>
      </c>
      <c r="X27" s="131">
        <f>(X40/($B$11+$B$27)*$B$27)</f>
        <v>13745.0576419214</v>
      </c>
      <c r="Y27" s="43">
        <f t="shared" si="4"/>
        <v>524836.7923580786</v>
      </c>
      <c r="Z27" s="131">
        <f>(Z40/($B$11+$B$27)*$B$27)</f>
        <v>165654.28155021835</v>
      </c>
      <c r="AA27" s="131">
        <f>(AA40/($B$11+$B$27)*$B$27)</f>
        <v>20704.995906113538</v>
      </c>
      <c r="AB27" s="131">
        <f>(AB40/($B$11+$B$27)*$B$27)</f>
        <v>0</v>
      </c>
      <c r="AC27" s="131">
        <f>(AC40/($B$11+$B$27)*$B$27)</f>
        <v>6261.011299126637</v>
      </c>
      <c r="AD27" s="131">
        <f>(AD40/($B$11+$B$27)*$B$27)</f>
        <v>0</v>
      </c>
      <c r="AE27" s="43">
        <f t="shared" si="5"/>
        <v>192620.28875545852</v>
      </c>
      <c r="AF27" s="131">
        <f aca="true" t="shared" si="91" ref="AF27:AR27">(AF40/($B$11+$B$27)*$B$27)</f>
        <v>0</v>
      </c>
      <c r="AG27" s="131">
        <f t="shared" si="91"/>
        <v>3981.0624454148474</v>
      </c>
      <c r="AH27" s="131">
        <f t="shared" si="91"/>
        <v>0</v>
      </c>
      <c r="AI27" s="131">
        <f t="shared" si="91"/>
        <v>280233.56966157205</v>
      </c>
      <c r="AJ27" s="131">
        <f t="shared" si="91"/>
        <v>0</v>
      </c>
      <c r="AK27" s="131">
        <f t="shared" si="91"/>
        <v>1691.8537117903932</v>
      </c>
      <c r="AL27" s="131">
        <f t="shared" si="91"/>
        <v>0</v>
      </c>
      <c r="AM27" s="131">
        <f t="shared" si="91"/>
        <v>0</v>
      </c>
      <c r="AN27" s="131">
        <f t="shared" si="91"/>
        <v>0</v>
      </c>
      <c r="AO27" s="131">
        <f t="shared" si="91"/>
        <v>0</v>
      </c>
      <c r="AP27" s="131">
        <f t="shared" si="91"/>
        <v>0</v>
      </c>
      <c r="AQ27" s="131">
        <f t="shared" si="91"/>
        <v>0</v>
      </c>
      <c r="AR27" s="131">
        <f t="shared" si="91"/>
        <v>0</v>
      </c>
      <c r="AS27" s="4">
        <f t="shared" si="7"/>
        <v>0</v>
      </c>
      <c r="AT27" s="131">
        <f>(AT40/($B$11+$B$27)*$B$27)</f>
        <v>13745.0576419214</v>
      </c>
      <c r="AU27" s="4">
        <f t="shared" si="8"/>
        <v>492271.8322161572</v>
      </c>
      <c r="AV27" s="131">
        <f>(AV40/($B$11+$B$27)*$B$27)</f>
        <v>0</v>
      </c>
      <c r="AW27" s="131">
        <f>(AW40/($B$11+$B$27)*$B$27)</f>
        <v>32564.960141921398</v>
      </c>
      <c r="AX27" s="4">
        <f t="shared" si="9"/>
        <v>0</v>
      </c>
      <c r="AY27" s="131">
        <f aca="true" t="shared" si="92" ref="AY27:BE27">(AY40/($B$11+$B$27)*$B$27)</f>
        <v>0</v>
      </c>
      <c r="AZ27" s="131">
        <f t="shared" si="92"/>
        <v>0</v>
      </c>
      <c r="BA27" s="131">
        <f t="shared" si="92"/>
        <v>0</v>
      </c>
      <c r="BB27" s="131">
        <f t="shared" si="92"/>
        <v>0</v>
      </c>
      <c r="BC27" s="131">
        <f t="shared" si="92"/>
        <v>0</v>
      </c>
      <c r="BD27" s="131">
        <f t="shared" si="92"/>
        <v>0</v>
      </c>
      <c r="BE27" s="131">
        <f t="shared" si="92"/>
        <v>0</v>
      </c>
      <c r="BF27" s="43">
        <f t="shared" si="11"/>
        <v>0</v>
      </c>
      <c r="BG27" s="131">
        <f aca="true" t="shared" si="93" ref="BG27:BN27">(BG40/($B$11+$B$27)*$B$27)</f>
        <v>0</v>
      </c>
      <c r="BH27" s="131">
        <f t="shared" si="93"/>
        <v>0</v>
      </c>
      <c r="BI27" s="131">
        <f t="shared" si="93"/>
        <v>0</v>
      </c>
      <c r="BJ27" s="131">
        <f t="shared" si="93"/>
        <v>0</v>
      </c>
      <c r="BK27" s="131">
        <f t="shared" si="93"/>
        <v>0</v>
      </c>
      <c r="BL27" s="131">
        <f t="shared" si="93"/>
        <v>0</v>
      </c>
      <c r="BM27" s="131">
        <f t="shared" si="93"/>
        <v>0</v>
      </c>
      <c r="BN27" s="131">
        <f t="shared" si="93"/>
        <v>0</v>
      </c>
      <c r="BO27" s="43">
        <f t="shared" si="13"/>
        <v>0</v>
      </c>
      <c r="BP27" s="131">
        <f>(BP40/($B$11+$B$27)*$B$27)</f>
        <v>0</v>
      </c>
      <c r="BQ27" s="131">
        <f>(BQ40/($B$11+$B$27)*$B$27)</f>
        <v>0</v>
      </c>
      <c r="BR27" s="131">
        <f>(BR40/($B$11+$B$27)*$B$27)</f>
        <v>0</v>
      </c>
      <c r="BS27" s="43">
        <f t="shared" si="14"/>
        <v>0</v>
      </c>
      <c r="BT27" s="4">
        <f t="shared" si="15"/>
        <v>234748.54814410477</v>
      </c>
      <c r="BU27" s="4">
        <f t="shared" si="16"/>
        <v>1480.872379912664</v>
      </c>
      <c r="BV27" s="4">
        <f t="shared" si="17"/>
        <v>0</v>
      </c>
      <c r="BW27" s="4">
        <f t="shared" si="17"/>
        <v>0</v>
      </c>
      <c r="BX27" s="4">
        <f t="shared" si="18"/>
        <v>236229.42052401745</v>
      </c>
      <c r="BY27" s="4">
        <f t="shared" si="19"/>
        <v>171638.07891921396</v>
      </c>
      <c r="BZ27" s="4">
        <f t="shared" si="20"/>
        <v>0</v>
      </c>
      <c r="CA27" s="4">
        <f t="shared" si="20"/>
        <v>64591.34160480349</v>
      </c>
      <c r="CB27" s="4">
        <f t="shared" si="21"/>
        <v>236229.42052401745</v>
      </c>
      <c r="CC27" s="4">
        <f t="shared" si="22"/>
        <v>0</v>
      </c>
      <c r="CD27" s="74">
        <f t="shared" si="23"/>
        <v>-31577.71188864629</v>
      </c>
      <c r="CE27" s="76">
        <f t="shared" si="24"/>
        <v>-31577.71188864629</v>
      </c>
      <c r="CF27" s="76">
        <f t="shared" si="25"/>
        <v>0</v>
      </c>
      <c r="CG27" s="76">
        <f t="shared" si="26"/>
        <v>478526.77457423584</v>
      </c>
      <c r="CH27" s="76">
        <f t="shared" si="27"/>
        <v>-2949.819923580786</v>
      </c>
      <c r="CI27" s="37">
        <f t="shared" si="28"/>
        <v>-1962.571670305677</v>
      </c>
      <c r="CJ27" s="37">
        <f t="shared" si="87"/>
        <v>67467.24890829694</v>
      </c>
      <c r="CK27" s="37">
        <f t="shared" si="30"/>
        <v>510104.48646288214</v>
      </c>
      <c r="CL27" s="141" t="str">
        <f t="shared" si="31"/>
        <v>-</v>
      </c>
      <c r="CM27" s="141" t="str">
        <f t="shared" si="32"/>
        <v>-</v>
      </c>
      <c r="CN27" s="141">
        <f t="shared" si="33"/>
        <v>-0.06598943584032936</v>
      </c>
      <c r="CO27" s="141">
        <f t="shared" si="34"/>
        <v>-0.06598943584032936</v>
      </c>
      <c r="CP27" s="141">
        <f t="shared" si="35"/>
        <v>-0.006164378004146909</v>
      </c>
      <c r="CQ27" s="141">
        <f t="shared" si="36"/>
        <v>-0.004101278704941546</v>
      </c>
      <c r="CR27" s="141">
        <f t="shared" si="37"/>
        <v>0.14098949628957588</v>
      </c>
      <c r="CS27" s="141" t="str">
        <f t="shared" si="38"/>
        <v>-</v>
      </c>
      <c r="CT27" s="141">
        <f t="shared" si="39"/>
        <v>0.39999999999999997</v>
      </c>
      <c r="CU27" s="141">
        <f t="shared" si="40"/>
        <v>0.39999999999999997</v>
      </c>
      <c r="CV27" s="142">
        <f t="shared" si="41"/>
        <v>-1.9985763834770458</v>
      </c>
      <c r="CW27" s="76">
        <f t="shared" si="42"/>
        <v>63110.46922489081</v>
      </c>
      <c r="CX27" s="80">
        <f t="shared" si="43"/>
        <v>523849.5441048035</v>
      </c>
      <c r="CY27" s="80">
        <f t="shared" si="44"/>
        <v>492271.8322161572</v>
      </c>
      <c r="CZ27" s="80">
        <f t="shared" si="45"/>
        <v>-31577.7118886463</v>
      </c>
      <c r="DA27" s="80">
        <f t="shared" si="46"/>
        <v>0</v>
      </c>
      <c r="DB27" s="80">
        <f t="shared" si="47"/>
        <v>-31577.7118886463</v>
      </c>
      <c r="DC27" s="80">
        <f t="shared" si="48"/>
        <v>-32564.96014192141</v>
      </c>
      <c r="DD27" s="80">
        <f t="shared" si="49"/>
        <v>0</v>
      </c>
      <c r="DE27" s="80">
        <f t="shared" si="50"/>
        <v>987.248253275109</v>
      </c>
      <c r="DF27" s="80">
        <f t="shared" si="51"/>
        <v>-31577.7118886463</v>
      </c>
      <c r="DG27" s="80">
        <f t="shared" si="52"/>
        <v>-31577.7118886463</v>
      </c>
      <c r="DH27" s="80">
        <f t="shared" si="53"/>
        <v>-987.248253275109</v>
      </c>
      <c r="DI27" s="80">
        <f t="shared" si="54"/>
        <v>-32564.96014192141</v>
      </c>
      <c r="DJ27" s="80">
        <f t="shared" si="55"/>
        <v>186359.27745633188</v>
      </c>
      <c r="DK27" s="80">
        <f t="shared" si="56"/>
        <v>87.53185745477228</v>
      </c>
      <c r="DL27" s="80">
        <f t="shared" si="57"/>
        <v>-4.091289769182782</v>
      </c>
      <c r="DM27" s="80">
        <f t="shared" si="58"/>
        <v>258.47333905177794</v>
      </c>
      <c r="DN27" s="81">
        <f t="shared" si="59"/>
        <v>0</v>
      </c>
      <c r="DO27" s="76">
        <f t="shared" si="60"/>
        <v>-43.797103867747985</v>
      </c>
      <c r="DP27" s="145">
        <f t="shared" si="61"/>
        <v>63110.469224890825</v>
      </c>
      <c r="DQ27" s="131">
        <f>(DQ40/($B$11+$B$27)*$B$27)</f>
        <v>0</v>
      </c>
      <c r="DR27" s="65"/>
      <c r="DT27" s="178">
        <f>(DT40/($B$11+$B$27)*$B$27)</f>
        <v>133317.91506550217</v>
      </c>
      <c r="DU27" s="178">
        <f aca="true" t="shared" si="94" ref="DU27:EL27">(DU40/($B$11+$B$27)*$B$27)</f>
        <v>57324.841157205236</v>
      </c>
      <c r="DV27" s="178">
        <f t="shared" si="94"/>
        <v>30360.26200873362</v>
      </c>
      <c r="DW27" s="178">
        <f t="shared" si="94"/>
        <v>13745.529912663756</v>
      </c>
      <c r="DX27" s="178">
        <f t="shared" si="94"/>
        <v>1480.872379912664</v>
      </c>
      <c r="DY27" s="178">
        <f t="shared" si="94"/>
        <v>0</v>
      </c>
      <c r="DZ27" s="178">
        <f t="shared" si="94"/>
        <v>0</v>
      </c>
      <c r="EA27" s="178">
        <f t="shared" si="94"/>
        <v>0</v>
      </c>
      <c r="EB27" s="178">
        <f t="shared" si="94"/>
        <v>0</v>
      </c>
      <c r="EC27" s="178">
        <f t="shared" si="94"/>
        <v>0</v>
      </c>
      <c r="ED27" s="173">
        <f>SUM(DT27:EC27)</f>
        <v>236229.42052401745</v>
      </c>
      <c r="EE27" s="178">
        <f t="shared" si="94"/>
        <v>0</v>
      </c>
      <c r="EF27" s="178">
        <f t="shared" si="94"/>
        <v>0</v>
      </c>
      <c r="EG27" s="178">
        <f t="shared" si="94"/>
        <v>67467.24890829694</v>
      </c>
      <c r="EH27" s="178">
        <f t="shared" si="94"/>
        <v>0</v>
      </c>
      <c r="EI27" s="178">
        <f t="shared" si="94"/>
        <v>0</v>
      </c>
      <c r="EJ27" s="178">
        <f t="shared" si="94"/>
        <v>104170.83001091704</v>
      </c>
      <c r="EK27" s="178">
        <f t="shared" si="94"/>
        <v>0</v>
      </c>
      <c r="EL27" s="178">
        <f t="shared" si="94"/>
        <v>64591.34160480349</v>
      </c>
      <c r="EM27" s="173">
        <f>SUM(EE27:EL27)</f>
        <v>236229.42052401745</v>
      </c>
      <c r="EN27" s="173">
        <f t="shared" si="63"/>
        <v>0</v>
      </c>
    </row>
    <row r="28" spans="1:144" ht="12.75">
      <c r="A28" s="51" t="s">
        <v>19</v>
      </c>
      <c r="B28" s="42">
        <v>356</v>
      </c>
      <c r="C28" s="38">
        <v>1028168</v>
      </c>
      <c r="D28" s="66">
        <v>2888.11</v>
      </c>
      <c r="E28" s="66">
        <v>76.84</v>
      </c>
      <c r="F28" s="126">
        <v>4</v>
      </c>
      <c r="G28" s="132">
        <f aca="true" t="shared" si="95" ref="G28:L28">(G42/($B$5+$B$28)*$B$28)</f>
        <v>9537.633423180592</v>
      </c>
      <c r="H28" s="132">
        <f t="shared" si="95"/>
        <v>1374.1743935309971</v>
      </c>
      <c r="I28" s="132">
        <f t="shared" si="95"/>
        <v>0</v>
      </c>
      <c r="J28" s="132">
        <f t="shared" si="95"/>
        <v>0</v>
      </c>
      <c r="K28" s="132">
        <f t="shared" si="95"/>
        <v>0</v>
      </c>
      <c r="L28" s="132">
        <f t="shared" si="95"/>
        <v>0</v>
      </c>
      <c r="M28" s="43">
        <f t="shared" si="1"/>
        <v>0</v>
      </c>
      <c r="N28" s="132">
        <f aca="true" t="shared" si="96" ref="N28:V28">(N42/($B$5+$B$28)*$B$28)</f>
        <v>0</v>
      </c>
      <c r="O28" s="132">
        <f t="shared" si="96"/>
        <v>0</v>
      </c>
      <c r="P28" s="132">
        <f t="shared" si="96"/>
        <v>155601.33881401617</v>
      </c>
      <c r="Q28" s="132">
        <f t="shared" si="96"/>
        <v>0</v>
      </c>
      <c r="R28" s="132">
        <f t="shared" si="96"/>
        <v>0</v>
      </c>
      <c r="S28" s="132">
        <f t="shared" si="96"/>
        <v>0</v>
      </c>
      <c r="T28" s="132">
        <f t="shared" si="96"/>
        <v>0</v>
      </c>
      <c r="U28" s="132">
        <f t="shared" si="96"/>
        <v>0</v>
      </c>
      <c r="V28" s="132">
        <f t="shared" si="96"/>
        <v>0</v>
      </c>
      <c r="W28" s="43">
        <f t="shared" si="3"/>
        <v>0</v>
      </c>
      <c r="X28" s="132">
        <f>(X42/($B$5+$B$28)*$B$28)</f>
        <v>0</v>
      </c>
      <c r="Y28" s="43">
        <f t="shared" si="4"/>
        <v>166513.14663072774</v>
      </c>
      <c r="Z28" s="132">
        <f>(Z42/($B$5+$B$28)*$B$28)</f>
        <v>70777.33396226415</v>
      </c>
      <c r="AA28" s="132">
        <f>(AA42/($B$5+$B$28)*$B$28)</f>
        <v>4892.984905660377</v>
      </c>
      <c r="AB28" s="132">
        <f>(AB42/($B$5+$B$28)*$B$28)</f>
        <v>0</v>
      </c>
      <c r="AC28" s="132">
        <f>(AC42/($B$5+$B$28)*$B$28)</f>
        <v>3091.4425876010782</v>
      </c>
      <c r="AD28" s="132">
        <f>(AD42/($B$5+$B$28)*$B$28)</f>
        <v>0</v>
      </c>
      <c r="AE28" s="43">
        <f t="shared" si="5"/>
        <v>78761.7614555256</v>
      </c>
      <c r="AF28" s="132">
        <f aca="true" t="shared" si="97" ref="AF28:AR28">(AF42/($B$5+$B$28)*$B$28)</f>
        <v>0</v>
      </c>
      <c r="AG28" s="132">
        <f t="shared" si="97"/>
        <v>365.8595687331536</v>
      </c>
      <c r="AH28" s="132">
        <f t="shared" si="97"/>
        <v>0</v>
      </c>
      <c r="AI28" s="132">
        <f t="shared" si="97"/>
        <v>47258.76010781671</v>
      </c>
      <c r="AJ28" s="132">
        <f t="shared" si="97"/>
        <v>0</v>
      </c>
      <c r="AK28" s="132">
        <f t="shared" si="97"/>
        <v>1546.8247978436657</v>
      </c>
      <c r="AL28" s="132">
        <f t="shared" si="97"/>
        <v>0</v>
      </c>
      <c r="AM28" s="132">
        <f t="shared" si="97"/>
        <v>0</v>
      </c>
      <c r="AN28" s="132">
        <f t="shared" si="97"/>
        <v>0</v>
      </c>
      <c r="AO28" s="132">
        <f t="shared" si="97"/>
        <v>0</v>
      </c>
      <c r="AP28" s="132">
        <f t="shared" si="97"/>
        <v>0</v>
      </c>
      <c r="AQ28" s="132">
        <f t="shared" si="97"/>
        <v>0</v>
      </c>
      <c r="AR28" s="132">
        <f t="shared" si="97"/>
        <v>0</v>
      </c>
      <c r="AS28" s="4">
        <f t="shared" si="7"/>
        <v>0</v>
      </c>
      <c r="AT28" s="132">
        <f>(AT42/($B$5+$B$28)*$B$28)</f>
        <v>0</v>
      </c>
      <c r="AU28" s="4">
        <f t="shared" si="8"/>
        <v>127933.20592991913</v>
      </c>
      <c r="AV28" s="132">
        <f>(AV42/($B$5+$B$28)*$B$28)</f>
        <v>0</v>
      </c>
      <c r="AW28" s="132">
        <f>(AW42/($B$5+$B$28)*$B$28)</f>
        <v>38579.94070080863</v>
      </c>
      <c r="AX28" s="4">
        <f t="shared" si="9"/>
        <v>0</v>
      </c>
      <c r="AY28" s="132">
        <f aca="true" t="shared" si="98" ref="AY28:BE28">(AY42/($B$5+$B$28)*$B$28)</f>
        <v>0</v>
      </c>
      <c r="AZ28" s="132">
        <f t="shared" si="98"/>
        <v>0</v>
      </c>
      <c r="BA28" s="132">
        <f t="shared" si="98"/>
        <v>0</v>
      </c>
      <c r="BB28" s="132">
        <f t="shared" si="98"/>
        <v>0</v>
      </c>
      <c r="BC28" s="132">
        <f t="shared" si="98"/>
        <v>0</v>
      </c>
      <c r="BD28" s="132">
        <f t="shared" si="98"/>
        <v>0</v>
      </c>
      <c r="BE28" s="132">
        <f t="shared" si="98"/>
        <v>0</v>
      </c>
      <c r="BF28" s="43">
        <f t="shared" si="11"/>
        <v>0</v>
      </c>
      <c r="BG28" s="132">
        <f aca="true" t="shared" si="99" ref="BG28:BN28">(BG42/($B$5+$B$28)*$B$28)</f>
        <v>0</v>
      </c>
      <c r="BH28" s="132">
        <f t="shared" si="99"/>
        <v>0</v>
      </c>
      <c r="BI28" s="132">
        <f t="shared" si="99"/>
        <v>0</v>
      </c>
      <c r="BJ28" s="132">
        <f t="shared" si="99"/>
        <v>0</v>
      </c>
      <c r="BK28" s="132">
        <f t="shared" si="99"/>
        <v>0</v>
      </c>
      <c r="BL28" s="132">
        <f t="shared" si="99"/>
        <v>0</v>
      </c>
      <c r="BM28" s="132">
        <f t="shared" si="99"/>
        <v>0</v>
      </c>
      <c r="BN28" s="132">
        <f t="shared" si="99"/>
        <v>0</v>
      </c>
      <c r="BO28" s="43">
        <f t="shared" si="13"/>
        <v>0</v>
      </c>
      <c r="BP28" s="132">
        <f>(BP42/($B$5+$B$28)*$B$28)</f>
        <v>0</v>
      </c>
      <c r="BQ28" s="132">
        <f>(BQ42/($B$5+$B$28)*$B$28)</f>
        <v>0</v>
      </c>
      <c r="BR28" s="132">
        <f>(BR42/($B$5+$B$28)*$B$28)</f>
        <v>0</v>
      </c>
      <c r="BS28" s="43">
        <f t="shared" si="14"/>
        <v>0</v>
      </c>
      <c r="BT28" s="4">
        <f t="shared" si="15"/>
        <v>161176.62506738544</v>
      </c>
      <c r="BU28" s="4">
        <f t="shared" si="16"/>
        <v>0</v>
      </c>
      <c r="BV28" s="4">
        <f t="shared" si="17"/>
        <v>0</v>
      </c>
      <c r="BW28" s="4">
        <f t="shared" si="17"/>
        <v>0</v>
      </c>
      <c r="BX28" s="4">
        <f t="shared" si="18"/>
        <v>161176.62506738544</v>
      </c>
      <c r="BY28" s="4">
        <f t="shared" si="19"/>
        <v>56183.61293800539</v>
      </c>
      <c r="BZ28" s="4">
        <f t="shared" si="20"/>
        <v>0</v>
      </c>
      <c r="CA28" s="4">
        <f t="shared" si="20"/>
        <v>104993.01212938005</v>
      </c>
      <c r="CB28" s="4">
        <f t="shared" si="21"/>
        <v>161176.62506738544</v>
      </c>
      <c r="CC28" s="4">
        <f t="shared" si="22"/>
        <v>0</v>
      </c>
      <c r="CD28" s="74">
        <f t="shared" si="23"/>
        <v>-38579.94070080863</v>
      </c>
      <c r="CE28" s="76">
        <f t="shared" si="24"/>
        <v>-38579.94070080863</v>
      </c>
      <c r="CF28" s="76">
        <f t="shared" si="25"/>
        <v>0</v>
      </c>
      <c r="CG28" s="76">
        <f t="shared" si="26"/>
        <v>127933.20592991913</v>
      </c>
      <c r="CH28" s="76">
        <f t="shared" si="27"/>
        <v>-365.8595687331536</v>
      </c>
      <c r="CI28" s="37">
        <f t="shared" si="28"/>
        <v>-365.8595687331536</v>
      </c>
      <c r="CJ28" s="37">
        <f t="shared" si="87"/>
        <v>0</v>
      </c>
      <c r="CK28" s="37">
        <f t="shared" si="30"/>
        <v>166513.14663072774</v>
      </c>
      <c r="CL28" s="141" t="str">
        <f t="shared" si="31"/>
        <v>-</v>
      </c>
      <c r="CM28" s="141" t="str">
        <f t="shared" si="32"/>
        <v>-</v>
      </c>
      <c r="CN28" s="141">
        <f t="shared" si="33"/>
        <v>-0.3015631510238431</v>
      </c>
      <c r="CO28" s="141">
        <f t="shared" si="34"/>
        <v>-0.3015631510238431</v>
      </c>
      <c r="CP28" s="141">
        <f t="shared" si="35"/>
        <v>-0.0028597701908101075</v>
      </c>
      <c r="CQ28" s="141">
        <f t="shared" si="36"/>
        <v>-0.0028597701908101075</v>
      </c>
      <c r="CR28" s="141" t="str">
        <f t="shared" si="37"/>
        <v>-</v>
      </c>
      <c r="CS28" s="141" t="str">
        <f t="shared" si="38"/>
        <v>-</v>
      </c>
      <c r="CT28" s="141" t="str">
        <f t="shared" si="39"/>
        <v>-</v>
      </c>
      <c r="CU28" s="141" t="str">
        <f t="shared" si="40"/>
        <v>-</v>
      </c>
      <c r="CV28" s="142">
        <f t="shared" si="41"/>
        <v>-2.7214404745619376</v>
      </c>
      <c r="CW28" s="76">
        <f t="shared" si="42"/>
        <v>104993.01212938005</v>
      </c>
      <c r="CX28" s="80">
        <f t="shared" si="43"/>
        <v>166513.14663072774</v>
      </c>
      <c r="CY28" s="80">
        <f t="shared" si="44"/>
        <v>127933.20592991913</v>
      </c>
      <c r="CZ28" s="80">
        <f t="shared" si="45"/>
        <v>-38579.94070080861</v>
      </c>
      <c r="DA28" s="80">
        <f t="shared" si="46"/>
        <v>0</v>
      </c>
      <c r="DB28" s="80">
        <f t="shared" si="47"/>
        <v>-38579.94070080861</v>
      </c>
      <c r="DC28" s="80">
        <f t="shared" si="48"/>
        <v>-38579.94070080861</v>
      </c>
      <c r="DD28" s="80">
        <f t="shared" si="49"/>
        <v>0</v>
      </c>
      <c r="DE28" s="80">
        <f t="shared" si="50"/>
        <v>0</v>
      </c>
      <c r="DF28" s="80">
        <f t="shared" si="51"/>
        <v>-38579.94070080861</v>
      </c>
      <c r="DG28" s="80">
        <f t="shared" si="52"/>
        <v>-38579.94070080861</v>
      </c>
      <c r="DH28" s="80">
        <f t="shared" si="53"/>
        <v>0</v>
      </c>
      <c r="DI28" s="80">
        <f t="shared" si="54"/>
        <v>-38579.94070080861</v>
      </c>
      <c r="DJ28" s="80">
        <f t="shared" si="55"/>
        <v>75670.31886792452</v>
      </c>
      <c r="DK28" s="80">
        <f t="shared" si="56"/>
        <v>294.92419137466305</v>
      </c>
      <c r="DL28" s="80">
        <f t="shared" si="57"/>
        <v>-1.0276954177897573</v>
      </c>
      <c r="DM28" s="80">
        <f t="shared" si="58"/>
        <v>212.55707547169808</v>
      </c>
      <c r="DN28" s="81">
        <f t="shared" si="59"/>
        <v>0</v>
      </c>
      <c r="DO28" s="76">
        <f t="shared" si="60"/>
        <v>-108.37061994609161</v>
      </c>
      <c r="DP28" s="145">
        <f t="shared" si="61"/>
        <v>104993.01212938005</v>
      </c>
      <c r="DQ28" s="132">
        <f>(DQ42/($B$5+$B$28)*$B$28)</f>
        <v>0</v>
      </c>
      <c r="DR28" s="68"/>
      <c r="DT28" s="179">
        <f>(DT42/($B$5+$B$28)*$B$28)</f>
        <v>122094.56603773584</v>
      </c>
      <c r="DU28" s="179">
        <f aca="true" t="shared" si="100" ref="DU28:EL28">(DU42/($B$5+$B$28)*$B$28)</f>
        <v>27459.906469002697</v>
      </c>
      <c r="DV28" s="179">
        <f t="shared" si="100"/>
        <v>5949.805929919137</v>
      </c>
      <c r="DW28" s="179">
        <f t="shared" si="100"/>
        <v>5672.346630727763</v>
      </c>
      <c r="DX28" s="179">
        <f t="shared" si="100"/>
        <v>0</v>
      </c>
      <c r="DY28" s="179">
        <f t="shared" si="100"/>
        <v>0</v>
      </c>
      <c r="DZ28" s="179">
        <f t="shared" si="100"/>
        <v>0</v>
      </c>
      <c r="EA28" s="179">
        <f t="shared" si="100"/>
        <v>0</v>
      </c>
      <c r="EB28" s="179">
        <f t="shared" si="100"/>
        <v>0</v>
      </c>
      <c r="EC28" s="179">
        <f t="shared" si="100"/>
        <v>0</v>
      </c>
      <c r="ED28" s="175">
        <f>SUM(DT28:EC28)</f>
        <v>161176.62506738544</v>
      </c>
      <c r="EE28" s="179">
        <f t="shared" si="100"/>
        <v>56183.61293800539</v>
      </c>
      <c r="EF28" s="179">
        <f t="shared" si="100"/>
        <v>0</v>
      </c>
      <c r="EG28" s="179">
        <f t="shared" si="100"/>
        <v>0</v>
      </c>
      <c r="EH28" s="179">
        <f t="shared" si="100"/>
        <v>0</v>
      </c>
      <c r="EI28" s="179">
        <f t="shared" si="100"/>
        <v>0</v>
      </c>
      <c r="EJ28" s="179">
        <f t="shared" si="100"/>
        <v>0</v>
      </c>
      <c r="EK28" s="179">
        <f t="shared" si="100"/>
        <v>0</v>
      </c>
      <c r="EL28" s="179">
        <f t="shared" si="100"/>
        <v>104993.01212938005</v>
      </c>
      <c r="EM28" s="175">
        <f>SUM(EE28:EL28)</f>
        <v>161176.62506738544</v>
      </c>
      <c r="EN28" s="175">
        <f t="shared" si="63"/>
        <v>0</v>
      </c>
    </row>
    <row r="29" spans="1:144" ht="12.75">
      <c r="A29" s="52" t="s">
        <v>21</v>
      </c>
      <c r="B29" s="43">
        <v>2485</v>
      </c>
      <c r="C29" s="4">
        <v>8994062</v>
      </c>
      <c r="D29" s="69">
        <v>3619.34</v>
      </c>
      <c r="E29" s="69">
        <v>96.3</v>
      </c>
      <c r="F29" s="8">
        <v>4</v>
      </c>
      <c r="G29" s="131">
        <f>950+4900+31720+2617.95+4800+33744+2784.95+5104</f>
        <v>86620.9</v>
      </c>
      <c r="H29" s="43">
        <f>458.4+456+3474.1+1528.85+100+1156.8+1243.5+606.9+1043.6+100+1.1-412.95+490</f>
        <v>10246.300000000001</v>
      </c>
      <c r="I29" s="43">
        <v>0</v>
      </c>
      <c r="J29" s="43">
        <v>0</v>
      </c>
      <c r="K29" s="43">
        <v>0</v>
      </c>
      <c r="L29" s="43">
        <v>0</v>
      </c>
      <c r="M29" s="43">
        <f t="shared" si="1"/>
        <v>0</v>
      </c>
      <c r="N29" s="43">
        <v>0</v>
      </c>
      <c r="O29" s="43">
        <v>0</v>
      </c>
      <c r="P29" s="43">
        <f>9600.2+17022.6+9000+3835.5+100+1500+207292.5+127162.55+315556.5+97018.15+127309.05+141990.55+19626</f>
        <v>1077013.6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f t="shared" si="3"/>
        <v>0</v>
      </c>
      <c r="X29" s="43">
        <v>0</v>
      </c>
      <c r="Y29" s="43">
        <f t="shared" si="4"/>
        <v>1173880.8</v>
      </c>
      <c r="Z29" s="43">
        <v>197058.75</v>
      </c>
      <c r="AA29" s="43">
        <v>340390.3</v>
      </c>
      <c r="AB29" s="43">
        <v>0</v>
      </c>
      <c r="AC29" s="43">
        <v>21579.2</v>
      </c>
      <c r="AD29" s="43">
        <v>0</v>
      </c>
      <c r="AE29" s="43">
        <f t="shared" si="5"/>
        <v>559028.25</v>
      </c>
      <c r="AF29" s="43">
        <v>0</v>
      </c>
      <c r="AG29" s="43">
        <f>609.25+97.2</f>
        <v>706.45</v>
      </c>
      <c r="AH29" s="43">
        <v>0</v>
      </c>
      <c r="AI29" s="43">
        <f>107820.37+148906.45+32000+63547.45+63434.4+5664</f>
        <v>421372.67000000004</v>
      </c>
      <c r="AJ29" s="43">
        <v>0</v>
      </c>
      <c r="AK29" s="43">
        <v>0</v>
      </c>
      <c r="AL29" s="43">
        <v>0</v>
      </c>
      <c r="AM29" s="43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7"/>
        <v>0</v>
      </c>
      <c r="AT29" s="4">
        <v>0</v>
      </c>
      <c r="AU29" s="4">
        <f t="shared" si="8"/>
        <v>981107.3700000001</v>
      </c>
      <c r="AV29" s="4">
        <v>0</v>
      </c>
      <c r="AW29" s="4">
        <v>192773.43</v>
      </c>
      <c r="AX29" s="4">
        <f t="shared" si="9"/>
        <v>0</v>
      </c>
      <c r="AY29" s="43"/>
      <c r="AZ29" s="43"/>
      <c r="BA29" s="43"/>
      <c r="BB29" s="43"/>
      <c r="BC29" s="43"/>
      <c r="BD29" s="43"/>
      <c r="BE29" s="43"/>
      <c r="BF29" s="43">
        <f t="shared" si="11"/>
        <v>0</v>
      </c>
      <c r="BG29" s="43"/>
      <c r="BH29" s="43"/>
      <c r="BI29" s="43"/>
      <c r="BJ29" s="43"/>
      <c r="BK29" s="43"/>
      <c r="BL29" s="43"/>
      <c r="BM29" s="43"/>
      <c r="BN29" s="43"/>
      <c r="BO29" s="43">
        <f t="shared" si="13"/>
        <v>0</v>
      </c>
      <c r="BP29" s="43"/>
      <c r="BQ29" s="43"/>
      <c r="BR29" s="43"/>
      <c r="BS29" s="43">
        <f t="shared" si="14"/>
        <v>0</v>
      </c>
      <c r="BT29" s="4">
        <f t="shared" si="15"/>
        <v>767508.6699999999</v>
      </c>
      <c r="BU29" s="4">
        <f t="shared" si="16"/>
        <v>0</v>
      </c>
      <c r="BV29" s="4">
        <f t="shared" si="17"/>
        <v>0</v>
      </c>
      <c r="BW29" s="4">
        <f t="shared" si="17"/>
        <v>0</v>
      </c>
      <c r="BX29" s="4">
        <f t="shared" si="18"/>
        <v>767508.6699999999</v>
      </c>
      <c r="BY29" s="4">
        <f t="shared" si="19"/>
        <v>411435.05</v>
      </c>
      <c r="BZ29" s="4">
        <f t="shared" si="20"/>
        <v>0</v>
      </c>
      <c r="CA29" s="4">
        <f t="shared" si="20"/>
        <v>356073.62</v>
      </c>
      <c r="CB29" s="4">
        <f t="shared" si="21"/>
        <v>767508.6699999999</v>
      </c>
      <c r="CC29" s="4">
        <f t="shared" si="22"/>
        <v>0</v>
      </c>
      <c r="CD29" s="74">
        <f t="shared" si="23"/>
        <v>-192773.43</v>
      </c>
      <c r="CE29" s="76">
        <f t="shared" si="24"/>
        <v>-192773.43</v>
      </c>
      <c r="CF29" s="76">
        <f t="shared" si="25"/>
        <v>0</v>
      </c>
      <c r="CG29" s="76">
        <f t="shared" si="26"/>
        <v>981107.3700000001</v>
      </c>
      <c r="CH29" s="76">
        <f t="shared" si="27"/>
        <v>-706.45</v>
      </c>
      <c r="CI29" s="37">
        <f t="shared" si="28"/>
        <v>-706.45</v>
      </c>
      <c r="CJ29" s="37">
        <f t="shared" si="87"/>
        <v>5978.6</v>
      </c>
      <c r="CK29" s="37">
        <f t="shared" si="30"/>
        <v>1173880.8</v>
      </c>
      <c r="CL29" s="141" t="str">
        <f t="shared" si="31"/>
        <v>-</v>
      </c>
      <c r="CM29" s="141" t="str">
        <f t="shared" si="32"/>
        <v>-</v>
      </c>
      <c r="CN29" s="141">
        <f t="shared" si="33"/>
        <v>-0.19648555896588563</v>
      </c>
      <c r="CO29" s="141">
        <f t="shared" si="34"/>
        <v>-0.19648555896588563</v>
      </c>
      <c r="CP29" s="141">
        <f t="shared" si="35"/>
        <v>-0.0007200537082908673</v>
      </c>
      <c r="CQ29" s="141">
        <f t="shared" si="36"/>
        <v>-0.0007200537082908673</v>
      </c>
      <c r="CR29" s="141">
        <f t="shared" si="37"/>
        <v>0.006093726520472474</v>
      </c>
      <c r="CS29" s="141" t="str">
        <f t="shared" si="38"/>
        <v>-</v>
      </c>
      <c r="CT29" s="141" t="str">
        <f t="shared" si="39"/>
        <v>-</v>
      </c>
      <c r="CU29" s="141" t="str">
        <f t="shared" si="40"/>
        <v>-</v>
      </c>
      <c r="CV29" s="142">
        <f t="shared" si="41"/>
        <v>-1.8471094278915925</v>
      </c>
      <c r="CW29" s="76">
        <f t="shared" si="42"/>
        <v>356073.61999999994</v>
      </c>
      <c r="CX29" s="80">
        <f t="shared" si="43"/>
        <v>1173880.8</v>
      </c>
      <c r="CY29" s="80">
        <f t="shared" si="44"/>
        <v>981107.3700000001</v>
      </c>
      <c r="CZ29" s="80">
        <f t="shared" si="45"/>
        <v>-192773.42999999993</v>
      </c>
      <c r="DA29" s="80">
        <f t="shared" si="46"/>
        <v>0</v>
      </c>
      <c r="DB29" s="80">
        <f t="shared" si="47"/>
        <v>-192773.42999999993</v>
      </c>
      <c r="DC29" s="80">
        <f t="shared" si="48"/>
        <v>-192773.42999999993</v>
      </c>
      <c r="DD29" s="80">
        <f t="shared" si="49"/>
        <v>0</v>
      </c>
      <c r="DE29" s="80">
        <f t="shared" si="50"/>
        <v>0</v>
      </c>
      <c r="DF29" s="80">
        <f t="shared" si="51"/>
        <v>-192773.42999999993</v>
      </c>
      <c r="DG29" s="80">
        <f t="shared" si="52"/>
        <v>-192773.42999999993</v>
      </c>
      <c r="DH29" s="80">
        <f t="shared" si="53"/>
        <v>0</v>
      </c>
      <c r="DI29" s="80">
        <f t="shared" si="54"/>
        <v>-192773.42999999993</v>
      </c>
      <c r="DJ29" s="80">
        <f t="shared" si="55"/>
        <v>537449.05</v>
      </c>
      <c r="DK29" s="80">
        <f t="shared" si="56"/>
        <v>143.28918309859154</v>
      </c>
      <c r="DL29" s="80">
        <f t="shared" si="57"/>
        <v>-0.2842857142857143</v>
      </c>
      <c r="DM29" s="80">
        <f t="shared" si="58"/>
        <v>216.2772837022133</v>
      </c>
      <c r="DN29" s="81">
        <f t="shared" si="59"/>
        <v>0</v>
      </c>
      <c r="DO29" s="76">
        <f t="shared" si="60"/>
        <v>-77.5748209255533</v>
      </c>
      <c r="DP29" s="145">
        <f t="shared" si="61"/>
        <v>356073.62</v>
      </c>
      <c r="DQ29" s="160"/>
      <c r="DR29" s="65"/>
      <c r="DT29" s="176">
        <v>574645.97</v>
      </c>
      <c r="DU29" s="176">
        <v>186884.1</v>
      </c>
      <c r="DV29" s="176">
        <v>5978.6</v>
      </c>
      <c r="DW29" s="176"/>
      <c r="DX29" s="176"/>
      <c r="DY29" s="176"/>
      <c r="DZ29" s="176"/>
      <c r="EA29" s="176"/>
      <c r="EB29" s="176"/>
      <c r="EC29" s="176"/>
      <c r="ED29" s="173">
        <f>SUM(DT29:EC29)</f>
        <v>767508.6699999999</v>
      </c>
      <c r="EE29" s="176">
        <v>405456.45</v>
      </c>
      <c r="EF29" s="176">
        <v>5978.6</v>
      </c>
      <c r="EG29" s="176"/>
      <c r="EH29" s="176"/>
      <c r="EI29" s="176"/>
      <c r="EJ29" s="176"/>
      <c r="EK29" s="176"/>
      <c r="EL29" s="176">
        <f>550000-193926.38</f>
        <v>356073.62</v>
      </c>
      <c r="EM29" s="173">
        <f>SUM(EE29:EL29)</f>
        <v>767508.6699999999</v>
      </c>
      <c r="EN29" s="173">
        <f t="shared" si="63"/>
        <v>0</v>
      </c>
    </row>
    <row r="30" spans="1:144" ht="12.75">
      <c r="A30" s="51" t="s">
        <v>31</v>
      </c>
      <c r="B30" s="42">
        <v>420</v>
      </c>
      <c r="C30" s="38">
        <v>1355707</v>
      </c>
      <c r="D30" s="66">
        <v>3227.87</v>
      </c>
      <c r="E30" s="66">
        <v>85.88</v>
      </c>
      <c r="F30" s="126">
        <v>2</v>
      </c>
      <c r="G30" s="132"/>
      <c r="H30" s="42"/>
      <c r="I30" s="42"/>
      <c r="J30" s="42"/>
      <c r="K30" s="42"/>
      <c r="L30" s="42"/>
      <c r="M30" s="43"/>
      <c r="N30" s="42"/>
      <c r="O30" s="42"/>
      <c r="P30" s="42"/>
      <c r="Q30" s="42"/>
      <c r="R30" s="42"/>
      <c r="S30" s="42"/>
      <c r="T30" s="42"/>
      <c r="U30" s="42"/>
      <c r="V30" s="42"/>
      <c r="W30" s="43"/>
      <c r="X30" s="42"/>
      <c r="Y30" s="43"/>
      <c r="Z30" s="42"/>
      <c r="AA30" s="42"/>
      <c r="AB30" s="42"/>
      <c r="AC30" s="42"/>
      <c r="AD30" s="42"/>
      <c r="AE30" s="43"/>
      <c r="AF30" s="42"/>
      <c r="AG30" s="42"/>
      <c r="AH30" s="42"/>
      <c r="AI30" s="42"/>
      <c r="AJ30" s="42"/>
      <c r="AK30" s="42"/>
      <c r="AL30" s="42"/>
      <c r="AM30" s="42"/>
      <c r="AN30" s="38"/>
      <c r="AO30" s="38"/>
      <c r="AP30" s="38"/>
      <c r="AQ30" s="38"/>
      <c r="AR30" s="38"/>
      <c r="AS30" s="4"/>
      <c r="AT30" s="38"/>
      <c r="AU30" s="4"/>
      <c r="AV30" s="38"/>
      <c r="AW30" s="38"/>
      <c r="AX30" s="4"/>
      <c r="AY30" s="42"/>
      <c r="AZ30" s="42"/>
      <c r="BA30" s="42"/>
      <c r="BB30" s="42"/>
      <c r="BC30" s="42"/>
      <c r="BD30" s="42"/>
      <c r="BE30" s="42"/>
      <c r="BF30" s="43"/>
      <c r="BG30" s="42"/>
      <c r="BH30" s="42"/>
      <c r="BI30" s="42"/>
      <c r="BJ30" s="42"/>
      <c r="BK30" s="42"/>
      <c r="BL30" s="42"/>
      <c r="BM30" s="42"/>
      <c r="BN30" s="42"/>
      <c r="BO30" s="43"/>
      <c r="BP30" s="42"/>
      <c r="BQ30" s="42"/>
      <c r="BR30" s="42"/>
      <c r="BS30" s="43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74"/>
      <c r="CE30" s="76"/>
      <c r="CF30" s="76"/>
      <c r="CG30" s="76"/>
      <c r="CH30" s="76"/>
      <c r="CI30" s="37"/>
      <c r="CJ30" s="37"/>
      <c r="CK30" s="37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2"/>
      <c r="CW30" s="76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1"/>
      <c r="DO30" s="76"/>
      <c r="DP30" s="145"/>
      <c r="DQ30" s="162"/>
      <c r="DR30" s="68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5"/>
      <c r="EE30" s="174"/>
      <c r="EF30" s="174"/>
      <c r="EG30" s="174"/>
      <c r="EH30" s="174"/>
      <c r="EI30" s="174"/>
      <c r="EJ30" s="174"/>
      <c r="EK30" s="174"/>
      <c r="EL30" s="174"/>
      <c r="EM30" s="175"/>
      <c r="EN30" s="175"/>
    </row>
    <row r="31" spans="1:144" ht="13.5" thickBot="1">
      <c r="A31" s="53" t="s">
        <v>20</v>
      </c>
      <c r="B31" s="44">
        <v>303</v>
      </c>
      <c r="C31" s="7">
        <v>1189341</v>
      </c>
      <c r="D31" s="70">
        <v>3925.22</v>
      </c>
      <c r="E31" s="70">
        <v>104.43</v>
      </c>
      <c r="F31" s="127">
        <v>4</v>
      </c>
      <c r="G31" s="131">
        <v>3143.75</v>
      </c>
      <c r="H31" s="43">
        <v>1189.65</v>
      </c>
      <c r="I31" s="43">
        <v>36.95</v>
      </c>
      <c r="J31" s="43">
        <v>1165.45</v>
      </c>
      <c r="K31" s="43">
        <v>0</v>
      </c>
      <c r="L31" s="43">
        <v>0</v>
      </c>
      <c r="M31" s="43">
        <f t="shared" si="1"/>
        <v>0</v>
      </c>
      <c r="N31" s="43">
        <v>0</v>
      </c>
      <c r="O31" s="43">
        <v>1600</v>
      </c>
      <c r="P31" s="43">
        <v>97549.8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f t="shared" si="3"/>
        <v>0</v>
      </c>
      <c r="X31" s="43">
        <v>0</v>
      </c>
      <c r="Y31" s="43">
        <f t="shared" si="4"/>
        <v>104685.6</v>
      </c>
      <c r="Z31" s="43">
        <v>67843.8</v>
      </c>
      <c r="AA31" s="43">
        <v>1499.9</v>
      </c>
      <c r="AB31" s="43">
        <v>0</v>
      </c>
      <c r="AC31" s="43">
        <v>2631.2</v>
      </c>
      <c r="AD31" s="43">
        <v>0</v>
      </c>
      <c r="AE31" s="43">
        <f t="shared" si="5"/>
        <v>71974.9</v>
      </c>
      <c r="AF31" s="43">
        <v>0</v>
      </c>
      <c r="AG31" s="43">
        <v>296.9</v>
      </c>
      <c r="AH31" s="43">
        <v>0</v>
      </c>
      <c r="AI31" s="43">
        <v>3714.75</v>
      </c>
      <c r="AJ31" s="43">
        <v>0</v>
      </c>
      <c r="AK31" s="43">
        <v>0</v>
      </c>
      <c r="AL31" s="43">
        <v>0</v>
      </c>
      <c r="AM31" s="43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7"/>
        <v>0</v>
      </c>
      <c r="AT31" s="4">
        <v>0</v>
      </c>
      <c r="AU31" s="4">
        <f t="shared" si="8"/>
        <v>75986.54999999999</v>
      </c>
      <c r="AV31" s="4">
        <v>0</v>
      </c>
      <c r="AW31" s="4">
        <v>28699.05</v>
      </c>
      <c r="AX31" s="34">
        <f t="shared" si="9"/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f t="shared" si="11"/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f t="shared" si="13"/>
        <v>0</v>
      </c>
      <c r="BP31" s="43">
        <v>0</v>
      </c>
      <c r="BQ31" s="43">
        <v>0</v>
      </c>
      <c r="BR31" s="43">
        <v>0</v>
      </c>
      <c r="BS31" s="43">
        <f t="shared" si="14"/>
        <v>0</v>
      </c>
      <c r="BT31" s="4">
        <f t="shared" si="15"/>
        <v>166529.45</v>
      </c>
      <c r="BU31" s="4">
        <f t="shared" si="16"/>
        <v>0</v>
      </c>
      <c r="BV31" s="4">
        <f t="shared" si="17"/>
        <v>0</v>
      </c>
      <c r="BW31" s="4">
        <f t="shared" si="17"/>
        <v>0</v>
      </c>
      <c r="BX31" s="4">
        <f t="shared" si="18"/>
        <v>166529.45</v>
      </c>
      <c r="BY31" s="4">
        <f t="shared" si="19"/>
        <v>59834.450000000004</v>
      </c>
      <c r="BZ31" s="4">
        <f t="shared" si="20"/>
        <v>0</v>
      </c>
      <c r="CA31" s="4">
        <f t="shared" si="20"/>
        <v>106695</v>
      </c>
      <c r="CB31" s="4">
        <f t="shared" si="21"/>
        <v>166529.45</v>
      </c>
      <c r="CC31" s="4">
        <f t="shared" si="22"/>
        <v>0</v>
      </c>
      <c r="CD31" s="74">
        <f t="shared" si="23"/>
        <v>-28699.05</v>
      </c>
      <c r="CE31" s="76">
        <f t="shared" si="24"/>
        <v>-28699.05</v>
      </c>
      <c r="CF31" s="76">
        <f t="shared" si="25"/>
        <v>0</v>
      </c>
      <c r="CG31" s="76">
        <f t="shared" si="26"/>
        <v>75986.54999999999</v>
      </c>
      <c r="CH31" s="76">
        <f t="shared" si="27"/>
        <v>-259.95</v>
      </c>
      <c r="CI31" s="37">
        <f t="shared" si="28"/>
        <v>-259.95</v>
      </c>
      <c r="CJ31" s="37">
        <f t="shared" si="87"/>
        <v>15198.4</v>
      </c>
      <c r="CK31" s="37">
        <f t="shared" si="30"/>
        <v>104685.6</v>
      </c>
      <c r="CL31" s="141" t="str">
        <f t="shared" si="31"/>
        <v>-</v>
      </c>
      <c r="CM31" s="141" t="str">
        <f t="shared" si="32"/>
        <v>-</v>
      </c>
      <c r="CN31" s="141">
        <f t="shared" si="33"/>
        <v>-0.37768591941600194</v>
      </c>
      <c r="CO31" s="141">
        <f t="shared" si="34"/>
        <v>-0.37768591941600194</v>
      </c>
      <c r="CP31" s="141">
        <f t="shared" si="35"/>
        <v>-0.0034210001638447863</v>
      </c>
      <c r="CQ31" s="141">
        <f t="shared" si="36"/>
        <v>-0.0034210001638447863</v>
      </c>
      <c r="CR31" s="141">
        <f t="shared" si="37"/>
        <v>0.20001434464388765</v>
      </c>
      <c r="CS31" s="141" t="str">
        <f t="shared" si="38"/>
        <v>-</v>
      </c>
      <c r="CT31" s="141" t="str">
        <f t="shared" si="39"/>
        <v>-</v>
      </c>
      <c r="CU31" s="141" t="str">
        <f t="shared" si="40"/>
        <v>-</v>
      </c>
      <c r="CV31" s="142">
        <f t="shared" si="41"/>
        <v>-3.7177188791963496</v>
      </c>
      <c r="CW31" s="76">
        <f t="shared" si="42"/>
        <v>106695</v>
      </c>
      <c r="CX31" s="80">
        <f t="shared" si="43"/>
        <v>104685.6</v>
      </c>
      <c r="CY31" s="80">
        <f t="shared" si="44"/>
        <v>75986.54999999999</v>
      </c>
      <c r="CZ31" s="80">
        <f t="shared" si="45"/>
        <v>-28699.050000000017</v>
      </c>
      <c r="DA31" s="80">
        <f t="shared" si="46"/>
        <v>0</v>
      </c>
      <c r="DB31" s="80">
        <f t="shared" si="47"/>
        <v>-28699.050000000017</v>
      </c>
      <c r="DC31" s="80">
        <f t="shared" si="48"/>
        <v>-28699.050000000017</v>
      </c>
      <c r="DD31" s="80">
        <f t="shared" si="49"/>
        <v>0</v>
      </c>
      <c r="DE31" s="80">
        <f t="shared" si="50"/>
        <v>0</v>
      </c>
      <c r="DF31" s="80">
        <f t="shared" si="51"/>
        <v>-28699.050000000017</v>
      </c>
      <c r="DG31" s="80">
        <f t="shared" si="52"/>
        <v>-28699.050000000017</v>
      </c>
      <c r="DH31" s="80">
        <f t="shared" si="53"/>
        <v>0</v>
      </c>
      <c r="DI31" s="80">
        <f t="shared" si="54"/>
        <v>-28699.050000000017</v>
      </c>
      <c r="DJ31" s="80">
        <f t="shared" si="55"/>
        <v>69343.7</v>
      </c>
      <c r="DK31" s="80">
        <f t="shared" si="56"/>
        <v>352.1287128712871</v>
      </c>
      <c r="DL31" s="80">
        <f t="shared" si="57"/>
        <v>-0.8579207920792079</v>
      </c>
      <c r="DM31" s="80">
        <f t="shared" si="58"/>
        <v>228.85709570957096</v>
      </c>
      <c r="DN31" s="81">
        <f t="shared" si="59"/>
        <v>0</v>
      </c>
      <c r="DO31" s="76">
        <f t="shared" si="60"/>
        <v>-94.71633663366342</v>
      </c>
      <c r="DP31" s="145">
        <f t="shared" si="61"/>
        <v>106695</v>
      </c>
      <c r="DQ31" s="171">
        <v>0</v>
      </c>
      <c r="DR31" s="72"/>
      <c r="DT31" s="177">
        <v>34708.55</v>
      </c>
      <c r="DU31" s="177">
        <v>90462.65</v>
      </c>
      <c r="DV31" s="177">
        <v>41258.25</v>
      </c>
      <c r="DW31" s="177">
        <v>100</v>
      </c>
      <c r="DX31" s="177">
        <v>0</v>
      </c>
      <c r="DY31" s="177">
        <v>0</v>
      </c>
      <c r="DZ31" s="177">
        <v>0</v>
      </c>
      <c r="EA31" s="177">
        <v>0</v>
      </c>
      <c r="EB31" s="177">
        <v>0</v>
      </c>
      <c r="EC31" s="177">
        <v>0</v>
      </c>
      <c r="ED31" s="173">
        <f>SUM(DT31:EC31)</f>
        <v>166529.45</v>
      </c>
      <c r="EE31" s="177">
        <v>44636.05</v>
      </c>
      <c r="EF31" s="177">
        <v>0</v>
      </c>
      <c r="EG31" s="177">
        <v>0</v>
      </c>
      <c r="EH31" s="177">
        <v>15198.4</v>
      </c>
      <c r="EI31" s="177">
        <v>0</v>
      </c>
      <c r="EJ31" s="177">
        <v>0</v>
      </c>
      <c r="EK31" s="177">
        <v>0</v>
      </c>
      <c r="EL31" s="177">
        <v>106695</v>
      </c>
      <c r="EM31" s="173">
        <f>SUM(EE31:EL31)</f>
        <v>166529.45</v>
      </c>
      <c r="EN31" s="184">
        <f t="shared" si="63"/>
        <v>0</v>
      </c>
    </row>
    <row r="32" spans="1:144" ht="12.75" customHeight="1">
      <c r="A32" s="31" t="s">
        <v>70</v>
      </c>
      <c r="B32" s="24">
        <f>SUM(B3:B31)</f>
        <v>38273</v>
      </c>
      <c r="C32" s="24">
        <f aca="true" t="shared" si="101" ref="C32:AG32">SUM(C3:C31)</f>
        <v>143851498</v>
      </c>
      <c r="D32" s="25">
        <f t="shared" si="101"/>
        <v>92174.63999999998</v>
      </c>
      <c r="E32" s="25">
        <f t="shared" si="101"/>
        <v>2452.3700000000003</v>
      </c>
      <c r="F32" s="116">
        <f t="shared" si="101"/>
        <v>100</v>
      </c>
      <c r="G32" s="118">
        <f t="shared" si="101"/>
        <v>1028002.2499999999</v>
      </c>
      <c r="H32" s="119">
        <f t="shared" si="101"/>
        <v>282913.39999999997</v>
      </c>
      <c r="I32" s="119">
        <f t="shared" si="101"/>
        <v>55819.49999999999</v>
      </c>
      <c r="J32" s="119">
        <f t="shared" si="101"/>
        <v>8308.800000000001</v>
      </c>
      <c r="K32" s="119">
        <f t="shared" si="101"/>
        <v>20479.8</v>
      </c>
      <c r="L32" s="119">
        <f t="shared" si="101"/>
        <v>40000</v>
      </c>
      <c r="M32" s="119">
        <f t="shared" si="101"/>
        <v>60479.799999999996</v>
      </c>
      <c r="N32" s="119">
        <f t="shared" si="101"/>
        <v>0</v>
      </c>
      <c r="O32" s="119">
        <f t="shared" si="101"/>
        <v>138004.95</v>
      </c>
      <c r="P32" s="119">
        <f t="shared" si="101"/>
        <v>13272219.05</v>
      </c>
      <c r="Q32" s="119">
        <f t="shared" si="101"/>
        <v>0</v>
      </c>
      <c r="R32" s="119">
        <f t="shared" si="101"/>
        <v>0</v>
      </c>
      <c r="S32" s="119">
        <f t="shared" si="101"/>
        <v>0</v>
      </c>
      <c r="T32" s="119">
        <f t="shared" si="101"/>
        <v>0</v>
      </c>
      <c r="U32" s="119">
        <f t="shared" si="101"/>
        <v>0</v>
      </c>
      <c r="V32" s="119">
        <f t="shared" si="101"/>
        <v>0</v>
      </c>
      <c r="W32" s="119">
        <f t="shared" si="101"/>
        <v>0</v>
      </c>
      <c r="X32" s="119">
        <f t="shared" si="101"/>
        <v>210742.6</v>
      </c>
      <c r="Y32" s="119">
        <f t="shared" si="101"/>
        <v>15056490.35</v>
      </c>
      <c r="Z32" s="119">
        <f t="shared" si="101"/>
        <v>5663647.600000001</v>
      </c>
      <c r="AA32" s="119">
        <f t="shared" si="101"/>
        <v>920132.1</v>
      </c>
      <c r="AB32" s="119">
        <f t="shared" si="101"/>
        <v>0</v>
      </c>
      <c r="AC32" s="119">
        <f t="shared" si="101"/>
        <v>237779.45</v>
      </c>
      <c r="AD32" s="119">
        <f t="shared" si="101"/>
        <v>0</v>
      </c>
      <c r="AE32" s="119">
        <f t="shared" si="101"/>
        <v>6821559.150000001</v>
      </c>
      <c r="AF32" s="119">
        <f t="shared" si="101"/>
        <v>0</v>
      </c>
      <c r="AG32" s="119">
        <f t="shared" si="101"/>
        <v>157319.84999999998</v>
      </c>
      <c r="AH32" s="119">
        <f aca="true" t="shared" si="102" ref="AH32:BM32">SUM(AH3:AH31)</f>
        <v>8571.8</v>
      </c>
      <c r="AI32" s="119">
        <f t="shared" si="102"/>
        <v>6398102.209999998</v>
      </c>
      <c r="AJ32" s="119">
        <f t="shared" si="102"/>
        <v>-17.55</v>
      </c>
      <c r="AK32" s="119">
        <f t="shared" si="102"/>
        <v>359920.2</v>
      </c>
      <c r="AL32" s="119">
        <f t="shared" si="102"/>
        <v>5481.35</v>
      </c>
      <c r="AM32" s="119">
        <f t="shared" si="102"/>
        <v>0</v>
      </c>
      <c r="AN32" s="119">
        <f t="shared" si="102"/>
        <v>0</v>
      </c>
      <c r="AO32" s="119">
        <f t="shared" si="102"/>
        <v>0</v>
      </c>
      <c r="AP32" s="119">
        <f t="shared" si="102"/>
        <v>0</v>
      </c>
      <c r="AQ32" s="119">
        <f t="shared" si="102"/>
        <v>0</v>
      </c>
      <c r="AR32" s="119">
        <f t="shared" si="102"/>
        <v>0</v>
      </c>
      <c r="AS32" s="119">
        <f t="shared" si="102"/>
        <v>0</v>
      </c>
      <c r="AT32" s="119">
        <f t="shared" si="102"/>
        <v>210742.6</v>
      </c>
      <c r="AU32" s="119">
        <f t="shared" si="102"/>
        <v>13953107.809999999</v>
      </c>
      <c r="AV32" s="119">
        <f t="shared" si="102"/>
        <v>333391.22000000003</v>
      </c>
      <c r="AW32" s="119">
        <f t="shared" si="102"/>
        <v>1436773.76</v>
      </c>
      <c r="AX32" s="119">
        <f t="shared" si="102"/>
        <v>-1.1932570487260818E-09</v>
      </c>
      <c r="AY32" s="119">
        <f t="shared" si="102"/>
        <v>2397.7</v>
      </c>
      <c r="AZ32" s="119">
        <f t="shared" si="102"/>
        <v>0</v>
      </c>
      <c r="BA32" s="119">
        <f t="shared" si="102"/>
        <v>0</v>
      </c>
      <c r="BB32" s="119">
        <f t="shared" si="102"/>
        <v>0</v>
      </c>
      <c r="BC32" s="119">
        <f t="shared" si="102"/>
        <v>0</v>
      </c>
      <c r="BD32" s="119">
        <f t="shared" si="102"/>
        <v>0</v>
      </c>
      <c r="BE32" s="119">
        <f t="shared" si="102"/>
        <v>0</v>
      </c>
      <c r="BF32" s="119">
        <f t="shared" si="102"/>
        <v>0</v>
      </c>
      <c r="BG32" s="119">
        <f t="shared" si="102"/>
        <v>0</v>
      </c>
      <c r="BH32" s="119">
        <f t="shared" si="102"/>
        <v>0</v>
      </c>
      <c r="BI32" s="119">
        <f t="shared" si="102"/>
        <v>0</v>
      </c>
      <c r="BJ32" s="119">
        <f t="shared" si="102"/>
        <v>0</v>
      </c>
      <c r="BK32" s="119">
        <f t="shared" si="102"/>
        <v>0</v>
      </c>
      <c r="BL32" s="119">
        <f t="shared" si="102"/>
        <v>0</v>
      </c>
      <c r="BM32" s="119">
        <f t="shared" si="102"/>
        <v>0</v>
      </c>
      <c r="BN32" s="119">
        <f aca="true" t="shared" si="103" ref="BN32:CW32">SUM(BN3:BN31)</f>
        <v>0</v>
      </c>
      <c r="BO32" s="119">
        <f t="shared" si="103"/>
        <v>0</v>
      </c>
      <c r="BP32" s="119">
        <f t="shared" si="103"/>
        <v>0</v>
      </c>
      <c r="BQ32" s="119">
        <f t="shared" si="103"/>
        <v>0</v>
      </c>
      <c r="BR32" s="119">
        <f t="shared" si="103"/>
        <v>0</v>
      </c>
      <c r="BS32" s="119">
        <f t="shared" si="103"/>
        <v>0</v>
      </c>
      <c r="BT32" s="119">
        <f t="shared" si="103"/>
        <v>11463756.899999997</v>
      </c>
      <c r="BU32" s="119">
        <f t="shared" si="103"/>
        <v>247118.7</v>
      </c>
      <c r="BV32" s="119">
        <f t="shared" si="103"/>
        <v>0</v>
      </c>
      <c r="BW32" s="119">
        <f t="shared" si="103"/>
        <v>144390.5</v>
      </c>
      <c r="BX32" s="119">
        <f t="shared" si="103"/>
        <v>11855266.1</v>
      </c>
      <c r="BY32" s="119">
        <f t="shared" si="103"/>
        <v>5387443.97</v>
      </c>
      <c r="BZ32" s="119">
        <f t="shared" si="103"/>
        <v>11755.15</v>
      </c>
      <c r="CA32" s="119">
        <f t="shared" si="103"/>
        <v>6456066.980000001</v>
      </c>
      <c r="CB32" s="119">
        <f t="shared" si="103"/>
        <v>11855266.1</v>
      </c>
      <c r="CC32" s="119">
        <f t="shared" si="103"/>
        <v>0</v>
      </c>
      <c r="CD32" s="119">
        <f t="shared" si="103"/>
        <v>-1042902.74</v>
      </c>
      <c r="CE32" s="119">
        <f t="shared" si="103"/>
        <v>-1042902.74</v>
      </c>
      <c r="CF32" s="119">
        <f t="shared" si="103"/>
        <v>0</v>
      </c>
      <c r="CG32" s="119">
        <f t="shared" si="103"/>
        <v>13742365.21</v>
      </c>
      <c r="CH32" s="119">
        <f t="shared" si="103"/>
        <v>-90530.85</v>
      </c>
      <c r="CI32" s="119">
        <f t="shared" si="103"/>
        <v>-70051.05</v>
      </c>
      <c r="CJ32" s="119">
        <f t="shared" si="103"/>
        <v>2034086.5899999999</v>
      </c>
      <c r="CK32" s="119">
        <f t="shared" si="103"/>
        <v>14785267.950000001</v>
      </c>
      <c r="CL32" s="120">
        <f t="shared" si="103"/>
        <v>0</v>
      </c>
      <c r="CM32" s="120">
        <f t="shared" si="103"/>
        <v>0</v>
      </c>
      <c r="CN32" s="120">
        <f t="shared" si="103"/>
        <v>-4.084588169828562</v>
      </c>
      <c r="CO32" s="120">
        <f t="shared" si="103"/>
        <v>-4.084588169828562</v>
      </c>
      <c r="CP32" s="120">
        <f t="shared" si="103"/>
        <v>-0.25043409337116695</v>
      </c>
      <c r="CQ32" s="120">
        <f t="shared" si="103"/>
        <v>-0.2212244236268305</v>
      </c>
      <c r="CR32" s="120">
        <f t="shared" si="103"/>
        <v>3.8771722324726468</v>
      </c>
      <c r="CS32" s="120">
        <f t="shared" si="103"/>
        <v>0</v>
      </c>
      <c r="CT32" s="120">
        <f t="shared" si="103"/>
        <v>1.2418803418803417</v>
      </c>
      <c r="CU32" s="120">
        <f t="shared" si="103"/>
        <v>0.8999999999999999</v>
      </c>
      <c r="CV32" s="119">
        <f t="shared" si="103"/>
        <v>-46.49768312974243</v>
      </c>
      <c r="CW32" s="119">
        <f t="shared" si="103"/>
        <v>6076312.930000002</v>
      </c>
      <c r="CX32" s="119">
        <f aca="true" t="shared" si="104" ref="CX32:DR32">SUM(CX3:CX31)</f>
        <v>14996010.55</v>
      </c>
      <c r="CY32" s="119">
        <f t="shared" si="104"/>
        <v>13953107.809999999</v>
      </c>
      <c r="CZ32" s="119">
        <f t="shared" si="104"/>
        <v>-1042902.7399999985</v>
      </c>
      <c r="DA32" s="119">
        <f t="shared" si="104"/>
        <v>0</v>
      </c>
      <c r="DB32" s="119">
        <f t="shared" si="104"/>
        <v>-1042902.7399999985</v>
      </c>
      <c r="DC32" s="119">
        <f t="shared" si="104"/>
        <v>-1103382.5399999984</v>
      </c>
      <c r="DD32" s="119">
        <f t="shared" si="104"/>
        <v>0</v>
      </c>
      <c r="DE32" s="119">
        <f t="shared" si="104"/>
        <v>60479.799999999996</v>
      </c>
      <c r="DF32" s="119">
        <f t="shared" si="104"/>
        <v>-1042902.7399999985</v>
      </c>
      <c r="DG32" s="119">
        <f t="shared" si="104"/>
        <v>-1042902.7399999985</v>
      </c>
      <c r="DH32" s="119">
        <f t="shared" si="104"/>
        <v>-60479.799999999996</v>
      </c>
      <c r="DI32" s="119">
        <f t="shared" si="104"/>
        <v>-1103382.5399999984</v>
      </c>
      <c r="DJ32" s="119">
        <f t="shared" si="104"/>
        <v>6583779.7</v>
      </c>
      <c r="DK32" s="119">
        <f t="shared" si="104"/>
        <v>6318.155974508404</v>
      </c>
      <c r="DL32" s="119">
        <f t="shared" si="104"/>
        <v>-81.71777560908954</v>
      </c>
      <c r="DM32" s="119">
        <f t="shared" si="104"/>
        <v>4416.386098069743</v>
      </c>
      <c r="DN32" s="119">
        <f t="shared" si="104"/>
        <v>0</v>
      </c>
      <c r="DO32" s="119">
        <f t="shared" si="104"/>
        <v>-1428.1528923162416</v>
      </c>
      <c r="DP32" s="119">
        <f t="shared" si="104"/>
        <v>6064557.780000001</v>
      </c>
      <c r="DQ32" s="169">
        <f>SUM(DQ3:DQ31)</f>
        <v>0</v>
      </c>
      <c r="DR32" s="26">
        <f t="shared" si="104"/>
        <v>0</v>
      </c>
      <c r="DT32" s="119">
        <f aca="true" t="shared" si="105" ref="DT32:EN32">SUM(DT3:DT31)</f>
        <v>4214866.09</v>
      </c>
      <c r="DU32" s="119">
        <f t="shared" si="105"/>
        <v>1888366.12</v>
      </c>
      <c r="DV32" s="119">
        <f t="shared" si="105"/>
        <v>4920196.740000001</v>
      </c>
      <c r="DW32" s="119">
        <f t="shared" si="105"/>
        <v>440327.94999999995</v>
      </c>
      <c r="DX32" s="119">
        <f t="shared" si="105"/>
        <v>13171.7</v>
      </c>
      <c r="DY32" s="119">
        <f t="shared" si="105"/>
        <v>168647</v>
      </c>
      <c r="DZ32" s="119">
        <f t="shared" si="105"/>
        <v>65300</v>
      </c>
      <c r="EA32" s="119">
        <f t="shared" si="105"/>
        <v>0</v>
      </c>
      <c r="EB32" s="119">
        <f t="shared" si="105"/>
        <v>0</v>
      </c>
      <c r="EC32" s="119">
        <f t="shared" si="105"/>
        <v>144390.5</v>
      </c>
      <c r="ED32" s="119">
        <f t="shared" si="105"/>
        <v>11855266.1</v>
      </c>
      <c r="EE32" s="119">
        <f t="shared" si="105"/>
        <v>2145393.85</v>
      </c>
      <c r="EF32" s="119">
        <f t="shared" si="105"/>
        <v>184729.7</v>
      </c>
      <c r="EG32" s="119">
        <f t="shared" si="105"/>
        <v>631377.18</v>
      </c>
      <c r="EH32" s="119">
        <f t="shared" si="105"/>
        <v>1217979.7099999997</v>
      </c>
      <c r="EI32" s="119">
        <f t="shared" si="105"/>
        <v>0</v>
      </c>
      <c r="EJ32" s="119">
        <f t="shared" si="105"/>
        <v>1207963.53</v>
      </c>
      <c r="EK32" s="119">
        <f t="shared" si="105"/>
        <v>11755.15</v>
      </c>
      <c r="EL32" s="119">
        <f t="shared" si="105"/>
        <v>6456066.980000001</v>
      </c>
      <c r="EM32" s="119">
        <f t="shared" si="105"/>
        <v>11855266.1</v>
      </c>
      <c r="EN32" s="119">
        <f t="shared" si="105"/>
        <v>0</v>
      </c>
    </row>
    <row r="33" spans="1:144" ht="12.75">
      <c r="A33" s="31" t="s">
        <v>47</v>
      </c>
      <c r="B33" s="24">
        <f>MIN(B3:B31)</f>
        <v>173</v>
      </c>
      <c r="C33" s="24">
        <f aca="true" t="shared" si="106" ref="C33:AG33">MIN(C3:C31)</f>
        <v>431192</v>
      </c>
      <c r="D33" s="25">
        <f t="shared" si="106"/>
        <v>2356.24</v>
      </c>
      <c r="E33" s="25">
        <f t="shared" si="106"/>
        <v>62.69</v>
      </c>
      <c r="F33" s="116">
        <f t="shared" si="106"/>
        <v>1</v>
      </c>
      <c r="G33" s="123">
        <f t="shared" si="106"/>
        <v>3143.75</v>
      </c>
      <c r="H33" s="24">
        <f t="shared" si="106"/>
        <v>601.8574619771863</v>
      </c>
      <c r="I33" s="24">
        <f t="shared" si="106"/>
        <v>0</v>
      </c>
      <c r="J33" s="24">
        <f t="shared" si="106"/>
        <v>0</v>
      </c>
      <c r="K33" s="24">
        <f t="shared" si="106"/>
        <v>0</v>
      </c>
      <c r="L33" s="24">
        <f t="shared" si="106"/>
        <v>0</v>
      </c>
      <c r="M33" s="24">
        <f t="shared" si="106"/>
        <v>0</v>
      </c>
      <c r="N33" s="24">
        <f t="shared" si="106"/>
        <v>0</v>
      </c>
      <c r="O33" s="24">
        <f t="shared" si="106"/>
        <v>0</v>
      </c>
      <c r="P33" s="24">
        <f t="shared" si="106"/>
        <v>0</v>
      </c>
      <c r="Q33" s="24">
        <f t="shared" si="106"/>
        <v>0</v>
      </c>
      <c r="R33" s="24">
        <f t="shared" si="106"/>
        <v>0</v>
      </c>
      <c r="S33" s="24">
        <f t="shared" si="106"/>
        <v>0</v>
      </c>
      <c r="T33" s="24">
        <f t="shared" si="106"/>
        <v>0</v>
      </c>
      <c r="U33" s="24">
        <f t="shared" si="106"/>
        <v>0</v>
      </c>
      <c r="V33" s="24">
        <f t="shared" si="106"/>
        <v>0</v>
      </c>
      <c r="W33" s="24">
        <f t="shared" si="106"/>
        <v>0</v>
      </c>
      <c r="X33" s="24">
        <f t="shared" si="106"/>
        <v>0</v>
      </c>
      <c r="Y33" s="24">
        <f t="shared" si="106"/>
        <v>85229.86425855513</v>
      </c>
      <c r="Z33" s="24">
        <f t="shared" si="106"/>
        <v>27043.871435361216</v>
      </c>
      <c r="AA33" s="24">
        <f t="shared" si="106"/>
        <v>0</v>
      </c>
      <c r="AB33" s="24">
        <f t="shared" si="106"/>
        <v>0</v>
      </c>
      <c r="AC33" s="24">
        <f t="shared" si="106"/>
        <v>0</v>
      </c>
      <c r="AD33" s="24">
        <f t="shared" si="106"/>
        <v>0</v>
      </c>
      <c r="AE33" s="24">
        <f t="shared" si="106"/>
        <v>28954.830750950572</v>
      </c>
      <c r="AF33" s="24">
        <f t="shared" si="106"/>
        <v>0</v>
      </c>
      <c r="AG33" s="24">
        <f t="shared" si="106"/>
        <v>296.9</v>
      </c>
      <c r="AH33" s="24">
        <f aca="true" t="shared" si="107" ref="AH33:BM33">MIN(AH3:AH31)</f>
        <v>0</v>
      </c>
      <c r="AI33" s="24">
        <f t="shared" si="107"/>
        <v>0</v>
      </c>
      <c r="AJ33" s="24">
        <f t="shared" si="107"/>
        <v>-17.55</v>
      </c>
      <c r="AK33" s="24">
        <f t="shared" si="107"/>
        <v>0</v>
      </c>
      <c r="AL33" s="24">
        <f t="shared" si="107"/>
        <v>0</v>
      </c>
      <c r="AM33" s="24">
        <f t="shared" si="107"/>
        <v>0</v>
      </c>
      <c r="AN33" s="24">
        <f t="shared" si="107"/>
        <v>0</v>
      </c>
      <c r="AO33" s="24">
        <f t="shared" si="107"/>
        <v>0</v>
      </c>
      <c r="AP33" s="24">
        <f t="shared" si="107"/>
        <v>0</v>
      </c>
      <c r="AQ33" s="24">
        <f t="shared" si="107"/>
        <v>0</v>
      </c>
      <c r="AR33" s="24">
        <f t="shared" si="107"/>
        <v>0</v>
      </c>
      <c r="AS33" s="24">
        <f t="shared" si="107"/>
        <v>0</v>
      </c>
      <c r="AT33" s="24">
        <f t="shared" si="107"/>
        <v>0</v>
      </c>
      <c r="AU33" s="24">
        <f t="shared" si="107"/>
        <v>53862.88398288973</v>
      </c>
      <c r="AV33" s="24">
        <f t="shared" si="107"/>
        <v>0</v>
      </c>
      <c r="AW33" s="24">
        <f t="shared" si="107"/>
        <v>0</v>
      </c>
      <c r="AX33" s="24">
        <f t="shared" si="107"/>
        <v>-1.3387762010097504E-09</v>
      </c>
      <c r="AY33" s="24">
        <f t="shared" si="107"/>
        <v>0</v>
      </c>
      <c r="AZ33" s="24">
        <f t="shared" si="107"/>
        <v>0</v>
      </c>
      <c r="BA33" s="24">
        <f t="shared" si="107"/>
        <v>0</v>
      </c>
      <c r="BB33" s="24">
        <f t="shared" si="107"/>
        <v>0</v>
      </c>
      <c r="BC33" s="24">
        <f t="shared" si="107"/>
        <v>0</v>
      </c>
      <c r="BD33" s="24">
        <f t="shared" si="107"/>
        <v>0</v>
      </c>
      <c r="BE33" s="24">
        <f t="shared" si="107"/>
        <v>0</v>
      </c>
      <c r="BF33" s="24">
        <f t="shared" si="107"/>
        <v>0</v>
      </c>
      <c r="BG33" s="24">
        <f t="shared" si="107"/>
        <v>0</v>
      </c>
      <c r="BH33" s="24">
        <f t="shared" si="107"/>
        <v>0</v>
      </c>
      <c r="BI33" s="24">
        <f t="shared" si="107"/>
        <v>0</v>
      </c>
      <c r="BJ33" s="24">
        <f t="shared" si="107"/>
        <v>0</v>
      </c>
      <c r="BK33" s="24">
        <f t="shared" si="107"/>
        <v>0</v>
      </c>
      <c r="BL33" s="24">
        <f t="shared" si="107"/>
        <v>0</v>
      </c>
      <c r="BM33" s="24">
        <f t="shared" si="107"/>
        <v>0</v>
      </c>
      <c r="BN33" s="24">
        <f aca="true" t="shared" si="108" ref="BN33:CW33">MIN(BN3:BN31)</f>
        <v>0</v>
      </c>
      <c r="BO33" s="24">
        <f t="shared" si="108"/>
        <v>0</v>
      </c>
      <c r="BP33" s="24">
        <f t="shared" si="108"/>
        <v>0</v>
      </c>
      <c r="BQ33" s="24">
        <f t="shared" si="108"/>
        <v>0</v>
      </c>
      <c r="BR33" s="24">
        <f t="shared" si="108"/>
        <v>0</v>
      </c>
      <c r="BS33" s="24">
        <f t="shared" si="108"/>
        <v>0</v>
      </c>
      <c r="BT33" s="24">
        <f t="shared" si="108"/>
        <v>20283.5</v>
      </c>
      <c r="BU33" s="24">
        <f t="shared" si="108"/>
        <v>0</v>
      </c>
      <c r="BV33" s="24">
        <f t="shared" si="108"/>
        <v>0</v>
      </c>
      <c r="BW33" s="24">
        <f t="shared" si="108"/>
        <v>0</v>
      </c>
      <c r="BX33" s="24">
        <f t="shared" si="108"/>
        <v>129648.55</v>
      </c>
      <c r="BY33" s="24">
        <f t="shared" si="108"/>
        <v>24736.73060836502</v>
      </c>
      <c r="BZ33" s="24">
        <f t="shared" si="108"/>
        <v>0</v>
      </c>
      <c r="CA33" s="24">
        <f t="shared" si="108"/>
        <v>0</v>
      </c>
      <c r="CB33" s="24">
        <f t="shared" si="108"/>
        <v>129648.55</v>
      </c>
      <c r="CC33" s="24">
        <f t="shared" si="108"/>
        <v>0</v>
      </c>
      <c r="CD33" s="24">
        <f t="shared" si="108"/>
        <v>-250020.6</v>
      </c>
      <c r="CE33" s="24">
        <f t="shared" si="108"/>
        <v>-250020.6</v>
      </c>
      <c r="CF33" s="24">
        <f t="shared" si="108"/>
        <v>0</v>
      </c>
      <c r="CG33" s="24">
        <f t="shared" si="108"/>
        <v>53862.88398288973</v>
      </c>
      <c r="CH33" s="24">
        <f t="shared" si="108"/>
        <v>-28620.300000000003</v>
      </c>
      <c r="CI33" s="24">
        <f t="shared" si="108"/>
        <v>-28620.300000000003</v>
      </c>
      <c r="CJ33" s="24">
        <f t="shared" si="108"/>
        <v>0</v>
      </c>
      <c r="CK33" s="24">
        <f t="shared" si="108"/>
        <v>85229.86425855513</v>
      </c>
      <c r="CL33" s="92">
        <f t="shared" si="108"/>
        <v>0</v>
      </c>
      <c r="CM33" s="92">
        <f t="shared" si="108"/>
        <v>0</v>
      </c>
      <c r="CN33" s="92">
        <f t="shared" si="108"/>
        <v>-0.58234869647213</v>
      </c>
      <c r="CO33" s="92">
        <f t="shared" si="108"/>
        <v>-0.58234869647213</v>
      </c>
      <c r="CP33" s="92">
        <f t="shared" si="108"/>
        <v>-0.08644690193650208</v>
      </c>
      <c r="CQ33" s="92">
        <f t="shared" si="108"/>
        <v>-0.08644690193650208</v>
      </c>
      <c r="CR33" s="92">
        <f t="shared" si="108"/>
        <v>0.006093726520472474</v>
      </c>
      <c r="CS33" s="92">
        <f t="shared" si="108"/>
        <v>0</v>
      </c>
      <c r="CT33" s="92">
        <f t="shared" si="108"/>
        <v>0</v>
      </c>
      <c r="CU33" s="92">
        <f t="shared" si="108"/>
        <v>0</v>
      </c>
      <c r="CV33" s="24">
        <f t="shared" si="108"/>
        <v>-71.97319052670595</v>
      </c>
      <c r="CW33" s="24">
        <f t="shared" si="108"/>
        <v>-97609.90000000001</v>
      </c>
      <c r="CX33" s="24">
        <f aca="true" t="shared" si="109" ref="CX33:DR33">MIN(CX3:CX31)</f>
        <v>85229.86425855513</v>
      </c>
      <c r="CY33" s="24">
        <f t="shared" si="109"/>
        <v>53862.88398288973</v>
      </c>
      <c r="CZ33" s="24">
        <f t="shared" si="109"/>
        <v>-250020.59999999986</v>
      </c>
      <c r="DA33" s="24">
        <f t="shared" si="109"/>
        <v>0</v>
      </c>
      <c r="DB33" s="24">
        <f t="shared" si="109"/>
        <v>-250020.59999999986</v>
      </c>
      <c r="DC33" s="24">
        <f t="shared" si="109"/>
        <v>-257041.86985807706</v>
      </c>
      <c r="DD33" s="24">
        <f t="shared" si="109"/>
        <v>0</v>
      </c>
      <c r="DE33" s="24">
        <f t="shared" si="109"/>
        <v>0</v>
      </c>
      <c r="DF33" s="24">
        <f t="shared" si="109"/>
        <v>-250020.59999999986</v>
      </c>
      <c r="DG33" s="24">
        <f>MIN(DG3:DG31)</f>
        <v>-250020.59999999986</v>
      </c>
      <c r="DH33" s="24">
        <f t="shared" si="109"/>
        <v>-51700</v>
      </c>
      <c r="DI33" s="24">
        <f t="shared" si="109"/>
        <v>-257041.86985807706</v>
      </c>
      <c r="DJ33" s="24">
        <f t="shared" si="109"/>
        <v>27452.534600760457</v>
      </c>
      <c r="DK33" s="24">
        <f t="shared" si="109"/>
        <v>-260.9890374331551</v>
      </c>
      <c r="DL33" s="24">
        <f t="shared" si="109"/>
        <v>-26.623534883720932</v>
      </c>
      <c r="DM33" s="24">
        <f t="shared" si="109"/>
        <v>158.68517110266157</v>
      </c>
      <c r="DN33" s="24">
        <f t="shared" si="109"/>
        <v>0</v>
      </c>
      <c r="DO33" s="24">
        <f t="shared" si="109"/>
        <v>-255.66859688195993</v>
      </c>
      <c r="DP33" s="24">
        <f t="shared" si="109"/>
        <v>-109365.05</v>
      </c>
      <c r="DQ33" s="169">
        <f>MIN(DQ3:DQ31)</f>
        <v>0</v>
      </c>
      <c r="DR33" s="26">
        <f t="shared" si="109"/>
        <v>0</v>
      </c>
      <c r="DT33" s="24">
        <f aca="true" t="shared" si="110" ref="DT33:EN33">MIN(DT3:DT31)</f>
        <v>0</v>
      </c>
      <c r="DU33" s="24">
        <f t="shared" si="110"/>
        <v>26</v>
      </c>
      <c r="DV33" s="24">
        <f t="shared" si="110"/>
        <v>0</v>
      </c>
      <c r="DW33" s="24">
        <f t="shared" si="110"/>
        <v>0</v>
      </c>
      <c r="DX33" s="24">
        <f t="shared" si="110"/>
        <v>0</v>
      </c>
      <c r="DY33" s="24">
        <f t="shared" si="110"/>
        <v>0</v>
      </c>
      <c r="DZ33" s="24">
        <f t="shared" si="110"/>
        <v>0</v>
      </c>
      <c r="EA33" s="24">
        <f t="shared" si="110"/>
        <v>0</v>
      </c>
      <c r="EB33" s="24">
        <f t="shared" si="110"/>
        <v>0</v>
      </c>
      <c r="EC33" s="24">
        <f t="shared" si="110"/>
        <v>0</v>
      </c>
      <c r="ED33" s="24">
        <f t="shared" si="110"/>
        <v>129648.55</v>
      </c>
      <c r="EE33" s="24">
        <f t="shared" si="110"/>
        <v>0</v>
      </c>
      <c r="EF33" s="24">
        <f t="shared" si="110"/>
        <v>0</v>
      </c>
      <c r="EG33" s="24">
        <f t="shared" si="110"/>
        <v>0</v>
      </c>
      <c r="EH33" s="24">
        <f t="shared" si="110"/>
        <v>0</v>
      </c>
      <c r="EI33" s="24">
        <f t="shared" si="110"/>
        <v>0</v>
      </c>
      <c r="EJ33" s="24">
        <f t="shared" si="110"/>
        <v>0</v>
      </c>
      <c r="EK33" s="24">
        <f t="shared" si="110"/>
        <v>0</v>
      </c>
      <c r="EL33" s="24">
        <f t="shared" si="110"/>
        <v>64591.34160480349</v>
      </c>
      <c r="EM33" s="24">
        <f t="shared" si="110"/>
        <v>129648.55</v>
      </c>
      <c r="EN33" s="24">
        <f t="shared" si="110"/>
        <v>0</v>
      </c>
    </row>
    <row r="34" spans="1:144" ht="12.75">
      <c r="A34" s="31" t="s">
        <v>48</v>
      </c>
      <c r="B34" s="24">
        <f>MAX(B3:B31)</f>
        <v>5691</v>
      </c>
      <c r="C34" s="24">
        <f aca="true" t="shared" si="111" ref="C34:AG34">MAX(C3:C31)</f>
        <v>25022999</v>
      </c>
      <c r="D34" s="25">
        <f t="shared" si="111"/>
        <v>4560.82</v>
      </c>
      <c r="E34" s="25">
        <f t="shared" si="111"/>
        <v>121.34</v>
      </c>
      <c r="F34" s="116">
        <f t="shared" si="111"/>
        <v>6</v>
      </c>
      <c r="G34" s="123">
        <f t="shared" si="111"/>
        <v>351132.48111353716</v>
      </c>
      <c r="H34" s="24">
        <f t="shared" si="111"/>
        <v>93267.9635371179</v>
      </c>
      <c r="I34" s="24">
        <f t="shared" si="111"/>
        <v>36497.55</v>
      </c>
      <c r="J34" s="24">
        <f t="shared" si="111"/>
        <v>7143.35</v>
      </c>
      <c r="K34" s="24">
        <f t="shared" si="111"/>
        <v>11700</v>
      </c>
      <c r="L34" s="24">
        <f t="shared" si="111"/>
        <v>40000</v>
      </c>
      <c r="M34" s="24">
        <f t="shared" si="111"/>
        <v>51700</v>
      </c>
      <c r="N34" s="24">
        <f t="shared" si="111"/>
        <v>0</v>
      </c>
      <c r="O34" s="24">
        <f t="shared" si="111"/>
        <v>129844.55</v>
      </c>
      <c r="P34" s="24">
        <f t="shared" si="111"/>
        <v>3573818.4614082966</v>
      </c>
      <c r="Q34" s="24">
        <f t="shared" si="111"/>
        <v>0</v>
      </c>
      <c r="R34" s="24">
        <f t="shared" si="111"/>
        <v>0</v>
      </c>
      <c r="S34" s="24">
        <f t="shared" si="111"/>
        <v>0</v>
      </c>
      <c r="T34" s="24">
        <f t="shared" si="111"/>
        <v>0</v>
      </c>
      <c r="U34" s="24">
        <f t="shared" si="111"/>
        <v>0</v>
      </c>
      <c r="V34" s="24">
        <f t="shared" si="111"/>
        <v>0</v>
      </c>
      <c r="W34" s="24">
        <f t="shared" si="111"/>
        <v>0</v>
      </c>
      <c r="X34" s="24">
        <f t="shared" si="111"/>
        <v>108492.54235807862</v>
      </c>
      <c r="Y34" s="24">
        <f t="shared" si="111"/>
        <v>4142643.8076419206</v>
      </c>
      <c r="Z34" s="24">
        <f t="shared" si="111"/>
        <v>1307543.0184497817</v>
      </c>
      <c r="AA34" s="24">
        <f t="shared" si="111"/>
        <v>340390.3</v>
      </c>
      <c r="AB34" s="24">
        <f t="shared" si="111"/>
        <v>0</v>
      </c>
      <c r="AC34" s="24">
        <f t="shared" si="111"/>
        <v>49419.438700873354</v>
      </c>
      <c r="AD34" s="24">
        <f t="shared" si="111"/>
        <v>0</v>
      </c>
      <c r="AE34" s="24">
        <f t="shared" si="111"/>
        <v>1520391.2112445417</v>
      </c>
      <c r="AF34" s="24">
        <f t="shared" si="111"/>
        <v>0</v>
      </c>
      <c r="AG34" s="24">
        <f t="shared" si="111"/>
        <v>45804.8</v>
      </c>
      <c r="AH34" s="24">
        <f aca="true" t="shared" si="112" ref="AH34:BM34">MAX(AH3:AH31)</f>
        <v>8571.8</v>
      </c>
      <c r="AI34" s="24">
        <f t="shared" si="112"/>
        <v>2211940.700338428</v>
      </c>
      <c r="AJ34" s="24">
        <f t="shared" si="112"/>
        <v>0</v>
      </c>
      <c r="AK34" s="24">
        <f t="shared" si="112"/>
        <v>309070.8</v>
      </c>
      <c r="AL34" s="24">
        <f t="shared" si="112"/>
        <v>4305.8</v>
      </c>
      <c r="AM34" s="24">
        <f t="shared" si="112"/>
        <v>0</v>
      </c>
      <c r="AN34" s="24">
        <f t="shared" si="112"/>
        <v>0</v>
      </c>
      <c r="AO34" s="24">
        <f t="shared" si="112"/>
        <v>0</v>
      </c>
      <c r="AP34" s="24">
        <f t="shared" si="112"/>
        <v>0</v>
      </c>
      <c r="AQ34" s="24">
        <f t="shared" si="112"/>
        <v>0</v>
      </c>
      <c r="AR34" s="24">
        <f t="shared" si="112"/>
        <v>0</v>
      </c>
      <c r="AS34" s="24">
        <f t="shared" si="112"/>
        <v>0</v>
      </c>
      <c r="AT34" s="24">
        <f t="shared" si="112"/>
        <v>108492.54235807862</v>
      </c>
      <c r="AU34" s="24">
        <f t="shared" si="112"/>
        <v>3885601.9377838434</v>
      </c>
      <c r="AV34" s="24">
        <f t="shared" si="112"/>
        <v>288900.4</v>
      </c>
      <c r="AW34" s="24">
        <f t="shared" si="112"/>
        <v>257041.8698580786</v>
      </c>
      <c r="AX34" s="24">
        <f t="shared" si="112"/>
        <v>2.6193447411060333E-10</v>
      </c>
      <c r="AY34" s="24">
        <f t="shared" si="112"/>
        <v>2397.7</v>
      </c>
      <c r="AZ34" s="24">
        <f t="shared" si="112"/>
        <v>0</v>
      </c>
      <c r="BA34" s="24">
        <f t="shared" si="112"/>
        <v>0</v>
      </c>
      <c r="BB34" s="24">
        <f t="shared" si="112"/>
        <v>0</v>
      </c>
      <c r="BC34" s="24">
        <f t="shared" si="112"/>
        <v>0</v>
      </c>
      <c r="BD34" s="24">
        <f t="shared" si="112"/>
        <v>0</v>
      </c>
      <c r="BE34" s="24">
        <f t="shared" si="112"/>
        <v>0</v>
      </c>
      <c r="BF34" s="24">
        <f t="shared" si="112"/>
        <v>0</v>
      </c>
      <c r="BG34" s="24">
        <f t="shared" si="112"/>
        <v>0</v>
      </c>
      <c r="BH34" s="24">
        <f t="shared" si="112"/>
        <v>0</v>
      </c>
      <c r="BI34" s="24">
        <f t="shared" si="112"/>
        <v>0</v>
      </c>
      <c r="BJ34" s="24">
        <f t="shared" si="112"/>
        <v>0</v>
      </c>
      <c r="BK34" s="24">
        <f t="shared" si="112"/>
        <v>0</v>
      </c>
      <c r="BL34" s="24">
        <f t="shared" si="112"/>
        <v>0</v>
      </c>
      <c r="BM34" s="24">
        <f t="shared" si="112"/>
        <v>0</v>
      </c>
      <c r="BN34" s="24">
        <f aca="true" t="shared" si="113" ref="BN34:CW34">MAX(BN3:BN31)</f>
        <v>0</v>
      </c>
      <c r="BO34" s="24">
        <f t="shared" si="113"/>
        <v>0</v>
      </c>
      <c r="BP34" s="24">
        <f t="shared" si="113"/>
        <v>0</v>
      </c>
      <c r="BQ34" s="24">
        <f t="shared" si="113"/>
        <v>0</v>
      </c>
      <c r="BR34" s="24">
        <f t="shared" si="113"/>
        <v>0</v>
      </c>
      <c r="BS34" s="24">
        <f t="shared" si="113"/>
        <v>0</v>
      </c>
      <c r="BT34" s="24">
        <f t="shared" si="113"/>
        <v>2312609.75</v>
      </c>
      <c r="BU34" s="24">
        <f t="shared" si="113"/>
        <v>74047.7566539924</v>
      </c>
      <c r="BV34" s="24">
        <f t="shared" si="113"/>
        <v>0</v>
      </c>
      <c r="BW34" s="24">
        <f t="shared" si="113"/>
        <v>80025.45</v>
      </c>
      <c r="BX34" s="24">
        <f t="shared" si="113"/>
        <v>2312609.75</v>
      </c>
      <c r="BY34" s="24">
        <f t="shared" si="113"/>
        <v>1354774.351080786</v>
      </c>
      <c r="BZ34" s="24">
        <f t="shared" si="113"/>
        <v>11755.15</v>
      </c>
      <c r="CA34" s="24">
        <f t="shared" si="113"/>
        <v>1200036.15</v>
      </c>
      <c r="CB34" s="24">
        <f t="shared" si="113"/>
        <v>2312609.75</v>
      </c>
      <c r="CC34" s="24">
        <f t="shared" si="113"/>
        <v>0</v>
      </c>
      <c r="CD34" s="24">
        <f t="shared" si="113"/>
        <v>288900.4</v>
      </c>
      <c r="CE34" s="24">
        <f t="shared" si="113"/>
        <v>288900.4</v>
      </c>
      <c r="CF34" s="24">
        <f t="shared" si="113"/>
        <v>0</v>
      </c>
      <c r="CG34" s="24">
        <f t="shared" si="113"/>
        <v>3777109.395425765</v>
      </c>
      <c r="CH34" s="24">
        <f t="shared" si="113"/>
        <v>3526.6000000000004</v>
      </c>
      <c r="CI34" s="24">
        <f t="shared" si="113"/>
        <v>15226.6</v>
      </c>
      <c r="CJ34" s="24">
        <f t="shared" si="113"/>
        <v>760998</v>
      </c>
      <c r="CK34" s="24">
        <f t="shared" si="113"/>
        <v>4026358.713537117</v>
      </c>
      <c r="CL34" s="92">
        <f t="shared" si="113"/>
        <v>0</v>
      </c>
      <c r="CM34" s="92">
        <f t="shared" si="113"/>
        <v>0</v>
      </c>
      <c r="CN34" s="92">
        <f t="shared" si="113"/>
        <v>0.13064126427748615</v>
      </c>
      <c r="CO34" s="92">
        <f t="shared" si="113"/>
        <v>0.13064126427748615</v>
      </c>
      <c r="CP34" s="92">
        <f t="shared" si="113"/>
        <v>0.028340822469628896</v>
      </c>
      <c r="CQ34" s="92">
        <f t="shared" si="113"/>
        <v>0.03264410100432075</v>
      </c>
      <c r="CR34" s="92">
        <f t="shared" si="113"/>
        <v>1.246174314566802</v>
      </c>
      <c r="CS34" s="92">
        <f t="shared" si="113"/>
        <v>0</v>
      </c>
      <c r="CT34" s="92">
        <f t="shared" si="113"/>
        <v>0.44188034188034186</v>
      </c>
      <c r="CU34" s="92">
        <f t="shared" si="113"/>
        <v>0.39999999999999997</v>
      </c>
      <c r="CV34" s="24">
        <f t="shared" si="113"/>
        <v>107.65504326256722</v>
      </c>
      <c r="CW34" s="24">
        <f t="shared" si="113"/>
        <v>1200036.15</v>
      </c>
      <c r="CX34" s="24">
        <f aca="true" t="shared" si="114" ref="CX34:DR34">MAX(CX3:CX31)</f>
        <v>4134851.2558951955</v>
      </c>
      <c r="CY34" s="24">
        <f t="shared" si="114"/>
        <v>3885601.9377838434</v>
      </c>
      <c r="CZ34" s="24">
        <f t="shared" si="114"/>
        <v>288900.3999999999</v>
      </c>
      <c r="DA34" s="24">
        <f t="shared" si="114"/>
        <v>0</v>
      </c>
      <c r="DB34" s="24">
        <f t="shared" si="114"/>
        <v>288900.3999999999</v>
      </c>
      <c r="DC34" s="24">
        <f t="shared" si="114"/>
        <v>288900.3999999999</v>
      </c>
      <c r="DD34" s="24">
        <f t="shared" si="114"/>
        <v>0</v>
      </c>
      <c r="DE34" s="24">
        <f t="shared" si="114"/>
        <v>51700</v>
      </c>
      <c r="DF34" s="24">
        <f t="shared" si="114"/>
        <v>288900.3999999999</v>
      </c>
      <c r="DG34" s="24">
        <f>MAX(DG3:DG31)</f>
        <v>288900.3999999999</v>
      </c>
      <c r="DH34" s="24">
        <f t="shared" si="114"/>
        <v>0</v>
      </c>
      <c r="DI34" s="24">
        <f t="shared" si="114"/>
        <v>288900.3999999999</v>
      </c>
      <c r="DJ34" s="24">
        <f t="shared" si="114"/>
        <v>1470971.7725436683</v>
      </c>
      <c r="DK34" s="24">
        <f t="shared" si="114"/>
        <v>1043.8528372093026</v>
      </c>
      <c r="DL34" s="24">
        <f t="shared" si="114"/>
        <v>7.509491978609626</v>
      </c>
      <c r="DM34" s="24">
        <f t="shared" si="114"/>
        <v>308.1099671135846</v>
      </c>
      <c r="DN34" s="24">
        <f t="shared" si="114"/>
        <v>0</v>
      </c>
      <c r="DO34" s="24">
        <f t="shared" si="114"/>
        <v>73.08383506197822</v>
      </c>
      <c r="DP34" s="24">
        <f t="shared" si="114"/>
        <v>1200036.15</v>
      </c>
      <c r="DQ34" s="169">
        <f>MAX(DQ3:DQ31)</f>
        <v>0</v>
      </c>
      <c r="DR34" s="26">
        <f t="shared" si="114"/>
        <v>0</v>
      </c>
      <c r="DT34" s="24">
        <f aca="true" t="shared" si="115" ref="DT34:EN34">MAX(DT3:DT31)</f>
        <v>1052305.4849344979</v>
      </c>
      <c r="DU34" s="24">
        <f t="shared" si="115"/>
        <v>452476.6588427947</v>
      </c>
      <c r="DV34" s="24">
        <f t="shared" si="115"/>
        <v>1815440.95</v>
      </c>
      <c r="DW34" s="24">
        <f t="shared" si="115"/>
        <v>222596.45</v>
      </c>
      <c r="DX34" s="24">
        <f t="shared" si="115"/>
        <v>11688.827620087337</v>
      </c>
      <c r="DY34" s="24">
        <f t="shared" si="115"/>
        <v>74047.15779467681</v>
      </c>
      <c r="DZ34" s="24">
        <f t="shared" si="115"/>
        <v>65300</v>
      </c>
      <c r="EA34" s="24">
        <f t="shared" si="115"/>
        <v>0</v>
      </c>
      <c r="EB34" s="24">
        <f t="shared" si="115"/>
        <v>0</v>
      </c>
      <c r="EC34" s="24">
        <f t="shared" si="115"/>
        <v>80025.45</v>
      </c>
      <c r="ED34" s="24">
        <f t="shared" si="115"/>
        <v>2312609.75</v>
      </c>
      <c r="EE34" s="24">
        <f t="shared" si="115"/>
        <v>405456.45</v>
      </c>
      <c r="EF34" s="24">
        <f t="shared" si="115"/>
        <v>100000</v>
      </c>
      <c r="EG34" s="24">
        <f t="shared" si="115"/>
        <v>532532.7510917031</v>
      </c>
      <c r="EH34" s="24">
        <f t="shared" si="115"/>
        <v>760998</v>
      </c>
      <c r="EI34" s="24">
        <f t="shared" si="115"/>
        <v>0</v>
      </c>
      <c r="EJ34" s="24">
        <f t="shared" si="115"/>
        <v>822241.599989083</v>
      </c>
      <c r="EK34" s="24">
        <f t="shared" si="115"/>
        <v>11755.15</v>
      </c>
      <c r="EL34" s="24">
        <f t="shared" si="115"/>
        <v>1200036.15</v>
      </c>
      <c r="EM34" s="24">
        <f t="shared" si="115"/>
        <v>2312609.75</v>
      </c>
      <c r="EN34" s="24">
        <f t="shared" si="115"/>
        <v>0</v>
      </c>
    </row>
    <row r="35" spans="1:144" ht="13.5" thickBot="1">
      <c r="A35" s="32" t="s">
        <v>49</v>
      </c>
      <c r="B35" s="27">
        <f>MEDIAN(B3:B31)</f>
        <v>721</v>
      </c>
      <c r="C35" s="27">
        <f aca="true" t="shared" si="116" ref="C35:AG35">MEDIAN(C3:C31)</f>
        <v>2076591</v>
      </c>
      <c r="D35" s="28">
        <f t="shared" si="116"/>
        <v>3283.83</v>
      </c>
      <c r="E35" s="28">
        <f t="shared" si="116"/>
        <v>87.37</v>
      </c>
      <c r="F35" s="117">
        <f t="shared" si="116"/>
        <v>4</v>
      </c>
      <c r="G35" s="124">
        <f t="shared" si="116"/>
        <v>12249.936787072245</v>
      </c>
      <c r="H35" s="27">
        <f t="shared" si="116"/>
        <v>4254.3</v>
      </c>
      <c r="I35" s="27">
        <f t="shared" si="116"/>
        <v>0</v>
      </c>
      <c r="J35" s="27">
        <f t="shared" si="116"/>
        <v>0</v>
      </c>
      <c r="K35" s="27">
        <f t="shared" si="116"/>
        <v>0</v>
      </c>
      <c r="L35" s="27">
        <f t="shared" si="116"/>
        <v>0</v>
      </c>
      <c r="M35" s="27">
        <f t="shared" si="116"/>
        <v>0</v>
      </c>
      <c r="N35" s="27">
        <f t="shared" si="116"/>
        <v>0</v>
      </c>
      <c r="O35" s="27">
        <f t="shared" si="116"/>
        <v>0</v>
      </c>
      <c r="P35" s="27">
        <f t="shared" si="116"/>
        <v>295932.9781368821</v>
      </c>
      <c r="Q35" s="27">
        <f t="shared" si="116"/>
        <v>0</v>
      </c>
      <c r="R35" s="27">
        <f t="shared" si="116"/>
        <v>0</v>
      </c>
      <c r="S35" s="27">
        <f t="shared" si="116"/>
        <v>0</v>
      </c>
      <c r="T35" s="27">
        <f t="shared" si="116"/>
        <v>0</v>
      </c>
      <c r="U35" s="27">
        <f t="shared" si="116"/>
        <v>0</v>
      </c>
      <c r="V35" s="27">
        <f t="shared" si="116"/>
        <v>0</v>
      </c>
      <c r="W35" s="27">
        <f t="shared" si="116"/>
        <v>0</v>
      </c>
      <c r="X35" s="27">
        <f t="shared" si="116"/>
        <v>0</v>
      </c>
      <c r="Y35" s="27">
        <f t="shared" si="116"/>
        <v>310374.65019011404</v>
      </c>
      <c r="Z35" s="27">
        <f t="shared" si="116"/>
        <v>98483.46245247147</v>
      </c>
      <c r="AA35" s="27">
        <f t="shared" si="116"/>
        <v>7781.9</v>
      </c>
      <c r="AB35" s="27">
        <f t="shared" si="116"/>
        <v>0</v>
      </c>
      <c r="AC35" s="27">
        <f t="shared" si="116"/>
        <v>5470.789448669201</v>
      </c>
      <c r="AD35" s="27">
        <f t="shared" si="116"/>
        <v>0</v>
      </c>
      <c r="AE35" s="27">
        <f t="shared" si="116"/>
        <v>136392.15</v>
      </c>
      <c r="AF35" s="27">
        <f t="shared" si="116"/>
        <v>0</v>
      </c>
      <c r="AG35" s="27">
        <f t="shared" si="116"/>
        <v>1450.5</v>
      </c>
      <c r="AH35" s="27">
        <f aca="true" t="shared" si="117" ref="AH35:BM35">MEDIAN(AH3:AH31)</f>
        <v>0</v>
      </c>
      <c r="AI35" s="27">
        <f t="shared" si="117"/>
        <v>85021.49429657795</v>
      </c>
      <c r="AJ35" s="27">
        <f t="shared" si="117"/>
        <v>0</v>
      </c>
      <c r="AK35" s="27">
        <f t="shared" si="117"/>
        <v>0</v>
      </c>
      <c r="AL35" s="27">
        <f t="shared" si="117"/>
        <v>0</v>
      </c>
      <c r="AM35" s="27">
        <f t="shared" si="117"/>
        <v>0</v>
      </c>
      <c r="AN35" s="27">
        <f t="shared" si="117"/>
        <v>0</v>
      </c>
      <c r="AO35" s="27">
        <f t="shared" si="117"/>
        <v>0</v>
      </c>
      <c r="AP35" s="27">
        <f t="shared" si="117"/>
        <v>0</v>
      </c>
      <c r="AQ35" s="27">
        <f t="shared" si="117"/>
        <v>0</v>
      </c>
      <c r="AR35" s="27">
        <f t="shared" si="117"/>
        <v>0</v>
      </c>
      <c r="AS35" s="27">
        <f t="shared" si="117"/>
        <v>0</v>
      </c>
      <c r="AT35" s="27">
        <f t="shared" si="117"/>
        <v>0</v>
      </c>
      <c r="AU35" s="27">
        <f t="shared" si="117"/>
        <v>213196.8</v>
      </c>
      <c r="AV35" s="27">
        <f t="shared" si="117"/>
        <v>0</v>
      </c>
      <c r="AW35" s="27">
        <f t="shared" si="117"/>
        <v>31366.980275665403</v>
      </c>
      <c r="AX35" s="27">
        <f t="shared" si="117"/>
        <v>0</v>
      </c>
      <c r="AY35" s="27">
        <f t="shared" si="117"/>
        <v>0</v>
      </c>
      <c r="AZ35" s="27">
        <f t="shared" si="117"/>
        <v>0</v>
      </c>
      <c r="BA35" s="27">
        <f t="shared" si="117"/>
        <v>0</v>
      </c>
      <c r="BB35" s="27">
        <f t="shared" si="117"/>
        <v>0</v>
      </c>
      <c r="BC35" s="27">
        <f t="shared" si="117"/>
        <v>0</v>
      </c>
      <c r="BD35" s="27">
        <f t="shared" si="117"/>
        <v>0</v>
      </c>
      <c r="BE35" s="27">
        <f t="shared" si="117"/>
        <v>0</v>
      </c>
      <c r="BF35" s="27">
        <f t="shared" si="117"/>
        <v>0</v>
      </c>
      <c r="BG35" s="27">
        <f t="shared" si="117"/>
        <v>0</v>
      </c>
      <c r="BH35" s="27">
        <f t="shared" si="117"/>
        <v>0</v>
      </c>
      <c r="BI35" s="27">
        <f t="shared" si="117"/>
        <v>0</v>
      </c>
      <c r="BJ35" s="27">
        <f t="shared" si="117"/>
        <v>0</v>
      </c>
      <c r="BK35" s="27">
        <f t="shared" si="117"/>
        <v>0</v>
      </c>
      <c r="BL35" s="27">
        <f t="shared" si="117"/>
        <v>0</v>
      </c>
      <c r="BM35" s="27">
        <f t="shared" si="117"/>
        <v>0</v>
      </c>
      <c r="BN35" s="27">
        <f aca="true" t="shared" si="118" ref="BN35:CW35">MEDIAN(BN3:BN31)</f>
        <v>0</v>
      </c>
      <c r="BO35" s="27">
        <f t="shared" si="118"/>
        <v>0</v>
      </c>
      <c r="BP35" s="27">
        <f t="shared" si="118"/>
        <v>0</v>
      </c>
      <c r="BQ35" s="27">
        <f t="shared" si="118"/>
        <v>0</v>
      </c>
      <c r="BR35" s="27">
        <f t="shared" si="118"/>
        <v>0</v>
      </c>
      <c r="BS35" s="27">
        <f t="shared" si="118"/>
        <v>0</v>
      </c>
      <c r="BT35" s="27">
        <f t="shared" si="118"/>
        <v>288720.7</v>
      </c>
      <c r="BU35" s="27">
        <f t="shared" si="118"/>
        <v>0</v>
      </c>
      <c r="BV35" s="27">
        <f t="shared" si="118"/>
        <v>0</v>
      </c>
      <c r="BW35" s="27">
        <f t="shared" si="118"/>
        <v>0</v>
      </c>
      <c r="BX35" s="27">
        <f t="shared" si="118"/>
        <v>350354.69</v>
      </c>
      <c r="BY35" s="27">
        <f t="shared" si="118"/>
        <v>106083.77999999998</v>
      </c>
      <c r="BZ35" s="27">
        <f t="shared" si="118"/>
        <v>0</v>
      </c>
      <c r="CA35" s="27">
        <f t="shared" si="118"/>
        <v>189358.30813688211</v>
      </c>
      <c r="CB35" s="27">
        <f t="shared" si="118"/>
        <v>350354.69</v>
      </c>
      <c r="CC35" s="27">
        <f t="shared" si="118"/>
        <v>0</v>
      </c>
      <c r="CD35" s="27">
        <f t="shared" si="118"/>
        <v>-31366.980275665403</v>
      </c>
      <c r="CE35" s="27">
        <f t="shared" si="118"/>
        <v>-31366.980275665403</v>
      </c>
      <c r="CF35" s="27">
        <f t="shared" si="118"/>
        <v>0</v>
      </c>
      <c r="CG35" s="27">
        <f t="shared" si="118"/>
        <v>213196.8</v>
      </c>
      <c r="CH35" s="27">
        <f t="shared" si="118"/>
        <v>-1367.563355513308</v>
      </c>
      <c r="CI35" s="27">
        <f t="shared" si="118"/>
        <v>-1367.563355513308</v>
      </c>
      <c r="CJ35" s="27">
        <f t="shared" si="118"/>
        <v>20004.85</v>
      </c>
      <c r="CK35" s="27">
        <f t="shared" si="118"/>
        <v>310374.65019011404</v>
      </c>
      <c r="CL35" s="93" t="e">
        <f t="shared" si="118"/>
        <v>#NUM!</v>
      </c>
      <c r="CM35" s="93" t="e">
        <f t="shared" si="118"/>
        <v>#NUM!</v>
      </c>
      <c r="CN35" s="93">
        <f t="shared" si="118"/>
        <v>-0.1540475244592174</v>
      </c>
      <c r="CO35" s="93">
        <f t="shared" si="118"/>
        <v>-0.1540475244592174</v>
      </c>
      <c r="CP35" s="93">
        <f t="shared" si="118"/>
        <v>-0.005566085835565184</v>
      </c>
      <c r="CQ35" s="93">
        <f t="shared" si="118"/>
        <v>-0.004101278704941546</v>
      </c>
      <c r="CR35" s="93">
        <f t="shared" si="118"/>
        <v>0.14098949628957588</v>
      </c>
      <c r="CS35" s="93" t="e">
        <f t="shared" si="118"/>
        <v>#NUM!</v>
      </c>
      <c r="CT35" s="93">
        <f t="shared" si="118"/>
        <v>0</v>
      </c>
      <c r="CU35" s="93">
        <f t="shared" si="118"/>
        <v>0</v>
      </c>
      <c r="CV35" s="27">
        <f t="shared" si="118"/>
        <v>-1.9985763834770471</v>
      </c>
      <c r="CW35" s="27">
        <f t="shared" si="118"/>
        <v>160091.81384030418</v>
      </c>
      <c r="CX35" s="27">
        <f aca="true" t="shared" si="119" ref="CX35:DR35">MEDIAN(CX3:CX31)</f>
        <v>310374.65019011404</v>
      </c>
      <c r="CY35" s="27">
        <f t="shared" si="119"/>
        <v>213196.8</v>
      </c>
      <c r="CZ35" s="27">
        <f t="shared" si="119"/>
        <v>-31366.980275665395</v>
      </c>
      <c r="DA35" s="27">
        <f t="shared" si="119"/>
        <v>0</v>
      </c>
      <c r="DB35" s="27">
        <f t="shared" si="119"/>
        <v>-31366.980275665395</v>
      </c>
      <c r="DC35" s="27">
        <f t="shared" si="119"/>
        <v>-31366.980275665395</v>
      </c>
      <c r="DD35" s="27">
        <f t="shared" si="119"/>
        <v>0</v>
      </c>
      <c r="DE35" s="27">
        <f t="shared" si="119"/>
        <v>0</v>
      </c>
      <c r="DF35" s="27">
        <f t="shared" si="119"/>
        <v>-31366.980275665395</v>
      </c>
      <c r="DG35" s="27">
        <f>MEDIAN(DG3:DG31)</f>
        <v>-31366.980275665395</v>
      </c>
      <c r="DH35" s="27">
        <f t="shared" si="119"/>
        <v>0</v>
      </c>
      <c r="DI35" s="27">
        <f t="shared" si="119"/>
        <v>-31366.980275665395</v>
      </c>
      <c r="DJ35" s="27">
        <f t="shared" si="119"/>
        <v>130643.5</v>
      </c>
      <c r="DK35" s="27">
        <f t="shared" si="119"/>
        <v>279.19581045172714</v>
      </c>
      <c r="DL35" s="27">
        <f t="shared" si="119"/>
        <v>-1.8856948228882833</v>
      </c>
      <c r="DM35" s="27">
        <f t="shared" si="119"/>
        <v>212.5570754716981</v>
      </c>
      <c r="DN35" s="27">
        <f t="shared" si="119"/>
        <v>0</v>
      </c>
      <c r="DO35" s="27">
        <f t="shared" si="119"/>
        <v>-57.35853391684903</v>
      </c>
      <c r="DP35" s="27">
        <f t="shared" si="119"/>
        <v>160091.81384030418</v>
      </c>
      <c r="DQ35" s="170">
        <f>MEDIAN(DQ3:DQ31)</f>
        <v>0</v>
      </c>
      <c r="DR35" s="30" t="e">
        <f t="shared" si="119"/>
        <v>#NUM!</v>
      </c>
      <c r="DT35" s="27">
        <f aca="true" t="shared" si="120" ref="DT35:EN35">MEDIAN(DT3:DT31)</f>
        <v>122715.82</v>
      </c>
      <c r="DU35" s="27">
        <f t="shared" si="120"/>
        <v>43365.03792775665</v>
      </c>
      <c r="DV35" s="27">
        <f t="shared" si="120"/>
        <v>82351.45</v>
      </c>
      <c r="DW35" s="27">
        <f t="shared" si="120"/>
        <v>0</v>
      </c>
      <c r="DX35" s="27">
        <f t="shared" si="120"/>
        <v>0</v>
      </c>
      <c r="DY35" s="27">
        <f t="shared" si="120"/>
        <v>0</v>
      </c>
      <c r="DZ35" s="27">
        <f t="shared" si="120"/>
        <v>0</v>
      </c>
      <c r="EA35" s="27">
        <f t="shared" si="120"/>
        <v>0</v>
      </c>
      <c r="EB35" s="27">
        <f t="shared" si="120"/>
        <v>0</v>
      </c>
      <c r="EC35" s="27">
        <f t="shared" si="120"/>
        <v>0</v>
      </c>
      <c r="ED35" s="27">
        <f t="shared" si="120"/>
        <v>350354.69</v>
      </c>
      <c r="EE35" s="27">
        <f t="shared" si="120"/>
        <v>65907.5</v>
      </c>
      <c r="EF35" s="27">
        <f t="shared" si="120"/>
        <v>0</v>
      </c>
      <c r="EG35" s="27">
        <f t="shared" si="120"/>
        <v>0</v>
      </c>
      <c r="EH35" s="27">
        <f t="shared" si="120"/>
        <v>0</v>
      </c>
      <c r="EI35" s="27">
        <f t="shared" si="120"/>
        <v>0</v>
      </c>
      <c r="EJ35" s="27">
        <f t="shared" si="120"/>
        <v>4982.95</v>
      </c>
      <c r="EK35" s="27">
        <f t="shared" si="120"/>
        <v>0</v>
      </c>
      <c r="EL35" s="27">
        <f t="shared" si="120"/>
        <v>219536.77</v>
      </c>
      <c r="EM35" s="27">
        <f t="shared" si="120"/>
        <v>350354.69</v>
      </c>
      <c r="EN35" s="27">
        <f t="shared" si="120"/>
        <v>0</v>
      </c>
    </row>
    <row r="36" spans="121:144" ht="12.75">
      <c r="DQ36" s="161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</row>
    <row r="37" spans="1:144" ht="12.75">
      <c r="A37" s="3" t="s">
        <v>235</v>
      </c>
      <c r="B37" s="150">
        <f>SUM(B3:B31)</f>
        <v>38273</v>
      </c>
      <c r="C37" s="150">
        <f>SUM(C3:C31)</f>
        <v>143851498</v>
      </c>
      <c r="D37" s="150">
        <f>D35</f>
        <v>3283.83</v>
      </c>
      <c r="E37" s="151">
        <f>E35</f>
        <v>87.37</v>
      </c>
      <c r="F37" s="150">
        <f aca="true" t="shared" si="121" ref="F37:AW37">SUM(F3:F31)</f>
        <v>100</v>
      </c>
      <c r="G37" s="150">
        <f t="shared" si="121"/>
        <v>1028002.2499999999</v>
      </c>
      <c r="H37" s="150">
        <f t="shared" si="121"/>
        <v>282913.39999999997</v>
      </c>
      <c r="I37" s="150">
        <f t="shared" si="121"/>
        <v>55819.49999999999</v>
      </c>
      <c r="J37" s="150">
        <f t="shared" si="121"/>
        <v>8308.800000000001</v>
      </c>
      <c r="K37" s="150">
        <f t="shared" si="121"/>
        <v>20479.8</v>
      </c>
      <c r="L37" s="150">
        <f t="shared" si="121"/>
        <v>40000</v>
      </c>
      <c r="M37" s="150">
        <f t="shared" si="121"/>
        <v>60479.799999999996</v>
      </c>
      <c r="N37" s="150">
        <f t="shared" si="121"/>
        <v>0</v>
      </c>
      <c r="O37" s="150">
        <f t="shared" si="121"/>
        <v>138004.95</v>
      </c>
      <c r="P37" s="150">
        <f t="shared" si="121"/>
        <v>13272219.05</v>
      </c>
      <c r="Q37" s="150">
        <f t="shared" si="121"/>
        <v>0</v>
      </c>
      <c r="R37" s="150">
        <f t="shared" si="121"/>
        <v>0</v>
      </c>
      <c r="S37" s="150">
        <f t="shared" si="121"/>
        <v>0</v>
      </c>
      <c r="T37" s="150">
        <f t="shared" si="121"/>
        <v>0</v>
      </c>
      <c r="U37" s="150">
        <f t="shared" si="121"/>
        <v>0</v>
      </c>
      <c r="V37" s="150">
        <f t="shared" si="121"/>
        <v>0</v>
      </c>
      <c r="W37" s="150">
        <f t="shared" si="121"/>
        <v>0</v>
      </c>
      <c r="X37" s="150">
        <f t="shared" si="121"/>
        <v>210742.6</v>
      </c>
      <c r="Y37" s="150">
        <f t="shared" si="121"/>
        <v>15056490.35</v>
      </c>
      <c r="Z37" s="150">
        <f t="shared" si="121"/>
        <v>5663647.600000001</v>
      </c>
      <c r="AA37" s="150">
        <f t="shared" si="121"/>
        <v>920132.1</v>
      </c>
      <c r="AB37" s="150">
        <f t="shared" si="121"/>
        <v>0</v>
      </c>
      <c r="AC37" s="150">
        <f t="shared" si="121"/>
        <v>237779.45</v>
      </c>
      <c r="AD37" s="150">
        <f t="shared" si="121"/>
        <v>0</v>
      </c>
      <c r="AE37" s="150">
        <f t="shared" si="121"/>
        <v>6821559.150000001</v>
      </c>
      <c r="AF37" s="150">
        <f t="shared" si="121"/>
        <v>0</v>
      </c>
      <c r="AG37" s="150">
        <f t="shared" si="121"/>
        <v>157319.84999999998</v>
      </c>
      <c r="AH37" s="150">
        <f t="shared" si="121"/>
        <v>8571.8</v>
      </c>
      <c r="AI37" s="150">
        <f t="shared" si="121"/>
        <v>6398102.209999998</v>
      </c>
      <c r="AJ37" s="150">
        <f t="shared" si="121"/>
        <v>-17.55</v>
      </c>
      <c r="AK37" s="150">
        <f t="shared" si="121"/>
        <v>359920.2</v>
      </c>
      <c r="AL37" s="150">
        <f t="shared" si="121"/>
        <v>5481.35</v>
      </c>
      <c r="AM37" s="150">
        <f t="shared" si="121"/>
        <v>0</v>
      </c>
      <c r="AN37" s="150">
        <f t="shared" si="121"/>
        <v>0</v>
      </c>
      <c r="AO37" s="150">
        <f t="shared" si="121"/>
        <v>0</v>
      </c>
      <c r="AP37" s="150">
        <f t="shared" si="121"/>
        <v>0</v>
      </c>
      <c r="AQ37" s="150">
        <f t="shared" si="121"/>
        <v>0</v>
      </c>
      <c r="AR37" s="150">
        <f t="shared" si="121"/>
        <v>0</v>
      </c>
      <c r="AS37" s="150">
        <f t="shared" si="121"/>
        <v>0</v>
      </c>
      <c r="AT37" s="150">
        <f t="shared" si="121"/>
        <v>210742.6</v>
      </c>
      <c r="AU37" s="150">
        <f t="shared" si="121"/>
        <v>13953107.809999999</v>
      </c>
      <c r="AV37" s="150">
        <f t="shared" si="121"/>
        <v>333391.22000000003</v>
      </c>
      <c r="AW37" s="150">
        <f t="shared" si="121"/>
        <v>1436773.76</v>
      </c>
      <c r="AX37" s="4">
        <f>Y37-AU37+AV37-AW37</f>
        <v>0</v>
      </c>
      <c r="AY37" s="150">
        <f aca="true" t="shared" si="122" ref="AY37:BR37">SUM(AY3:AY31)</f>
        <v>2397.7</v>
      </c>
      <c r="AZ37" s="150">
        <f t="shared" si="122"/>
        <v>0</v>
      </c>
      <c r="BA37" s="150">
        <f t="shared" si="122"/>
        <v>0</v>
      </c>
      <c r="BB37" s="150">
        <f t="shared" si="122"/>
        <v>0</v>
      </c>
      <c r="BC37" s="150">
        <f t="shared" si="122"/>
        <v>0</v>
      </c>
      <c r="BD37" s="150">
        <f t="shared" si="122"/>
        <v>0</v>
      </c>
      <c r="BE37" s="150">
        <f t="shared" si="122"/>
        <v>0</v>
      </c>
      <c r="BF37" s="150">
        <f t="shared" si="122"/>
        <v>0</v>
      </c>
      <c r="BG37" s="150">
        <f t="shared" si="122"/>
        <v>0</v>
      </c>
      <c r="BH37" s="150">
        <f t="shared" si="122"/>
        <v>0</v>
      </c>
      <c r="BI37" s="150">
        <f t="shared" si="122"/>
        <v>0</v>
      </c>
      <c r="BJ37" s="150">
        <f t="shared" si="122"/>
        <v>0</v>
      </c>
      <c r="BK37" s="150">
        <f t="shared" si="122"/>
        <v>0</v>
      </c>
      <c r="BL37" s="150">
        <f t="shared" si="122"/>
        <v>0</v>
      </c>
      <c r="BM37" s="150">
        <f t="shared" si="122"/>
        <v>0</v>
      </c>
      <c r="BN37" s="150">
        <f t="shared" si="122"/>
        <v>0</v>
      </c>
      <c r="BO37" s="150">
        <f t="shared" si="122"/>
        <v>0</v>
      </c>
      <c r="BP37" s="150">
        <f t="shared" si="122"/>
        <v>0</v>
      </c>
      <c r="BQ37" s="150">
        <f t="shared" si="122"/>
        <v>0</v>
      </c>
      <c r="BR37" s="150">
        <f t="shared" si="122"/>
        <v>0</v>
      </c>
      <c r="BS37" s="43">
        <f>+BF37-BO37+BP37+BQ37-BR37</f>
        <v>0</v>
      </c>
      <c r="BT37" s="150">
        <f aca="true" t="shared" si="123" ref="BT37:CB37">SUM(BT3:BT31)</f>
        <v>11463756.899999997</v>
      </c>
      <c r="BU37" s="150">
        <f t="shared" si="123"/>
        <v>247118.7</v>
      </c>
      <c r="BV37" s="150">
        <f t="shared" si="123"/>
        <v>0</v>
      </c>
      <c r="BW37" s="150">
        <f t="shared" si="123"/>
        <v>144390.5</v>
      </c>
      <c r="BX37" s="150">
        <f t="shared" si="123"/>
        <v>11855266.1</v>
      </c>
      <c r="BY37" s="150">
        <f t="shared" si="123"/>
        <v>5387443.97</v>
      </c>
      <c r="BZ37" s="150">
        <f t="shared" si="123"/>
        <v>11755.15</v>
      </c>
      <c r="CA37" s="150">
        <f t="shared" si="123"/>
        <v>6456066.980000001</v>
      </c>
      <c r="CB37" s="150">
        <f t="shared" si="123"/>
        <v>11855266.1</v>
      </c>
      <c r="CC37" s="4">
        <f>BX37-CB37</f>
        <v>0</v>
      </c>
      <c r="CD37" s="74">
        <f>K37+L37+AV37-AW37</f>
        <v>-1042902.74</v>
      </c>
      <c r="CE37" s="76">
        <f>CD37+W37-AS37</f>
        <v>-1042902.74</v>
      </c>
      <c r="CF37" s="76">
        <f>BR37-BP37</f>
        <v>0</v>
      </c>
      <c r="CG37" s="76">
        <f>AU37-AM37-AT37-AS37</f>
        <v>13742365.209999999</v>
      </c>
      <c r="CH37" s="76">
        <f>I37-AG37+AY37+AH37+BQ37</f>
        <v>-90530.84999999998</v>
      </c>
      <c r="CI37" s="37">
        <f>CH37+K37</f>
        <v>-70051.04999999997</v>
      </c>
      <c r="CJ37" s="37">
        <f>EF37+EG37+EH37</f>
        <v>2034086.5899999999</v>
      </c>
      <c r="CK37" s="37">
        <f>Y37+BR37-K37-L37-Q37-W37-X37</f>
        <v>14785267.95</v>
      </c>
      <c r="CL37" s="141" t="e">
        <f>CD37/CF37</f>
        <v>#DIV/0!</v>
      </c>
      <c r="CM37" s="152" t="e">
        <f>CE37/CF37</f>
        <v>#DIV/0!</v>
      </c>
      <c r="CN37" s="64">
        <f>CD37/CG37*1</f>
        <v>-0.07588961027182599</v>
      </c>
      <c r="CO37" s="64">
        <f>CE37/CG37</f>
        <v>-0.07588961027182599</v>
      </c>
      <c r="CP37" s="64">
        <f>CH37/CG37</f>
        <v>-0.00658771969865295</v>
      </c>
      <c r="CQ37" s="64">
        <f>CI37/CG37</f>
        <v>-0.0050974522165242305</v>
      </c>
      <c r="CR37" s="181">
        <f>CJ37/CG37</f>
        <v>0.14801575703430167</v>
      </c>
      <c r="CS37" s="181">
        <f>BR37/CK37</f>
        <v>0</v>
      </c>
      <c r="CT37" s="64">
        <f>(K37+L37)/(BU37+K37+L37)</f>
        <v>0.19661929430735198</v>
      </c>
      <c r="CU37" s="64">
        <f>(K37)/(BU37+K37+L37)</f>
        <v>0.0665796484703274</v>
      </c>
      <c r="CV37" s="75">
        <f>CW37/CE37</f>
        <v>-5.826346692693508</v>
      </c>
      <c r="CW37" s="76">
        <f>BT37-BY37</f>
        <v>6076312.929999997</v>
      </c>
      <c r="CX37" s="80">
        <f>Y37-K37-L37-V37</f>
        <v>14996010.549999999</v>
      </c>
      <c r="CY37" s="80">
        <f>AU37-AR37</f>
        <v>13953107.809999999</v>
      </c>
      <c r="CZ37" s="80">
        <f>CY37-CX37</f>
        <v>-1042902.7400000002</v>
      </c>
      <c r="DA37" s="80">
        <f>-V37+AR37</f>
        <v>0</v>
      </c>
      <c r="DB37" s="80">
        <f>CZ37+DA37</f>
        <v>-1042902.7400000002</v>
      </c>
      <c r="DC37" s="80">
        <f>DB37-K37-L37</f>
        <v>-1103382.5400000003</v>
      </c>
      <c r="DD37" s="80">
        <f>BR37-BP37</f>
        <v>0</v>
      </c>
      <c r="DE37" s="80">
        <f>K37+L37</f>
        <v>60479.8</v>
      </c>
      <c r="DF37" s="80">
        <f>-DD37+DE37+DC37</f>
        <v>-1042902.7400000002</v>
      </c>
      <c r="DG37" s="80">
        <f aca="true" t="shared" si="124" ref="DG37:DG42">-DD37+DE37+DC37+W37-AS37</f>
        <v>-1042902.7400000002</v>
      </c>
      <c r="DH37" s="80">
        <f>-BP37-DE37</f>
        <v>-60479.8</v>
      </c>
      <c r="DI37" s="80">
        <f>DF37+DH37+BR37</f>
        <v>-1103382.5400000003</v>
      </c>
      <c r="DJ37" s="80">
        <f>Z37+AA37+AB37</f>
        <v>6583779.7</v>
      </c>
      <c r="DK37" s="80">
        <f>CW37/B37</f>
        <v>158.76238941290197</v>
      </c>
      <c r="DL37" s="80">
        <f>CH37/B37</f>
        <v>-2.3653972774540795</v>
      </c>
      <c r="DM37" s="80">
        <f>DJ37/B37</f>
        <v>172.0215216993703</v>
      </c>
      <c r="DN37" s="81">
        <f>DD37/B37</f>
        <v>0</v>
      </c>
      <c r="DO37" s="76">
        <f>DF37/B37</f>
        <v>-27.249046063804776</v>
      </c>
      <c r="DP37" s="145">
        <f>CA37-BW37-BU37</f>
        <v>6064557.780000001</v>
      </c>
      <c r="DQ37" s="162"/>
      <c r="DR37" s="67"/>
      <c r="DS37" s="68"/>
      <c r="DT37" s="150">
        <f aca="true" t="shared" si="125" ref="DT37:EN37">SUM(DT3:DT31)</f>
        <v>4214866.09</v>
      </c>
      <c r="DU37" s="150">
        <f t="shared" si="125"/>
        <v>1888366.12</v>
      </c>
      <c r="DV37" s="150">
        <f t="shared" si="125"/>
        <v>4920196.740000001</v>
      </c>
      <c r="DW37" s="150">
        <f t="shared" si="125"/>
        <v>440327.94999999995</v>
      </c>
      <c r="DX37" s="150">
        <f t="shared" si="125"/>
        <v>13171.7</v>
      </c>
      <c r="DY37" s="150">
        <f t="shared" si="125"/>
        <v>168647</v>
      </c>
      <c r="DZ37" s="150">
        <f t="shared" si="125"/>
        <v>65300</v>
      </c>
      <c r="EA37" s="150">
        <f t="shared" si="125"/>
        <v>0</v>
      </c>
      <c r="EB37" s="150">
        <f t="shared" si="125"/>
        <v>0</v>
      </c>
      <c r="EC37" s="150">
        <f t="shared" si="125"/>
        <v>144390.5</v>
      </c>
      <c r="ED37" s="150">
        <f t="shared" si="125"/>
        <v>11855266.1</v>
      </c>
      <c r="EE37" s="150">
        <f t="shared" si="125"/>
        <v>2145393.85</v>
      </c>
      <c r="EF37" s="150">
        <f t="shared" si="125"/>
        <v>184729.7</v>
      </c>
      <c r="EG37" s="150">
        <f t="shared" si="125"/>
        <v>631377.18</v>
      </c>
      <c r="EH37" s="150">
        <f t="shared" si="125"/>
        <v>1217979.7099999997</v>
      </c>
      <c r="EI37" s="150">
        <f t="shared" si="125"/>
        <v>0</v>
      </c>
      <c r="EJ37" s="150">
        <f t="shared" si="125"/>
        <v>1207963.53</v>
      </c>
      <c r="EK37" s="150">
        <f t="shared" si="125"/>
        <v>11755.15</v>
      </c>
      <c r="EL37" s="150">
        <f t="shared" si="125"/>
        <v>6456066.980000001</v>
      </c>
      <c r="EM37" s="150">
        <f t="shared" si="125"/>
        <v>11855266.1</v>
      </c>
      <c r="EN37" s="150">
        <f t="shared" si="125"/>
        <v>0</v>
      </c>
    </row>
    <row r="38" spans="2:121" ht="12.75">
      <c r="B38" s="8"/>
      <c r="C38" s="8"/>
      <c r="D38" s="8"/>
      <c r="E38" s="8"/>
      <c r="F38" s="146"/>
      <c r="CR38" s="182"/>
      <c r="CS38" s="182"/>
      <c r="DG38" s="80">
        <f t="shared" si="124"/>
        <v>0</v>
      </c>
      <c r="DQ38" s="161"/>
    </row>
    <row r="39" spans="111:121" ht="12.75">
      <c r="DG39" s="80">
        <f t="shared" si="124"/>
        <v>0</v>
      </c>
      <c r="DQ39" s="161"/>
    </row>
    <row r="40" spans="1:144" ht="12.75">
      <c r="A40" s="3" t="s">
        <v>215</v>
      </c>
      <c r="B40" s="136">
        <f>B11+B27</f>
        <v>6412</v>
      </c>
      <c r="G40" s="131">
        <v>395617.9</v>
      </c>
      <c r="H40" s="43">
        <v>105084.2</v>
      </c>
      <c r="I40" s="43">
        <v>9171.05</v>
      </c>
      <c r="J40" s="43">
        <v>0</v>
      </c>
      <c r="K40" s="43">
        <v>8779.8</v>
      </c>
      <c r="L40" s="43">
        <v>0</v>
      </c>
      <c r="M40" s="43">
        <f>SUM(K40:L40)</f>
        <v>8779.8</v>
      </c>
      <c r="N40" s="43">
        <v>0</v>
      </c>
      <c r="O40" s="43">
        <v>0</v>
      </c>
      <c r="P40" s="43">
        <v>4026590.05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f>SUM(R40:V40)</f>
        <v>0</v>
      </c>
      <c r="X40" s="43">
        <v>122237.6</v>
      </c>
      <c r="Y40" s="43">
        <f>SUM(G40:X40)-M40-W40</f>
        <v>4667480.6</v>
      </c>
      <c r="Z40" s="43">
        <v>1473197.3</v>
      </c>
      <c r="AA40" s="43">
        <v>184133.75</v>
      </c>
      <c r="AB40" s="43">
        <v>0</v>
      </c>
      <c r="AC40" s="43">
        <v>55680.45</v>
      </c>
      <c r="AD40" s="43">
        <v>0</v>
      </c>
      <c r="AE40" s="43">
        <f>SUM(Z40:AD40)</f>
        <v>1713011.5</v>
      </c>
      <c r="AF40" s="43">
        <v>0</v>
      </c>
      <c r="AG40" s="43">
        <v>35404.4</v>
      </c>
      <c r="AH40" s="43">
        <v>0</v>
      </c>
      <c r="AI40" s="43">
        <v>2492174.27</v>
      </c>
      <c r="AJ40" s="43">
        <v>0</v>
      </c>
      <c r="AK40" s="43">
        <v>15046</v>
      </c>
      <c r="AL40" s="43">
        <v>0</v>
      </c>
      <c r="AM40" s="43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122237.6</v>
      </c>
      <c r="AU40" s="4">
        <f>SUM(Z40:AT40)-AE40-AH40-AS40</f>
        <v>4377873.77</v>
      </c>
      <c r="AV40" s="4">
        <v>0</v>
      </c>
      <c r="AW40" s="4">
        <v>289606.83</v>
      </c>
      <c r="AX40" s="34">
        <f>Y40-AU40+AV40-AW40</f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f>SUM(AZ40:BE40)</f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f>SUM(BG40:BN40)</f>
        <v>0</v>
      </c>
      <c r="BP40" s="43">
        <v>0</v>
      </c>
      <c r="BQ40" s="43">
        <v>0</v>
      </c>
      <c r="BR40" s="43">
        <v>0</v>
      </c>
      <c r="BS40" s="43">
        <f>+BF40-BO40+BP40+BQ40-BR40</f>
        <v>0</v>
      </c>
      <c r="BT40" s="4">
        <f>DT40+DU40+DV40+DW40</f>
        <v>2087666.7</v>
      </c>
      <c r="BU40" s="4">
        <f>DX40+DY40+DZ40+EA40</f>
        <v>13169.7</v>
      </c>
      <c r="BV40" s="4">
        <f aca="true" t="shared" si="126" ref="BV40:BW42">EB40</f>
        <v>0</v>
      </c>
      <c r="BW40" s="4">
        <f t="shared" si="126"/>
        <v>0</v>
      </c>
      <c r="BX40" s="4">
        <f>SUM(BT40:BW40)</f>
        <v>2100836.4</v>
      </c>
      <c r="BY40" s="4">
        <f>EE40+EF40+EG40+EH40+EI40+EJ40</f>
        <v>1526412.4300000002</v>
      </c>
      <c r="BZ40" s="4">
        <f aca="true" t="shared" si="127" ref="BZ40:CA42">EK40</f>
        <v>0</v>
      </c>
      <c r="CA40" s="4">
        <f t="shared" si="127"/>
        <v>574423.97</v>
      </c>
      <c r="CB40" s="4">
        <f>SUM(BY40:CA40)</f>
        <v>2100836.4000000004</v>
      </c>
      <c r="CC40" s="4">
        <f>BX40-CB40</f>
        <v>0</v>
      </c>
      <c r="CD40" s="74">
        <f>K40+L40+AV40-AW40</f>
        <v>-280827.03</v>
      </c>
      <c r="CE40" s="76">
        <f>CD40+W40-AS40</f>
        <v>-280827.03</v>
      </c>
      <c r="CF40" s="76">
        <f>BR40-BP40</f>
        <v>0</v>
      </c>
      <c r="CG40" s="76">
        <f>AU40-AM40-AT40-AS40</f>
        <v>4255636.17</v>
      </c>
      <c r="CH40" s="76">
        <f>I40-AG40+AY40+AH40+BQ40</f>
        <v>-26233.350000000002</v>
      </c>
      <c r="CI40" s="37">
        <f>CH40+K40</f>
        <v>-17453.550000000003</v>
      </c>
      <c r="CJ40" s="37">
        <f>EF40+EG40+EH40</f>
        <v>600000</v>
      </c>
      <c r="CK40" s="37">
        <f>Y40+BR40-K40-L40-Q40-W40-X40</f>
        <v>4536463.2</v>
      </c>
      <c r="CL40" s="141" t="str">
        <f>IF(CF40=0,"-",(CD40/CF40))</f>
        <v>-</v>
      </c>
      <c r="CM40" s="141" t="str">
        <f>IF(CF40=0,"-",(CE40/CF40))</f>
        <v>-</v>
      </c>
      <c r="CN40" s="141">
        <f>IF(CG40=0,"-",(CD40/CG40*1))</f>
        <v>-0.06598943584032937</v>
      </c>
      <c r="CO40" s="141">
        <f>IF(CE40=0,"-",(CE40/CG40))</f>
        <v>-0.06598943584032937</v>
      </c>
      <c r="CP40" s="141">
        <f>IF(CG40=0,"-",(CH40/CG40))</f>
        <v>-0.006164378004146911</v>
      </c>
      <c r="CQ40" s="141">
        <f>IF(CG40=0,"-",(CI40/CG40))</f>
        <v>-0.004101278704941547</v>
      </c>
      <c r="CR40" s="141">
        <f>IF(CJ40=0,"-",((CJ40/CG40)))</f>
        <v>0.1409894962895759</v>
      </c>
      <c r="CS40" s="141" t="str">
        <f>IF(BR40=0,"-",(BR40/CK40))</f>
        <v>-</v>
      </c>
      <c r="CT40" s="141">
        <f>IF(BU40+K40+L40=0,"-",((K40+L40)/(BU40+K40+L40)))</f>
        <v>0.39999999999999997</v>
      </c>
      <c r="CU40" s="141">
        <f>IF(BU40+K40+L40=0,"-",((K40)/(BU40+K40+L40)))</f>
        <v>0.39999999999999997</v>
      </c>
      <c r="CV40" s="142">
        <f>IF(CE40=0,"-",(CW40/CE40))</f>
        <v>-1.9985763834770454</v>
      </c>
      <c r="CW40" s="76">
        <f>BT40-BY40</f>
        <v>561254.2699999998</v>
      </c>
      <c r="CX40" s="80">
        <f>Y40-K40-L40-V40</f>
        <v>4658700.8</v>
      </c>
      <c r="CY40" s="80">
        <f>AU40-AR40</f>
        <v>4377873.77</v>
      </c>
      <c r="CZ40" s="80">
        <f>CY40-CX40</f>
        <v>-280827.03000000026</v>
      </c>
      <c r="DA40" s="80">
        <f>-V40+AR40</f>
        <v>0</v>
      </c>
      <c r="DB40" s="80">
        <f>CZ40+DA40</f>
        <v>-280827.03000000026</v>
      </c>
      <c r="DC40" s="80">
        <f>DB40-K40-L40</f>
        <v>-289606.83000000025</v>
      </c>
      <c r="DD40" s="80">
        <f>BR40-BP40</f>
        <v>0</v>
      </c>
      <c r="DE40" s="80">
        <f>K40+L40</f>
        <v>8779.8</v>
      </c>
      <c r="DF40" s="80">
        <f>-DD40+DE40+DC40</f>
        <v>-280827.03000000026</v>
      </c>
      <c r="DG40" s="80">
        <f t="shared" si="124"/>
        <v>-280827.03000000026</v>
      </c>
      <c r="DH40" s="80">
        <f>-BP40-DE40</f>
        <v>-8779.8</v>
      </c>
      <c r="DI40" s="80">
        <f>DF40+DH40+BR40</f>
        <v>-289606.83000000025</v>
      </c>
      <c r="DJ40" s="80">
        <f>Z40+AA40+AB40</f>
        <v>1657331.05</v>
      </c>
      <c r="DK40" s="80">
        <f>CW40/B40</f>
        <v>87.53185745477226</v>
      </c>
      <c r="DL40" s="80">
        <f>CH40/B40</f>
        <v>-4.091289769182783</v>
      </c>
      <c r="DM40" s="80">
        <f>DJ40/B40</f>
        <v>258.47333905177794</v>
      </c>
      <c r="DN40" s="81">
        <f>DD40/B40</f>
        <v>0</v>
      </c>
      <c r="DO40" s="76">
        <f>DF40/B40</f>
        <v>-43.797103867748014</v>
      </c>
      <c r="DP40" s="145">
        <f>CA40-BW40-BU40</f>
        <v>561254.27</v>
      </c>
      <c r="DQ40" s="162">
        <v>0</v>
      </c>
      <c r="DR40" s="65"/>
      <c r="DT40">
        <v>1185623.4</v>
      </c>
      <c r="DU40">
        <v>509801.5</v>
      </c>
      <c r="DV40">
        <v>270000</v>
      </c>
      <c r="DW40">
        <v>122241.8</v>
      </c>
      <c r="DX40">
        <v>13169.7</v>
      </c>
      <c r="ED40" s="175">
        <f>SUM(DT40:EC40)</f>
        <v>2100836.4</v>
      </c>
      <c r="EG40">
        <v>600000</v>
      </c>
      <c r="EJ40">
        <v>926412.43</v>
      </c>
      <c r="EL40">
        <v>574423.97</v>
      </c>
      <c r="EM40" s="175">
        <f>SUM(EE40:EL40)</f>
        <v>2100836.4000000004</v>
      </c>
      <c r="EN40" s="185">
        <f>ED40-EM40</f>
        <v>0</v>
      </c>
    </row>
    <row r="41" spans="1:144" ht="12.75">
      <c r="A41" s="3" t="s">
        <v>216</v>
      </c>
      <c r="B41" s="136">
        <f>B12+B14+B23</f>
        <v>1052</v>
      </c>
      <c r="G41" s="131">
        <v>20455.45</v>
      </c>
      <c r="H41" s="43">
        <v>3659.85</v>
      </c>
      <c r="I41" s="43">
        <v>0</v>
      </c>
      <c r="J41" s="43">
        <v>0</v>
      </c>
      <c r="K41" s="43">
        <v>0</v>
      </c>
      <c r="L41" s="43">
        <v>0</v>
      </c>
      <c r="M41" s="43">
        <f>SUM(K41:L41)</f>
        <v>0</v>
      </c>
      <c r="N41" s="43">
        <v>0</v>
      </c>
      <c r="O41" s="43">
        <v>0</v>
      </c>
      <c r="P41" s="43">
        <v>494161.1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f>SUM(R41:V41)</f>
        <v>0</v>
      </c>
      <c r="X41" s="43">
        <v>0</v>
      </c>
      <c r="Y41" s="43">
        <f>SUM(G41:X41)-M41-W41</f>
        <v>518276.39999999997</v>
      </c>
      <c r="Z41" s="43">
        <v>164451.75</v>
      </c>
      <c r="AA41" s="43">
        <v>2485.05</v>
      </c>
      <c r="AB41" s="43">
        <v>0</v>
      </c>
      <c r="AC41" s="43">
        <v>9135.35</v>
      </c>
      <c r="AD41" s="43">
        <v>0</v>
      </c>
      <c r="AE41" s="43">
        <f>SUM(Z41:AD41)</f>
        <v>176072.15</v>
      </c>
      <c r="AF41" s="43">
        <v>0</v>
      </c>
      <c r="AG41" s="43">
        <v>8316.05</v>
      </c>
      <c r="AH41" s="43">
        <v>0</v>
      </c>
      <c r="AI41" s="43">
        <v>141972.4</v>
      </c>
      <c r="AJ41" s="43">
        <v>0</v>
      </c>
      <c r="AK41" s="43">
        <v>0</v>
      </c>
      <c r="AL41" s="43">
        <v>1175.55</v>
      </c>
      <c r="AM41" s="43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327536.15</v>
      </c>
      <c r="AV41" s="4">
        <v>0</v>
      </c>
      <c r="AW41" s="4">
        <v>190740.25</v>
      </c>
      <c r="AX41" s="34">
        <f>Y41-AU41+AV41-AW41</f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f>SUM(AZ41:BE41)</f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f>SUM(BG41:BN41)</f>
        <v>0</v>
      </c>
      <c r="BP41" s="43">
        <v>0</v>
      </c>
      <c r="BQ41" s="43">
        <v>0</v>
      </c>
      <c r="BR41" s="43">
        <v>0</v>
      </c>
      <c r="BS41" s="43">
        <f>+BF41-BO41+BP41+BQ41-BR41</f>
        <v>0</v>
      </c>
      <c r="BT41" s="4">
        <f>DT41+DU41+DV41+DW41</f>
        <v>826794.04</v>
      </c>
      <c r="BU41" s="4">
        <f>DX41+DY41+DZ41+EA41</f>
        <v>123648</v>
      </c>
      <c r="BV41" s="4">
        <f t="shared" si="126"/>
        <v>0</v>
      </c>
      <c r="BW41" s="4">
        <f t="shared" si="126"/>
        <v>0</v>
      </c>
      <c r="BX41" s="4">
        <f>SUM(BT41:BW41)</f>
        <v>950442.04</v>
      </c>
      <c r="BY41" s="4">
        <f>EE41+EF41+EG41+EH41+EI41+EJ41</f>
        <v>150422.2</v>
      </c>
      <c r="BZ41" s="4">
        <f t="shared" si="127"/>
        <v>0</v>
      </c>
      <c r="CA41" s="4">
        <f t="shared" si="127"/>
        <v>800019.84</v>
      </c>
      <c r="CB41" s="4">
        <f>SUM(BY41:CA41)</f>
        <v>950442.04</v>
      </c>
      <c r="CC41" s="4">
        <f>BX41-CB41</f>
        <v>0</v>
      </c>
      <c r="CD41" s="74">
        <f>K41+L41+AV41-AW41</f>
        <v>-190740.25</v>
      </c>
      <c r="CE41" s="76">
        <f>CD41+W41-AS41</f>
        <v>-190740.25</v>
      </c>
      <c r="CF41" s="76">
        <f>BR41-BP41</f>
        <v>0</v>
      </c>
      <c r="CG41" s="76">
        <f>AU41-AM41-AT41-AS41</f>
        <v>327536.15</v>
      </c>
      <c r="CH41" s="76">
        <f>I41-AG41+AY41+AH41+BQ41</f>
        <v>-8316.05</v>
      </c>
      <c r="CI41" s="37">
        <f>CH41+K41</f>
        <v>-8316.05</v>
      </c>
      <c r="CJ41" s="37">
        <f>EF41+EG41+EH41</f>
        <v>0</v>
      </c>
      <c r="CK41" s="37">
        <f>Y41+BR41-K41-L41-Q41-W41-X41</f>
        <v>518276.39999999997</v>
      </c>
      <c r="CL41" s="141" t="str">
        <f>IF(CF41=0,"-",(CD41/CF41))</f>
        <v>-</v>
      </c>
      <c r="CM41" s="141" t="str">
        <f>IF(CF41=0,"-",(CE41/CF41))</f>
        <v>-</v>
      </c>
      <c r="CN41" s="141">
        <f>IF(CG41=0,"-",(CD41/CG41*1))</f>
        <v>-0.5823486964721298</v>
      </c>
      <c r="CO41" s="141">
        <f>IF(CE41=0,"-",(CE41/CG41))</f>
        <v>-0.5823486964721298</v>
      </c>
      <c r="CP41" s="141">
        <f>IF(CG41=0,"-",(CH41/CG41))</f>
        <v>-0.025389716524420278</v>
      </c>
      <c r="CQ41" s="141">
        <f>IF(CG41=0,"-",(CI41/CG41))</f>
        <v>-0.025389716524420278</v>
      </c>
      <c r="CR41" s="141" t="str">
        <f>IF(CJ41=0,"-",((CJ41/CG41)))</f>
        <v>-</v>
      </c>
      <c r="CS41" s="141" t="str">
        <f>IF(BR41=0,"-",(BR41/CK41))</f>
        <v>-</v>
      </c>
      <c r="CT41" s="141">
        <f>IF(BU41+K41+L41=0,"-",((K41+L41)/(BU41+K41+L41)))</f>
        <v>0</v>
      </c>
      <c r="CU41" s="141">
        <f>IF(BU41+K41+L41=0,"-",((K41)/(BU41+K41+L41)))</f>
        <v>0</v>
      </c>
      <c r="CV41" s="142">
        <f>IF(CE41=0,"-",(CW41/CE41))</f>
        <v>-3.5460362456272345</v>
      </c>
      <c r="CW41" s="76">
        <f>BT41-BY41</f>
        <v>676371.8400000001</v>
      </c>
      <c r="CX41" s="80">
        <f>Y41-K41-L41-V41</f>
        <v>518276.39999999997</v>
      </c>
      <c r="CY41" s="80">
        <f>AU41-AR41</f>
        <v>327536.15</v>
      </c>
      <c r="CZ41" s="80">
        <f>CY41-CX41</f>
        <v>-190740.24999999994</v>
      </c>
      <c r="DA41" s="80">
        <f>-V41+AR41</f>
        <v>0</v>
      </c>
      <c r="DB41" s="80">
        <f>CZ41+DA41</f>
        <v>-190740.24999999994</v>
      </c>
      <c r="DC41" s="80">
        <f>DB41-K41-L41</f>
        <v>-190740.24999999994</v>
      </c>
      <c r="DD41" s="80">
        <f>BR41-BP41</f>
        <v>0</v>
      </c>
      <c r="DE41" s="80">
        <f>K41+L41</f>
        <v>0</v>
      </c>
      <c r="DF41" s="80">
        <f>-DD41+DE41+DC41</f>
        <v>-190740.24999999994</v>
      </c>
      <c r="DG41" s="80">
        <f t="shared" si="124"/>
        <v>-190740.24999999994</v>
      </c>
      <c r="DH41" s="80">
        <f>-BP41-DE41</f>
        <v>0</v>
      </c>
      <c r="DI41" s="80">
        <f>DF41+DH41+BR41</f>
        <v>-190740.24999999994</v>
      </c>
      <c r="DJ41" s="80">
        <f>Z41+AA41+AB41</f>
        <v>166936.8</v>
      </c>
      <c r="DK41" s="80">
        <f>CW41/B41</f>
        <v>642.9390114068442</v>
      </c>
      <c r="DL41" s="80">
        <f>CH41/B41</f>
        <v>-7.904990494296578</v>
      </c>
      <c r="DM41" s="80">
        <f>DJ41/B41</f>
        <v>158.6851711026616</v>
      </c>
      <c r="DN41" s="81">
        <f>DD41/B41</f>
        <v>0</v>
      </c>
      <c r="DO41" s="76">
        <f>DF41/B41</f>
        <v>-181.31202471482885</v>
      </c>
      <c r="DP41" s="145">
        <f>CA41-BW41-BU41</f>
        <v>676371.84</v>
      </c>
      <c r="DQ41" s="162">
        <v>0</v>
      </c>
      <c r="DR41" s="65"/>
      <c r="DT41" s="19">
        <v>220273.01</v>
      </c>
      <c r="DU41" s="19">
        <v>72412.73</v>
      </c>
      <c r="DV41" s="19">
        <v>534108.3</v>
      </c>
      <c r="DW41" s="19">
        <v>0</v>
      </c>
      <c r="DX41" s="19">
        <v>1</v>
      </c>
      <c r="DY41" s="19">
        <v>123647</v>
      </c>
      <c r="DZ41" s="19">
        <v>0</v>
      </c>
      <c r="EA41" s="19">
        <v>0</v>
      </c>
      <c r="EB41" s="19">
        <v>0</v>
      </c>
      <c r="EC41" s="19">
        <v>0</v>
      </c>
      <c r="ED41" s="173">
        <f>SUM(DT41:EC41)</f>
        <v>950442.04</v>
      </c>
      <c r="EE41" s="19">
        <v>2145.45</v>
      </c>
      <c r="EF41" s="19">
        <v>0</v>
      </c>
      <c r="EG41" s="19">
        <v>0</v>
      </c>
      <c r="EH41" s="19">
        <v>0</v>
      </c>
      <c r="EI41" s="19">
        <v>0</v>
      </c>
      <c r="EJ41" s="19">
        <v>148276.75</v>
      </c>
      <c r="EK41" s="19">
        <v>0</v>
      </c>
      <c r="EL41" s="19">
        <v>800019.84</v>
      </c>
      <c r="EM41" s="173">
        <f>SUM(EE41:EL41)</f>
        <v>950442.04</v>
      </c>
      <c r="EN41" s="184">
        <f>ED41-EM41</f>
        <v>0</v>
      </c>
    </row>
    <row r="42" spans="1:144" ht="12.75">
      <c r="A42" s="3" t="s">
        <v>217</v>
      </c>
      <c r="B42" s="136">
        <f>B5+B28</f>
        <v>742</v>
      </c>
      <c r="G42" s="131">
        <f>300+8980+1020.2+8500+1078.8</f>
        <v>19879</v>
      </c>
      <c r="H42" s="43">
        <f>440.6+230+570+242.6+150+460.95+450+320</f>
        <v>2864.1499999999996</v>
      </c>
      <c r="I42" s="43">
        <v>0</v>
      </c>
      <c r="J42" s="43">
        <v>0</v>
      </c>
      <c r="K42" s="43">
        <v>0</v>
      </c>
      <c r="L42" s="43">
        <v>0</v>
      </c>
      <c r="M42" s="43">
        <f>SUM(K42:L42)</f>
        <v>0</v>
      </c>
      <c r="N42" s="43">
        <v>0</v>
      </c>
      <c r="O42" s="43">
        <v>0</v>
      </c>
      <c r="P42" s="43">
        <f>700+647.1+1180.5+1416.6+61895.8+888+2208.8+12745+61997.45+73146.15+27551.5+19587.25+60351</f>
        <v>324315.15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f>SUM(R42:V42)</f>
        <v>0</v>
      </c>
      <c r="X42" s="43">
        <v>0</v>
      </c>
      <c r="Y42" s="43">
        <f>SUM(G42:X42)-M42-W42</f>
        <v>347058.30000000005</v>
      </c>
      <c r="Z42" s="43">
        <f>63517.35+84001.7</f>
        <v>147519.05</v>
      </c>
      <c r="AA42" s="43">
        <f>4344.55+5853.75</f>
        <v>10198.3</v>
      </c>
      <c r="AB42" s="43">
        <v>0</v>
      </c>
      <c r="AC42" s="43">
        <f>6443.4</f>
        <v>6443.4</v>
      </c>
      <c r="AD42" s="43">
        <v>0</v>
      </c>
      <c r="AE42" s="43">
        <f>SUM(Z42:AD42)</f>
        <v>164160.74999999997</v>
      </c>
      <c r="AF42" s="43">
        <v>0</v>
      </c>
      <c r="AG42" s="43">
        <f>266.55+496</f>
        <v>762.55</v>
      </c>
      <c r="AH42" s="43">
        <v>0</v>
      </c>
      <c r="AI42" s="43">
        <f>69372.7+2280+21702.3+5145</f>
        <v>98500</v>
      </c>
      <c r="AJ42" s="43">
        <v>0</v>
      </c>
      <c r="AK42" s="43">
        <f>3224</f>
        <v>3224</v>
      </c>
      <c r="AL42" s="43">
        <v>0</v>
      </c>
      <c r="AM42" s="43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0</v>
      </c>
      <c r="AU42" s="4">
        <f>SUM(Z42:AT42)-AE42-AH42-AS42</f>
        <v>266647.29999999993</v>
      </c>
      <c r="AV42" s="4">
        <v>0</v>
      </c>
      <c r="AW42" s="4">
        <v>80411</v>
      </c>
      <c r="AX42" s="143">
        <f>Y42-AU42+AV42-AW42</f>
        <v>1.1641532182693481E-10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f>SUM(AZ42:BE42)</f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f>SUM(BG42:BN42)</f>
        <v>0</v>
      </c>
      <c r="BP42" s="43">
        <v>0</v>
      </c>
      <c r="BQ42" s="43">
        <v>0</v>
      </c>
      <c r="BR42" s="43">
        <v>0</v>
      </c>
      <c r="BS42" s="43">
        <f>+BF42-BO42+BP42+BQ42-BR42</f>
        <v>0</v>
      </c>
      <c r="BT42" s="4">
        <f>DT42+DU42+DV42+DW42</f>
        <v>335935.55</v>
      </c>
      <c r="BU42" s="4">
        <f>DX42+DY42+DZ42+EA42</f>
        <v>0</v>
      </c>
      <c r="BV42" s="4">
        <f t="shared" si="126"/>
        <v>0</v>
      </c>
      <c r="BW42" s="4">
        <f t="shared" si="126"/>
        <v>0</v>
      </c>
      <c r="BX42" s="4">
        <f>SUM(BT42:BW42)</f>
        <v>335935.55</v>
      </c>
      <c r="BY42" s="4">
        <f>EE42+EF42+EG42+EH42+EI42+EJ42</f>
        <v>117101.8</v>
      </c>
      <c r="BZ42" s="4">
        <f t="shared" si="127"/>
        <v>0</v>
      </c>
      <c r="CA42" s="4">
        <f t="shared" si="127"/>
        <v>218833.75</v>
      </c>
      <c r="CB42" s="4">
        <f>SUM(BY42:CA42)</f>
        <v>335935.55</v>
      </c>
      <c r="CC42" s="4">
        <f>BX42-CB42</f>
        <v>0</v>
      </c>
      <c r="CD42" s="74">
        <f>K42+L42+AV42-AW42</f>
        <v>-80411</v>
      </c>
      <c r="CE42" s="76">
        <f>CD42+W42-AS42</f>
        <v>-80411</v>
      </c>
      <c r="CF42" s="76">
        <f>BR42-BP42</f>
        <v>0</v>
      </c>
      <c r="CG42" s="76">
        <f>AU42-AM42-AT42-AS42</f>
        <v>266647.29999999993</v>
      </c>
      <c r="CH42" s="76">
        <f>I42-AG42+AY42+AH42+BQ42</f>
        <v>-762.55</v>
      </c>
      <c r="CI42" s="37">
        <f>CH42+K42</f>
        <v>-762.55</v>
      </c>
      <c r="CJ42" s="37">
        <f>EF42+EG42+EH42</f>
        <v>0</v>
      </c>
      <c r="CK42" s="37">
        <f>Y42+BR42-K42-L42-Q42-W42-X42</f>
        <v>347058.30000000005</v>
      </c>
      <c r="CL42" s="141" t="str">
        <f>IF(CF42=0,"-",(CD42/CF42))</f>
        <v>-</v>
      </c>
      <c r="CM42" s="141" t="str">
        <f>IF(CF42=0,"-",(CE42/CF42))</f>
        <v>-</v>
      </c>
      <c r="CN42" s="141">
        <f>IF(CG42=0,"-",(CD42/CG42*1))</f>
        <v>-0.3015631510238432</v>
      </c>
      <c r="CO42" s="141">
        <f>IF(CE42=0,"-",(CE42/CG42))</f>
        <v>-0.3015631510238432</v>
      </c>
      <c r="CP42" s="141">
        <f>IF(CG42=0,"-",(CH42/CG42))</f>
        <v>-0.0028597701908101084</v>
      </c>
      <c r="CQ42" s="141">
        <f>IF(CG42=0,"-",(CI42/CG42))</f>
        <v>-0.0028597701908101084</v>
      </c>
      <c r="CR42" s="141" t="str">
        <f>IF(CJ42=0,"-",((CJ42/CG42)))</f>
        <v>-</v>
      </c>
      <c r="CS42" s="141" t="str">
        <f>IF(BR42=0,"-",(BR42/CK42))</f>
        <v>-</v>
      </c>
      <c r="CT42" s="141" t="str">
        <f>IF(BU42+K42+L42=0,"-",((K42+L42)/(BU42+K42+L42)))</f>
        <v>-</v>
      </c>
      <c r="CU42" s="141" t="str">
        <f>IF(BU42+K42+L42=0,"-",((K42)/(BU42+K42+L42)))</f>
        <v>-</v>
      </c>
      <c r="CV42" s="142">
        <f>IF(CE42=0,"-",(CW42/CE42))</f>
        <v>-2.721440474561938</v>
      </c>
      <c r="CW42" s="76">
        <f>BT42-BY42</f>
        <v>218833.75</v>
      </c>
      <c r="CX42" s="80">
        <f>Y42-K42-L42-V42</f>
        <v>347058.30000000005</v>
      </c>
      <c r="CY42" s="80">
        <f>AU42-AR42</f>
        <v>266647.29999999993</v>
      </c>
      <c r="CZ42" s="80">
        <f>CY42-CX42</f>
        <v>-80411.00000000012</v>
      </c>
      <c r="DA42" s="80">
        <f>-V42+AR42</f>
        <v>0</v>
      </c>
      <c r="DB42" s="80">
        <f>CZ42+DA42</f>
        <v>-80411.00000000012</v>
      </c>
      <c r="DC42" s="80">
        <f>DB42-K42-L42</f>
        <v>-80411.00000000012</v>
      </c>
      <c r="DD42" s="80">
        <f>BR42-BP42</f>
        <v>0</v>
      </c>
      <c r="DE42" s="80">
        <f>K42+L42</f>
        <v>0</v>
      </c>
      <c r="DF42" s="80">
        <f>-DD42+DE42+DC42</f>
        <v>-80411.00000000012</v>
      </c>
      <c r="DG42" s="80">
        <f t="shared" si="124"/>
        <v>-80411.00000000012</v>
      </c>
      <c r="DH42" s="80">
        <f>-BP42-DE42</f>
        <v>0</v>
      </c>
      <c r="DI42" s="80">
        <f>DF42+DH42+BR42</f>
        <v>-80411.00000000012</v>
      </c>
      <c r="DJ42" s="80">
        <f>Z42+AA42+AB42</f>
        <v>157717.34999999998</v>
      </c>
      <c r="DK42" s="80">
        <f>CW42/B42</f>
        <v>294.92419137466305</v>
      </c>
      <c r="DL42" s="80">
        <f>CH42/B42</f>
        <v>-1.0276954177897573</v>
      </c>
      <c r="DM42" s="80">
        <f>DJ42/B42</f>
        <v>212.55707547169808</v>
      </c>
      <c r="DN42" s="81">
        <f>DD42/B42</f>
        <v>0</v>
      </c>
      <c r="DO42" s="76">
        <f>DF42/B42</f>
        <v>-108.37061994609181</v>
      </c>
      <c r="DP42" s="145">
        <f>CA42-BW42-BU42</f>
        <v>218833.75</v>
      </c>
      <c r="DQ42" s="162">
        <v>0</v>
      </c>
      <c r="DR42" s="65"/>
      <c r="DT42" s="19">
        <v>254478</v>
      </c>
      <c r="DU42">
        <v>57233.85</v>
      </c>
      <c r="DV42">
        <v>12401</v>
      </c>
      <c r="DW42">
        <v>11822.7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 s="175">
        <f>SUM(DT42:EC42)</f>
        <v>335935.55</v>
      </c>
      <c r="EE42">
        <v>117101.8</v>
      </c>
      <c r="EL42">
        <v>218833.75</v>
      </c>
      <c r="EM42" s="175">
        <f>SUM(EE42:EL42)</f>
        <v>335935.55</v>
      </c>
      <c r="EN42" s="175">
        <f>ED42-EM42</f>
        <v>0</v>
      </c>
    </row>
    <row r="43" spans="72:83" ht="12.75"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9"/>
      <c r="CE43" s="9"/>
    </row>
    <row r="44" spans="72:83" ht="12.75"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</row>
    <row r="60" spans="1:144" ht="12.75">
      <c r="A60" s="3" t="s">
        <v>242</v>
      </c>
      <c r="B60" s="62">
        <f>B10+B20+B26</f>
        <v>1440</v>
      </c>
      <c r="C60" s="62">
        <f aca="true" t="shared" si="128" ref="C60:BN60">C10+C20+C26</f>
        <v>4664044</v>
      </c>
      <c r="D60" s="62">
        <f>(D10+D20+D26)/3</f>
        <v>3233.7299999999996</v>
      </c>
      <c r="E60" s="62">
        <f>(E10+E20+E26)/3</f>
        <v>86.03666666666668</v>
      </c>
      <c r="F60" s="62">
        <f>(F10+F20+F26)/3</f>
        <v>4</v>
      </c>
      <c r="G60" s="62">
        <f t="shared" si="128"/>
        <v>17572.4</v>
      </c>
      <c r="H60" s="62">
        <f t="shared" si="128"/>
        <v>16667.8</v>
      </c>
      <c r="I60" s="62">
        <f t="shared" si="128"/>
        <v>135.1</v>
      </c>
      <c r="J60" s="62">
        <f t="shared" si="128"/>
        <v>0</v>
      </c>
      <c r="K60" s="62">
        <f t="shared" si="128"/>
        <v>0</v>
      </c>
      <c r="L60" s="62">
        <f t="shared" si="128"/>
        <v>0</v>
      </c>
      <c r="M60" s="62">
        <f t="shared" si="128"/>
        <v>0</v>
      </c>
      <c r="N60" s="62">
        <f t="shared" si="128"/>
        <v>0</v>
      </c>
      <c r="O60" s="62">
        <f t="shared" si="128"/>
        <v>131844.55</v>
      </c>
      <c r="P60" s="62">
        <f t="shared" si="128"/>
        <v>505369.55000000005</v>
      </c>
      <c r="Q60" s="62">
        <f t="shared" si="128"/>
        <v>0</v>
      </c>
      <c r="R60" s="62">
        <f t="shared" si="128"/>
        <v>0</v>
      </c>
      <c r="S60" s="62">
        <f t="shared" si="128"/>
        <v>0</v>
      </c>
      <c r="T60" s="62">
        <f t="shared" si="128"/>
        <v>0</v>
      </c>
      <c r="U60" s="62">
        <f t="shared" si="128"/>
        <v>0</v>
      </c>
      <c r="V60" s="62">
        <f t="shared" si="128"/>
        <v>0</v>
      </c>
      <c r="W60" s="62">
        <f t="shared" si="128"/>
        <v>0</v>
      </c>
      <c r="X60" s="62">
        <f t="shared" si="128"/>
        <v>0</v>
      </c>
      <c r="Y60" s="62">
        <f t="shared" si="128"/>
        <v>671589.4</v>
      </c>
      <c r="Z60" s="62">
        <f t="shared" si="128"/>
        <v>243018.80000000002</v>
      </c>
      <c r="AA60" s="62">
        <f t="shared" si="128"/>
        <v>21370.25</v>
      </c>
      <c r="AB60" s="62">
        <f t="shared" si="128"/>
        <v>0</v>
      </c>
      <c r="AC60" s="62">
        <f t="shared" si="128"/>
        <v>12504.65</v>
      </c>
      <c r="AD60" s="62">
        <f t="shared" si="128"/>
        <v>0</v>
      </c>
      <c r="AE60" s="62">
        <f t="shared" si="128"/>
        <v>276893.69999999995</v>
      </c>
      <c r="AF60" s="62">
        <f t="shared" si="128"/>
        <v>0</v>
      </c>
      <c r="AG60" s="62">
        <f t="shared" si="128"/>
        <v>12765.449999999999</v>
      </c>
      <c r="AH60" s="62">
        <f t="shared" si="128"/>
        <v>0</v>
      </c>
      <c r="AI60" s="62">
        <f t="shared" si="128"/>
        <v>237010.15</v>
      </c>
      <c r="AJ60" s="62">
        <f t="shared" si="128"/>
        <v>0</v>
      </c>
      <c r="AK60" s="62">
        <f t="shared" si="128"/>
        <v>0</v>
      </c>
      <c r="AL60" s="62">
        <f t="shared" si="128"/>
        <v>0</v>
      </c>
      <c r="AM60" s="62">
        <f t="shared" si="128"/>
        <v>0</v>
      </c>
      <c r="AN60" s="62">
        <f t="shared" si="128"/>
        <v>0</v>
      </c>
      <c r="AO60" s="62">
        <f t="shared" si="128"/>
        <v>0</v>
      </c>
      <c r="AP60" s="62">
        <f t="shared" si="128"/>
        <v>0</v>
      </c>
      <c r="AQ60" s="62">
        <f t="shared" si="128"/>
        <v>0</v>
      </c>
      <c r="AR60" s="62">
        <f t="shared" si="128"/>
        <v>0</v>
      </c>
      <c r="AS60" s="62">
        <f t="shared" si="128"/>
        <v>0</v>
      </c>
      <c r="AT60" s="62">
        <f t="shared" si="128"/>
        <v>0</v>
      </c>
      <c r="AU60" s="62">
        <f t="shared" si="128"/>
        <v>526669.3</v>
      </c>
      <c r="AV60" s="62">
        <f t="shared" si="128"/>
        <v>0</v>
      </c>
      <c r="AW60" s="62">
        <f t="shared" si="128"/>
        <v>144920.1</v>
      </c>
      <c r="AX60" s="62">
        <f t="shared" si="128"/>
        <v>1.7280399333685637E-11</v>
      </c>
      <c r="AY60" s="62">
        <f t="shared" si="128"/>
        <v>2397.7</v>
      </c>
      <c r="AZ60" s="62">
        <f t="shared" si="128"/>
        <v>0</v>
      </c>
      <c r="BA60" s="62">
        <f t="shared" si="128"/>
        <v>0</v>
      </c>
      <c r="BB60" s="62">
        <f t="shared" si="128"/>
        <v>0</v>
      </c>
      <c r="BC60" s="62">
        <f t="shared" si="128"/>
        <v>0</v>
      </c>
      <c r="BD60" s="62">
        <f t="shared" si="128"/>
        <v>0</v>
      </c>
      <c r="BE60" s="62">
        <f t="shared" si="128"/>
        <v>0</v>
      </c>
      <c r="BF60" s="62">
        <f t="shared" si="128"/>
        <v>0</v>
      </c>
      <c r="BG60" s="62">
        <f t="shared" si="128"/>
        <v>0</v>
      </c>
      <c r="BH60" s="62">
        <f t="shared" si="128"/>
        <v>0</v>
      </c>
      <c r="BI60" s="62">
        <f t="shared" si="128"/>
        <v>0</v>
      </c>
      <c r="BJ60" s="62">
        <f t="shared" si="128"/>
        <v>0</v>
      </c>
      <c r="BK60" s="62">
        <f t="shared" si="128"/>
        <v>0</v>
      </c>
      <c r="BL60" s="62">
        <f t="shared" si="128"/>
        <v>0</v>
      </c>
      <c r="BM60" s="62">
        <f t="shared" si="128"/>
        <v>0</v>
      </c>
      <c r="BN60" s="62">
        <f t="shared" si="128"/>
        <v>0</v>
      </c>
      <c r="BO60" s="62">
        <f aca="true" t="shared" si="129" ref="BO60:CI60">BO10+BO20+BO26</f>
        <v>0</v>
      </c>
      <c r="BP60" s="62">
        <f t="shared" si="129"/>
        <v>0</v>
      </c>
      <c r="BQ60" s="62">
        <f t="shared" si="129"/>
        <v>0</v>
      </c>
      <c r="BR60" s="62">
        <f t="shared" si="129"/>
        <v>0</v>
      </c>
      <c r="BS60" s="62">
        <f t="shared" si="129"/>
        <v>0</v>
      </c>
      <c r="BT60" s="62">
        <f t="shared" si="129"/>
        <v>748073.5100000001</v>
      </c>
      <c r="BU60" s="62">
        <f t="shared" si="129"/>
        <v>0</v>
      </c>
      <c r="BV60" s="62">
        <f t="shared" si="129"/>
        <v>0</v>
      </c>
      <c r="BW60" s="62">
        <f t="shared" si="129"/>
        <v>0</v>
      </c>
      <c r="BX60" s="62">
        <f t="shared" si="129"/>
        <v>748073.5100000001</v>
      </c>
      <c r="BY60" s="62">
        <f t="shared" si="129"/>
        <v>266806.8</v>
      </c>
      <c r="BZ60" s="62">
        <f t="shared" si="129"/>
        <v>0</v>
      </c>
      <c r="CA60" s="62">
        <f t="shared" si="129"/>
        <v>481266.71</v>
      </c>
      <c r="CB60" s="62">
        <f t="shared" si="129"/>
        <v>748073.51</v>
      </c>
      <c r="CC60" s="62">
        <f t="shared" si="129"/>
        <v>0</v>
      </c>
      <c r="CD60" s="62">
        <f t="shared" si="129"/>
        <v>-144920.1</v>
      </c>
      <c r="CE60" s="62">
        <f t="shared" si="129"/>
        <v>-144920.1</v>
      </c>
      <c r="CF60" s="62">
        <f t="shared" si="129"/>
        <v>0</v>
      </c>
      <c r="CG60" s="62">
        <f t="shared" si="129"/>
        <v>526669.3</v>
      </c>
      <c r="CH60" s="62">
        <f t="shared" si="129"/>
        <v>-10232.65</v>
      </c>
      <c r="CI60" s="62">
        <f t="shared" si="129"/>
        <v>-10232.65</v>
      </c>
      <c r="CJ60" s="62">
        <f>CJ10+CJ20+CJ26</f>
        <v>46740</v>
      </c>
      <c r="CK60" s="62">
        <f>CK10+CK20+CK26</f>
        <v>671589.4</v>
      </c>
      <c r="CL60" s="153" t="e">
        <f aca="true" t="shared" si="130" ref="CL60:CL65">CD60/CF60</f>
        <v>#DIV/0!</v>
      </c>
      <c r="CM60" s="153" t="e">
        <f aca="true" t="shared" si="131" ref="CM60:CM65">CE60/CF60</f>
        <v>#DIV/0!</v>
      </c>
      <c r="CN60" s="154">
        <f aca="true" t="shared" si="132" ref="CN60:CN65">CD60/CG60*1</f>
        <v>-0.27516337101858795</v>
      </c>
      <c r="CO60" s="154">
        <f aca="true" t="shared" si="133" ref="CO60:CO65">CE60/CG60</f>
        <v>-0.27516337101858795</v>
      </c>
      <c r="CP60" s="154">
        <f aca="true" t="shared" si="134" ref="CP60:CP65">CH60/CG60</f>
        <v>-0.019428985133555343</v>
      </c>
      <c r="CQ60" s="154">
        <f aca="true" t="shared" si="135" ref="CQ60:CQ65">CI60/CG60</f>
        <v>-0.019428985133555343</v>
      </c>
      <c r="CR60" s="153">
        <f aca="true" t="shared" si="136" ref="CR60:CR65">IF(CJ60=0,"-",((CJ60/CG60)))</f>
        <v>0.08874639171107941</v>
      </c>
      <c r="CS60" s="153" t="str">
        <f aca="true" t="shared" si="137" ref="CS60:CS65">IF(BR60=0,"-",(BR60/CK60))</f>
        <v>-</v>
      </c>
      <c r="CT60" s="154" t="e">
        <f aca="true" t="shared" si="138" ref="CT60:CT65">(K60+L60)/(BU60+K60+L60)</f>
        <v>#DIV/0!</v>
      </c>
      <c r="CU60" s="154" t="e">
        <f aca="true" t="shared" si="139" ref="CU60:CU65">(K60)/(BU60+K60+L60)</f>
        <v>#DIV/0!</v>
      </c>
      <c r="CV60" s="155">
        <f aca="true" t="shared" si="140" ref="CV60:CV65">CW60/CE60</f>
        <v>-3.3209106949277576</v>
      </c>
      <c r="CW60" s="156">
        <f aca="true" t="shared" si="141" ref="CW60:CW65">BT60-BY60</f>
        <v>481266.71000000014</v>
      </c>
      <c r="CX60" s="156">
        <f aca="true" t="shared" si="142" ref="CX60:CX65">Y60-K60-L60-V60</f>
        <v>671589.4</v>
      </c>
      <c r="CY60" s="156">
        <f aca="true" t="shared" si="143" ref="CY60:CY65">AU60-AR60</f>
        <v>526669.3</v>
      </c>
      <c r="CZ60" s="156">
        <f aca="true" t="shared" si="144" ref="CZ60:CZ65">CY60-CX60</f>
        <v>-144920.09999999998</v>
      </c>
      <c r="DA60" s="156">
        <f aca="true" t="shared" si="145" ref="DA60:DA65">-V60+AR60</f>
        <v>0</v>
      </c>
      <c r="DB60" s="156">
        <f aca="true" t="shared" si="146" ref="DB60:DB65">CZ60+DA60</f>
        <v>-144920.09999999998</v>
      </c>
      <c r="DC60" s="156">
        <f aca="true" t="shared" si="147" ref="DC60:DC65">DB60-K60-L60</f>
        <v>-144920.09999999998</v>
      </c>
      <c r="DD60" s="156">
        <f aca="true" t="shared" si="148" ref="DD60:DD65">BR60-BP60</f>
        <v>0</v>
      </c>
      <c r="DE60" s="156">
        <f aca="true" t="shared" si="149" ref="DE60:DE65">K60+L60</f>
        <v>0</v>
      </c>
      <c r="DF60" s="156">
        <f aca="true" t="shared" si="150" ref="DF60:DF65">-DD60+DE60+DC60</f>
        <v>-144920.09999999998</v>
      </c>
      <c r="DG60" s="156">
        <f aca="true" t="shared" si="151" ref="DG60:DG65">-DD60+DE60+DC60+W60-AS60</f>
        <v>-144920.09999999998</v>
      </c>
      <c r="DH60" s="156">
        <f aca="true" t="shared" si="152" ref="DH60:DH65">-BP60-DE60</f>
        <v>0</v>
      </c>
      <c r="DI60" s="156">
        <f aca="true" t="shared" si="153" ref="DI60:DI65">DF60+DH60+BR60</f>
        <v>-144920.09999999998</v>
      </c>
      <c r="DJ60" s="156">
        <f aca="true" t="shared" si="154" ref="DJ60:DJ65">Z60+AA60+AB60</f>
        <v>264389.05000000005</v>
      </c>
      <c r="DK60" s="156">
        <f aca="true" t="shared" si="155" ref="DK60:DK65">CW60/B60</f>
        <v>334.21299305555567</v>
      </c>
      <c r="DL60" s="156">
        <f aca="true" t="shared" si="156" ref="DL60:DL65">CH60/B60</f>
        <v>-7.106006944444444</v>
      </c>
      <c r="DM60" s="156">
        <f aca="true" t="shared" si="157" ref="DM60:DM65">DJ60/B60</f>
        <v>183.6035069444445</v>
      </c>
      <c r="DN60" s="157">
        <f aca="true" t="shared" si="158" ref="DN60:DN65">DD60/B60</f>
        <v>0</v>
      </c>
      <c r="DO60" s="156">
        <f aca="true" t="shared" si="159" ref="DO60:DO65">DF60/B60</f>
        <v>-100.63895833333332</v>
      </c>
      <c r="DP60" s="158">
        <f aca="true" t="shared" si="160" ref="DP60:DP65">CA60-BW60-BU60</f>
        <v>481266.71</v>
      </c>
      <c r="DT60" s="62">
        <f aca="true" t="shared" si="161" ref="DT60:EN60">DT10+DT20+DT26</f>
        <v>279114.53</v>
      </c>
      <c r="DU60" s="62">
        <f t="shared" si="161"/>
        <v>110785.29999999999</v>
      </c>
      <c r="DV60" s="62">
        <f t="shared" si="161"/>
        <v>358173.68</v>
      </c>
      <c r="DW60" s="62">
        <f t="shared" si="161"/>
        <v>0</v>
      </c>
      <c r="DX60" s="62">
        <f t="shared" si="161"/>
        <v>0</v>
      </c>
      <c r="DY60" s="62">
        <f t="shared" si="161"/>
        <v>0</v>
      </c>
      <c r="DZ60" s="62">
        <f t="shared" si="161"/>
        <v>0</v>
      </c>
      <c r="EA60" s="62">
        <f t="shared" si="161"/>
        <v>0</v>
      </c>
      <c r="EB60" s="62">
        <f t="shared" si="161"/>
        <v>0</v>
      </c>
      <c r="EC60" s="62">
        <f t="shared" si="161"/>
        <v>0</v>
      </c>
      <c r="ED60" s="62">
        <f t="shared" si="161"/>
        <v>748073.5100000001</v>
      </c>
      <c r="EE60" s="62">
        <f t="shared" si="161"/>
        <v>207842.80000000002</v>
      </c>
      <c r="EF60" s="62">
        <f t="shared" si="161"/>
        <v>0</v>
      </c>
      <c r="EG60" s="62">
        <f t="shared" si="161"/>
        <v>0</v>
      </c>
      <c r="EH60" s="62">
        <f t="shared" si="161"/>
        <v>46740</v>
      </c>
      <c r="EI60" s="62">
        <f t="shared" si="161"/>
        <v>0</v>
      </c>
      <c r="EJ60" s="62">
        <f t="shared" si="161"/>
        <v>12224</v>
      </c>
      <c r="EK60" s="62">
        <f t="shared" si="161"/>
        <v>0</v>
      </c>
      <c r="EL60" s="62">
        <f t="shared" si="161"/>
        <v>481266.71</v>
      </c>
      <c r="EM60" s="62">
        <f t="shared" si="161"/>
        <v>748073.51</v>
      </c>
      <c r="EN60" s="62">
        <f t="shared" si="161"/>
        <v>0</v>
      </c>
    </row>
    <row r="61" spans="1:144" ht="12.75">
      <c r="A61" s="3" t="s">
        <v>243</v>
      </c>
      <c r="B61" s="62">
        <f>B4+B19+B21+B24+B25</f>
        <v>14545</v>
      </c>
      <c r="C61" s="62">
        <f aca="true" t="shared" si="162" ref="C61:BN61">C4+C19+C21+C24+C25</f>
        <v>56117341</v>
      </c>
      <c r="D61" s="62">
        <f>(D4+D19+D21+D24+D25)/5</f>
        <v>3728.626</v>
      </c>
      <c r="E61" s="62">
        <f>(E4+E19+E21+E24+E25)/5</f>
        <v>99.20200000000001</v>
      </c>
      <c r="F61" s="62">
        <f>(F4+F19+F21+F24+F25)/5</f>
        <v>3.4</v>
      </c>
      <c r="G61" s="62">
        <f t="shared" si="162"/>
        <v>317373.54999999993</v>
      </c>
      <c r="H61" s="62">
        <f t="shared" si="162"/>
        <v>104465.95</v>
      </c>
      <c r="I61" s="62">
        <f t="shared" si="162"/>
        <v>38075.75</v>
      </c>
      <c r="J61" s="62">
        <f t="shared" si="162"/>
        <v>7143.35</v>
      </c>
      <c r="K61" s="62">
        <f t="shared" si="162"/>
        <v>0</v>
      </c>
      <c r="L61" s="62">
        <f t="shared" si="162"/>
        <v>0</v>
      </c>
      <c r="M61" s="62">
        <f t="shared" si="162"/>
        <v>0</v>
      </c>
      <c r="N61" s="62">
        <f t="shared" si="162"/>
        <v>0</v>
      </c>
      <c r="O61" s="62">
        <f t="shared" si="162"/>
        <v>0</v>
      </c>
      <c r="P61" s="62">
        <f t="shared" si="162"/>
        <v>4282722.649999999</v>
      </c>
      <c r="Q61" s="62">
        <f t="shared" si="162"/>
        <v>0</v>
      </c>
      <c r="R61" s="62">
        <f t="shared" si="162"/>
        <v>0</v>
      </c>
      <c r="S61" s="62">
        <f t="shared" si="162"/>
        <v>0</v>
      </c>
      <c r="T61" s="62">
        <f t="shared" si="162"/>
        <v>0</v>
      </c>
      <c r="U61" s="62">
        <f t="shared" si="162"/>
        <v>0</v>
      </c>
      <c r="V61" s="62">
        <f t="shared" si="162"/>
        <v>0</v>
      </c>
      <c r="W61" s="62">
        <f t="shared" si="162"/>
        <v>0</v>
      </c>
      <c r="X61" s="62">
        <f t="shared" si="162"/>
        <v>88505</v>
      </c>
      <c r="Y61" s="62">
        <f t="shared" si="162"/>
        <v>4838286.25</v>
      </c>
      <c r="Z61" s="62">
        <f t="shared" si="162"/>
        <v>2124414.75</v>
      </c>
      <c r="AA61" s="62">
        <f t="shared" si="162"/>
        <v>111886.25</v>
      </c>
      <c r="AB61" s="62">
        <f t="shared" si="162"/>
        <v>0</v>
      </c>
      <c r="AC61" s="62">
        <f t="shared" si="162"/>
        <v>76608.35</v>
      </c>
      <c r="AD61" s="62">
        <f t="shared" si="162"/>
        <v>0</v>
      </c>
      <c r="AE61" s="62">
        <f t="shared" si="162"/>
        <v>2312909.35</v>
      </c>
      <c r="AF61" s="62">
        <f t="shared" si="162"/>
        <v>0</v>
      </c>
      <c r="AG61" s="62">
        <f t="shared" si="162"/>
        <v>49828.100000000006</v>
      </c>
      <c r="AH61" s="62">
        <f t="shared" si="162"/>
        <v>0</v>
      </c>
      <c r="AI61" s="62">
        <f t="shared" si="162"/>
        <v>2119083.65</v>
      </c>
      <c r="AJ61" s="62">
        <f t="shared" si="162"/>
        <v>-17.55</v>
      </c>
      <c r="AK61" s="62">
        <f t="shared" si="162"/>
        <v>339400.2</v>
      </c>
      <c r="AL61" s="62">
        <f t="shared" si="162"/>
        <v>4305.8</v>
      </c>
      <c r="AM61" s="62">
        <f t="shared" si="162"/>
        <v>0</v>
      </c>
      <c r="AN61" s="62">
        <f t="shared" si="162"/>
        <v>0</v>
      </c>
      <c r="AO61" s="62">
        <f t="shared" si="162"/>
        <v>0</v>
      </c>
      <c r="AP61" s="62">
        <f t="shared" si="162"/>
        <v>0</v>
      </c>
      <c r="AQ61" s="62">
        <f t="shared" si="162"/>
        <v>0</v>
      </c>
      <c r="AR61" s="62">
        <f t="shared" si="162"/>
        <v>0</v>
      </c>
      <c r="AS61" s="62">
        <f t="shared" si="162"/>
        <v>0</v>
      </c>
      <c r="AT61" s="62">
        <f t="shared" si="162"/>
        <v>88505</v>
      </c>
      <c r="AU61" s="62">
        <f t="shared" si="162"/>
        <v>4914014.55</v>
      </c>
      <c r="AV61" s="62">
        <f t="shared" si="162"/>
        <v>300047.45</v>
      </c>
      <c r="AW61" s="62">
        <f t="shared" si="162"/>
        <v>224319.15</v>
      </c>
      <c r="AX61" s="62">
        <f t="shared" si="162"/>
        <v>9.822542779147625E-11</v>
      </c>
      <c r="AY61" s="62">
        <f t="shared" si="162"/>
        <v>0</v>
      </c>
      <c r="AZ61" s="62">
        <f t="shared" si="162"/>
        <v>0</v>
      </c>
      <c r="BA61" s="62">
        <f t="shared" si="162"/>
        <v>0</v>
      </c>
      <c r="BB61" s="62">
        <f t="shared" si="162"/>
        <v>0</v>
      </c>
      <c r="BC61" s="62">
        <f t="shared" si="162"/>
        <v>0</v>
      </c>
      <c r="BD61" s="62">
        <f t="shared" si="162"/>
        <v>0</v>
      </c>
      <c r="BE61" s="62">
        <f t="shared" si="162"/>
        <v>0</v>
      </c>
      <c r="BF61" s="62">
        <f t="shared" si="162"/>
        <v>0</v>
      </c>
      <c r="BG61" s="62">
        <f t="shared" si="162"/>
        <v>0</v>
      </c>
      <c r="BH61" s="62">
        <f t="shared" si="162"/>
        <v>0</v>
      </c>
      <c r="BI61" s="62">
        <f t="shared" si="162"/>
        <v>0</v>
      </c>
      <c r="BJ61" s="62">
        <f t="shared" si="162"/>
        <v>0</v>
      </c>
      <c r="BK61" s="62">
        <f t="shared" si="162"/>
        <v>0</v>
      </c>
      <c r="BL61" s="62">
        <f t="shared" si="162"/>
        <v>0</v>
      </c>
      <c r="BM61" s="62">
        <f t="shared" si="162"/>
        <v>0</v>
      </c>
      <c r="BN61" s="62">
        <f t="shared" si="162"/>
        <v>0</v>
      </c>
      <c r="BO61" s="62">
        <f aca="true" t="shared" si="163" ref="BO61:CI61">BO4+BO19+BO21+BO24+BO25</f>
        <v>0</v>
      </c>
      <c r="BP61" s="62">
        <f t="shared" si="163"/>
        <v>0</v>
      </c>
      <c r="BQ61" s="62">
        <f t="shared" si="163"/>
        <v>0</v>
      </c>
      <c r="BR61" s="62">
        <f t="shared" si="163"/>
        <v>0</v>
      </c>
      <c r="BS61" s="62">
        <f t="shared" si="163"/>
        <v>0</v>
      </c>
      <c r="BT61" s="62">
        <f t="shared" si="163"/>
        <v>3233240.42</v>
      </c>
      <c r="BU61" s="62">
        <f t="shared" si="163"/>
        <v>0</v>
      </c>
      <c r="BV61" s="62">
        <f t="shared" si="163"/>
        <v>0</v>
      </c>
      <c r="BW61" s="62">
        <f t="shared" si="163"/>
        <v>80025.45</v>
      </c>
      <c r="BX61" s="62">
        <f t="shared" si="163"/>
        <v>3313265.8699999996</v>
      </c>
      <c r="BY61" s="62">
        <f t="shared" si="163"/>
        <v>1587403.5300000003</v>
      </c>
      <c r="BZ61" s="62">
        <f t="shared" si="163"/>
        <v>0</v>
      </c>
      <c r="CA61" s="62">
        <f t="shared" si="163"/>
        <v>1725862.3399999999</v>
      </c>
      <c r="CB61" s="62">
        <f t="shared" si="163"/>
        <v>3313265.8699999996</v>
      </c>
      <c r="CC61" s="62">
        <f t="shared" si="163"/>
        <v>0</v>
      </c>
      <c r="CD61" s="62">
        <f t="shared" si="163"/>
        <v>75728.30000000002</v>
      </c>
      <c r="CE61" s="62">
        <f t="shared" si="163"/>
        <v>75728.30000000002</v>
      </c>
      <c r="CF61" s="62">
        <f t="shared" si="163"/>
        <v>0</v>
      </c>
      <c r="CG61" s="62">
        <f t="shared" si="163"/>
        <v>4825509.55</v>
      </c>
      <c r="CH61" s="62">
        <f t="shared" si="163"/>
        <v>-11752.35</v>
      </c>
      <c r="CI61" s="62">
        <f t="shared" si="163"/>
        <v>-11752.35</v>
      </c>
      <c r="CJ61" s="62">
        <f>CJ4+CJ19+CJ21+CJ24+CJ25</f>
        <v>905269.3300000001</v>
      </c>
      <c r="CK61" s="62">
        <f>CK4+CK19+CK21+CK24+CK25</f>
        <v>4749781.25</v>
      </c>
      <c r="CL61" s="153" t="e">
        <f t="shared" si="130"/>
        <v>#DIV/0!</v>
      </c>
      <c r="CM61" s="153" t="e">
        <f t="shared" si="131"/>
        <v>#DIV/0!</v>
      </c>
      <c r="CN61" s="154">
        <f t="shared" si="132"/>
        <v>0.01569332714303716</v>
      </c>
      <c r="CO61" s="154">
        <f t="shared" si="133"/>
        <v>0.01569332714303716</v>
      </c>
      <c r="CP61" s="154">
        <f t="shared" si="134"/>
        <v>-0.0024354630072175487</v>
      </c>
      <c r="CQ61" s="154">
        <f t="shared" si="135"/>
        <v>-0.0024354630072175487</v>
      </c>
      <c r="CR61" s="153">
        <f t="shared" si="136"/>
        <v>0.1876007747202573</v>
      </c>
      <c r="CS61" s="153" t="str">
        <f t="shared" si="137"/>
        <v>-</v>
      </c>
      <c r="CT61" s="154" t="e">
        <f t="shared" si="138"/>
        <v>#DIV/0!</v>
      </c>
      <c r="CU61" s="154" t="e">
        <f t="shared" si="139"/>
        <v>#DIV/0!</v>
      </c>
      <c r="CV61" s="155">
        <f t="shared" si="140"/>
        <v>21.733445620725664</v>
      </c>
      <c r="CW61" s="156">
        <f t="shared" si="141"/>
        <v>1645836.8899999997</v>
      </c>
      <c r="CX61" s="156">
        <f t="shared" si="142"/>
        <v>4838286.25</v>
      </c>
      <c r="CY61" s="156">
        <f t="shared" si="143"/>
        <v>4914014.55</v>
      </c>
      <c r="CZ61" s="156">
        <f t="shared" si="144"/>
        <v>75728.29999999981</v>
      </c>
      <c r="DA61" s="156">
        <f t="shared" si="145"/>
        <v>0</v>
      </c>
      <c r="DB61" s="156">
        <f t="shared" si="146"/>
        <v>75728.29999999981</v>
      </c>
      <c r="DC61" s="156">
        <f t="shared" si="147"/>
        <v>75728.29999999981</v>
      </c>
      <c r="DD61" s="156">
        <f t="shared" si="148"/>
        <v>0</v>
      </c>
      <c r="DE61" s="156">
        <f t="shared" si="149"/>
        <v>0</v>
      </c>
      <c r="DF61" s="156">
        <f t="shared" si="150"/>
        <v>75728.29999999981</v>
      </c>
      <c r="DG61" s="156">
        <f t="shared" si="151"/>
        <v>75728.29999999981</v>
      </c>
      <c r="DH61" s="156">
        <f t="shared" si="152"/>
        <v>0</v>
      </c>
      <c r="DI61" s="156">
        <f t="shared" si="153"/>
        <v>75728.29999999981</v>
      </c>
      <c r="DJ61" s="156">
        <f t="shared" si="154"/>
        <v>2236301</v>
      </c>
      <c r="DK61" s="156">
        <f t="shared" si="155"/>
        <v>113.15482227569609</v>
      </c>
      <c r="DL61" s="156">
        <f t="shared" si="156"/>
        <v>-0.807999312478515</v>
      </c>
      <c r="DM61" s="156">
        <f t="shared" si="157"/>
        <v>153.75049845307666</v>
      </c>
      <c r="DN61" s="157">
        <f t="shared" si="158"/>
        <v>0</v>
      </c>
      <c r="DO61" s="156">
        <f t="shared" si="159"/>
        <v>5.206483327603975</v>
      </c>
      <c r="DP61" s="158">
        <f t="shared" si="160"/>
        <v>1645836.89</v>
      </c>
      <c r="DT61" s="62">
        <f aca="true" t="shared" si="164" ref="DT61:EN61">DT4+DT19+DT21+DT24+DT25</f>
        <v>900876.82</v>
      </c>
      <c r="DU61" s="62">
        <f t="shared" si="164"/>
        <v>225352.6</v>
      </c>
      <c r="DV61" s="62">
        <f t="shared" si="164"/>
        <v>1815440.95</v>
      </c>
      <c r="DW61" s="62">
        <f t="shared" si="164"/>
        <v>291570.05000000005</v>
      </c>
      <c r="DX61" s="62">
        <f t="shared" si="164"/>
        <v>0</v>
      </c>
      <c r="DY61" s="62">
        <f t="shared" si="164"/>
        <v>0</v>
      </c>
      <c r="DZ61" s="62">
        <f t="shared" si="164"/>
        <v>0</v>
      </c>
      <c r="EA61" s="62">
        <f t="shared" si="164"/>
        <v>0</v>
      </c>
      <c r="EB61" s="62">
        <f t="shared" si="164"/>
        <v>0</v>
      </c>
      <c r="EC61" s="62">
        <f t="shared" si="164"/>
        <v>80025.45</v>
      </c>
      <c r="ED61" s="62">
        <f t="shared" si="164"/>
        <v>3313265.8699999996</v>
      </c>
      <c r="EE61" s="62">
        <f t="shared" si="164"/>
        <v>624724.75</v>
      </c>
      <c r="EF61" s="62">
        <f t="shared" si="164"/>
        <v>100000</v>
      </c>
      <c r="EG61" s="62">
        <f t="shared" si="164"/>
        <v>31377.18</v>
      </c>
      <c r="EH61" s="62">
        <f t="shared" si="164"/>
        <v>773892.15</v>
      </c>
      <c r="EI61" s="62">
        <f t="shared" si="164"/>
        <v>0</v>
      </c>
      <c r="EJ61" s="62">
        <f t="shared" si="164"/>
        <v>57409.45</v>
      </c>
      <c r="EK61" s="62">
        <f t="shared" si="164"/>
        <v>0</v>
      </c>
      <c r="EL61" s="62">
        <f t="shared" si="164"/>
        <v>1725862.3399999999</v>
      </c>
      <c r="EM61" s="62">
        <f t="shared" si="164"/>
        <v>3313265.8699999996</v>
      </c>
      <c r="EN61" s="62">
        <f t="shared" si="164"/>
        <v>0</v>
      </c>
    </row>
    <row r="62" spans="1:144" ht="12.75">
      <c r="A62" s="3" t="s">
        <v>244</v>
      </c>
      <c r="B62" s="62">
        <f>B9+B11+B22+B27</f>
        <v>11998</v>
      </c>
      <c r="C62" s="62">
        <f aca="true" t="shared" si="165" ref="C62:BN62">C9+C11+C22+C27</f>
        <v>48626569</v>
      </c>
      <c r="D62" s="62">
        <f>(D9+D11+D22+D27)/4</f>
        <v>3795.84</v>
      </c>
      <c r="E62" s="62">
        <f>(E9+E11+E22+E27)/4</f>
        <v>100.99</v>
      </c>
      <c r="F62" s="62">
        <f>(F9+F11+F22+F27)/4</f>
        <v>4.25</v>
      </c>
      <c r="G62" s="62">
        <f t="shared" si="165"/>
        <v>454718.05000000005</v>
      </c>
      <c r="H62" s="62">
        <f t="shared" si="165"/>
        <v>114747.25</v>
      </c>
      <c r="I62" s="62">
        <f t="shared" si="165"/>
        <v>9171.05</v>
      </c>
      <c r="J62" s="62">
        <f t="shared" si="165"/>
        <v>0</v>
      </c>
      <c r="K62" s="62">
        <f t="shared" si="165"/>
        <v>8779.8</v>
      </c>
      <c r="L62" s="62">
        <f t="shared" si="165"/>
        <v>0</v>
      </c>
      <c r="M62" s="62">
        <f t="shared" si="165"/>
        <v>8779.8</v>
      </c>
      <c r="N62" s="62">
        <f t="shared" si="165"/>
        <v>0</v>
      </c>
      <c r="O62" s="62">
        <f t="shared" si="165"/>
        <v>0</v>
      </c>
      <c r="P62" s="62">
        <f t="shared" si="165"/>
        <v>5427287.3</v>
      </c>
      <c r="Q62" s="62">
        <f t="shared" si="165"/>
        <v>0</v>
      </c>
      <c r="R62" s="62">
        <f t="shared" si="165"/>
        <v>0</v>
      </c>
      <c r="S62" s="62">
        <f t="shared" si="165"/>
        <v>0</v>
      </c>
      <c r="T62" s="62">
        <f t="shared" si="165"/>
        <v>0</v>
      </c>
      <c r="U62" s="62">
        <f t="shared" si="165"/>
        <v>0</v>
      </c>
      <c r="V62" s="62">
        <f t="shared" si="165"/>
        <v>0</v>
      </c>
      <c r="W62" s="62">
        <f t="shared" si="165"/>
        <v>0</v>
      </c>
      <c r="X62" s="62">
        <f t="shared" si="165"/>
        <v>122237.60000000002</v>
      </c>
      <c r="Y62" s="62">
        <f t="shared" si="165"/>
        <v>6136941.05</v>
      </c>
      <c r="Z62" s="62">
        <f t="shared" si="165"/>
        <v>2115239.45</v>
      </c>
      <c r="AA62" s="62">
        <f t="shared" si="165"/>
        <v>184133.75</v>
      </c>
      <c r="AB62" s="62">
        <f t="shared" si="165"/>
        <v>0</v>
      </c>
      <c r="AC62" s="62">
        <f t="shared" si="165"/>
        <v>80741.84999999999</v>
      </c>
      <c r="AD62" s="62">
        <f t="shared" si="165"/>
        <v>0</v>
      </c>
      <c r="AE62" s="62">
        <f t="shared" si="165"/>
        <v>2380115.0500000003</v>
      </c>
      <c r="AF62" s="62">
        <f t="shared" si="165"/>
        <v>0</v>
      </c>
      <c r="AG62" s="62">
        <f t="shared" si="165"/>
        <v>51165.15000000001</v>
      </c>
      <c r="AH62" s="62">
        <f t="shared" si="165"/>
        <v>8571.8</v>
      </c>
      <c r="AI62" s="62">
        <f t="shared" si="165"/>
        <v>3028749.82</v>
      </c>
      <c r="AJ62" s="62">
        <f t="shared" si="165"/>
        <v>0</v>
      </c>
      <c r="AK62" s="62">
        <f t="shared" si="165"/>
        <v>15046</v>
      </c>
      <c r="AL62" s="62">
        <f t="shared" si="165"/>
        <v>0</v>
      </c>
      <c r="AM62" s="62">
        <f t="shared" si="165"/>
        <v>0</v>
      </c>
      <c r="AN62" s="62">
        <f t="shared" si="165"/>
        <v>0</v>
      </c>
      <c r="AO62" s="62">
        <f t="shared" si="165"/>
        <v>0</v>
      </c>
      <c r="AP62" s="62">
        <f t="shared" si="165"/>
        <v>0</v>
      </c>
      <c r="AQ62" s="62">
        <f t="shared" si="165"/>
        <v>0</v>
      </c>
      <c r="AR62" s="62">
        <f t="shared" si="165"/>
        <v>0</v>
      </c>
      <c r="AS62" s="62">
        <f t="shared" si="165"/>
        <v>0</v>
      </c>
      <c r="AT62" s="62">
        <f t="shared" si="165"/>
        <v>122237.60000000002</v>
      </c>
      <c r="AU62" s="62">
        <f t="shared" si="165"/>
        <v>5597313.620000001</v>
      </c>
      <c r="AV62" s="62">
        <f t="shared" si="165"/>
        <v>0</v>
      </c>
      <c r="AW62" s="62">
        <f t="shared" si="165"/>
        <v>539627.43</v>
      </c>
      <c r="AX62" s="62">
        <f t="shared" si="165"/>
        <v>-1.3387762010097504E-09</v>
      </c>
      <c r="AY62" s="62">
        <f t="shared" si="165"/>
        <v>0</v>
      </c>
      <c r="AZ62" s="62">
        <f t="shared" si="165"/>
        <v>0</v>
      </c>
      <c r="BA62" s="62">
        <f t="shared" si="165"/>
        <v>0</v>
      </c>
      <c r="BB62" s="62">
        <f t="shared" si="165"/>
        <v>0</v>
      </c>
      <c r="BC62" s="62">
        <f t="shared" si="165"/>
        <v>0</v>
      </c>
      <c r="BD62" s="62">
        <f t="shared" si="165"/>
        <v>0</v>
      </c>
      <c r="BE62" s="62">
        <f t="shared" si="165"/>
        <v>0</v>
      </c>
      <c r="BF62" s="62">
        <f t="shared" si="165"/>
        <v>0</v>
      </c>
      <c r="BG62" s="62">
        <f t="shared" si="165"/>
        <v>0</v>
      </c>
      <c r="BH62" s="62">
        <f t="shared" si="165"/>
        <v>0</v>
      </c>
      <c r="BI62" s="62">
        <f t="shared" si="165"/>
        <v>0</v>
      </c>
      <c r="BJ62" s="62">
        <f t="shared" si="165"/>
        <v>0</v>
      </c>
      <c r="BK62" s="62">
        <f t="shared" si="165"/>
        <v>0</v>
      </c>
      <c r="BL62" s="62">
        <f t="shared" si="165"/>
        <v>0</v>
      </c>
      <c r="BM62" s="62">
        <f t="shared" si="165"/>
        <v>0</v>
      </c>
      <c r="BN62" s="62">
        <f t="shared" si="165"/>
        <v>0</v>
      </c>
      <c r="BO62" s="62">
        <f aca="true" t="shared" si="166" ref="BO62:CI62">BO9+BO11+BO22+BO27</f>
        <v>0</v>
      </c>
      <c r="BP62" s="62">
        <f t="shared" si="166"/>
        <v>0</v>
      </c>
      <c r="BQ62" s="62">
        <f t="shared" si="166"/>
        <v>0</v>
      </c>
      <c r="BR62" s="62">
        <f t="shared" si="166"/>
        <v>0</v>
      </c>
      <c r="BS62" s="62">
        <f t="shared" si="166"/>
        <v>0</v>
      </c>
      <c r="BT62" s="62">
        <f t="shared" si="166"/>
        <v>2740758.9800000004</v>
      </c>
      <c r="BU62" s="62">
        <f t="shared" si="166"/>
        <v>13170.7</v>
      </c>
      <c r="BV62" s="62">
        <f t="shared" si="166"/>
        <v>0</v>
      </c>
      <c r="BW62" s="62">
        <f t="shared" si="166"/>
        <v>0</v>
      </c>
      <c r="BX62" s="62">
        <f t="shared" si="166"/>
        <v>2753929.68</v>
      </c>
      <c r="BY62" s="62">
        <f t="shared" si="166"/>
        <v>1825070.43</v>
      </c>
      <c r="BZ62" s="62">
        <f t="shared" si="166"/>
        <v>0</v>
      </c>
      <c r="CA62" s="62">
        <f t="shared" si="166"/>
        <v>928859.25</v>
      </c>
      <c r="CB62" s="62">
        <f t="shared" si="166"/>
        <v>2753929.68</v>
      </c>
      <c r="CC62" s="62">
        <f t="shared" si="166"/>
        <v>0</v>
      </c>
      <c r="CD62" s="62">
        <f t="shared" si="166"/>
        <v>-530847.63</v>
      </c>
      <c r="CE62" s="62">
        <f t="shared" si="166"/>
        <v>-530847.63</v>
      </c>
      <c r="CF62" s="62">
        <f t="shared" si="166"/>
        <v>0</v>
      </c>
      <c r="CG62" s="62">
        <f t="shared" si="166"/>
        <v>5475076.0200000005</v>
      </c>
      <c r="CH62" s="62">
        <f t="shared" si="166"/>
        <v>-33422.3</v>
      </c>
      <c r="CI62" s="62">
        <f t="shared" si="166"/>
        <v>-24642.500000000007</v>
      </c>
      <c r="CJ62" s="62">
        <f>CJ9+CJ11+CJ22+CJ27</f>
        <v>600000</v>
      </c>
      <c r="CK62" s="62">
        <f>CK9+CK11+CK22+CK27</f>
        <v>6005923.6499999985</v>
      </c>
      <c r="CL62" s="153" t="e">
        <f t="shared" si="130"/>
        <v>#DIV/0!</v>
      </c>
      <c r="CM62" s="153" t="e">
        <f t="shared" si="131"/>
        <v>#DIV/0!</v>
      </c>
      <c r="CN62" s="154">
        <f t="shared" si="132"/>
        <v>-0.09695712498983712</v>
      </c>
      <c r="CO62" s="154">
        <f t="shared" si="133"/>
        <v>-0.09695712498983712</v>
      </c>
      <c r="CP62" s="154">
        <f t="shared" si="134"/>
        <v>-0.006104444920565688</v>
      </c>
      <c r="CQ62" s="154">
        <f t="shared" si="135"/>
        <v>-0.004500850748004775</v>
      </c>
      <c r="CR62" s="153">
        <f t="shared" si="136"/>
        <v>0.1095875194806884</v>
      </c>
      <c r="CS62" s="153" t="str">
        <f t="shared" si="137"/>
        <v>-</v>
      </c>
      <c r="CT62" s="154">
        <f t="shared" si="138"/>
        <v>0.39998177718047423</v>
      </c>
      <c r="CU62" s="154">
        <f t="shared" si="139"/>
        <v>0.39998177718047423</v>
      </c>
      <c r="CV62" s="155">
        <f t="shared" si="140"/>
        <v>-1.7249555206641884</v>
      </c>
      <c r="CW62" s="156">
        <f t="shared" si="141"/>
        <v>915688.5500000005</v>
      </c>
      <c r="CX62" s="156">
        <f t="shared" si="142"/>
        <v>6128161.25</v>
      </c>
      <c r="CY62" s="156">
        <f t="shared" si="143"/>
        <v>5597313.620000001</v>
      </c>
      <c r="CZ62" s="156">
        <f t="shared" si="144"/>
        <v>-530847.629999999</v>
      </c>
      <c r="DA62" s="156">
        <f t="shared" si="145"/>
        <v>0</v>
      </c>
      <c r="DB62" s="156">
        <f t="shared" si="146"/>
        <v>-530847.629999999</v>
      </c>
      <c r="DC62" s="156">
        <f t="shared" si="147"/>
        <v>-539627.429999999</v>
      </c>
      <c r="DD62" s="156">
        <f t="shared" si="148"/>
        <v>0</v>
      </c>
      <c r="DE62" s="156">
        <f t="shared" si="149"/>
        <v>8779.8</v>
      </c>
      <c r="DF62" s="156">
        <f t="shared" si="150"/>
        <v>-530847.629999999</v>
      </c>
      <c r="DG62" s="156">
        <f t="shared" si="151"/>
        <v>-530847.629999999</v>
      </c>
      <c r="DH62" s="156">
        <f t="shared" si="152"/>
        <v>-8779.8</v>
      </c>
      <c r="DI62" s="156">
        <f t="shared" si="153"/>
        <v>-539627.429999999</v>
      </c>
      <c r="DJ62" s="156">
        <f t="shared" si="154"/>
        <v>2299373.2</v>
      </c>
      <c r="DK62" s="156">
        <f t="shared" si="155"/>
        <v>76.32009918319724</v>
      </c>
      <c r="DL62" s="156">
        <f t="shared" si="156"/>
        <v>-2.78565594265711</v>
      </c>
      <c r="DM62" s="156">
        <f t="shared" si="157"/>
        <v>191.64637439573264</v>
      </c>
      <c r="DN62" s="157">
        <f t="shared" si="158"/>
        <v>0</v>
      </c>
      <c r="DO62" s="156">
        <f t="shared" si="159"/>
        <v>-44.24467661276871</v>
      </c>
      <c r="DP62" s="158">
        <f t="shared" si="160"/>
        <v>915688.55</v>
      </c>
      <c r="DT62" s="62">
        <f aca="true" t="shared" si="167" ref="DT62:EN62">DT9+DT11+DT22+DT27</f>
        <v>1400856.73</v>
      </c>
      <c r="DU62" s="62">
        <f t="shared" si="167"/>
        <v>717695.85</v>
      </c>
      <c r="DV62" s="62">
        <f t="shared" si="167"/>
        <v>485440.2</v>
      </c>
      <c r="DW62" s="62">
        <f t="shared" si="167"/>
        <v>136766.2</v>
      </c>
      <c r="DX62" s="62">
        <f t="shared" si="167"/>
        <v>13170.7</v>
      </c>
      <c r="DY62" s="62">
        <f t="shared" si="167"/>
        <v>0</v>
      </c>
      <c r="DZ62" s="62">
        <f t="shared" si="167"/>
        <v>0</v>
      </c>
      <c r="EA62" s="62">
        <f t="shared" si="167"/>
        <v>0</v>
      </c>
      <c r="EB62" s="62">
        <f t="shared" si="167"/>
        <v>0</v>
      </c>
      <c r="EC62" s="62">
        <f t="shared" si="167"/>
        <v>0</v>
      </c>
      <c r="ED62" s="62">
        <f t="shared" si="167"/>
        <v>2753929.68</v>
      </c>
      <c r="EE62" s="62">
        <f t="shared" si="167"/>
        <v>298658</v>
      </c>
      <c r="EF62" s="62">
        <f t="shared" si="167"/>
        <v>0</v>
      </c>
      <c r="EG62" s="62">
        <f t="shared" si="167"/>
        <v>600000</v>
      </c>
      <c r="EH62" s="62">
        <f t="shared" si="167"/>
        <v>0</v>
      </c>
      <c r="EI62" s="62">
        <f t="shared" si="167"/>
        <v>0</v>
      </c>
      <c r="EJ62" s="62">
        <f t="shared" si="167"/>
        <v>926412.43</v>
      </c>
      <c r="EK62" s="62">
        <f t="shared" si="167"/>
        <v>0</v>
      </c>
      <c r="EL62" s="62">
        <f t="shared" si="167"/>
        <v>928859.25</v>
      </c>
      <c r="EM62" s="62">
        <f t="shared" si="167"/>
        <v>2753929.68</v>
      </c>
      <c r="EN62" s="62">
        <f t="shared" si="167"/>
        <v>0</v>
      </c>
    </row>
    <row r="63" spans="1:144" ht="12.75">
      <c r="A63" s="3" t="s">
        <v>245</v>
      </c>
      <c r="B63" s="62">
        <f>B7+B8+B17</f>
        <v>1764</v>
      </c>
      <c r="C63" s="62">
        <f aca="true" t="shared" si="168" ref="C63:BN63">C7+C8+C17</f>
        <v>5251690</v>
      </c>
      <c r="D63" s="62">
        <f>(D7+D8+D17)/3</f>
        <v>2998.773333333333</v>
      </c>
      <c r="E63" s="62">
        <f>(E7+E8+E17)/3</f>
        <v>79.78666666666668</v>
      </c>
      <c r="F63" s="62">
        <f>(F7+F8+F17)/3</f>
        <v>4</v>
      </c>
      <c r="G63" s="62">
        <f t="shared" si="168"/>
        <v>42318.35</v>
      </c>
      <c r="H63" s="62">
        <f t="shared" si="168"/>
        <v>8227.550000000001</v>
      </c>
      <c r="I63" s="62">
        <f t="shared" si="168"/>
        <v>3208.55</v>
      </c>
      <c r="J63" s="62">
        <f t="shared" si="168"/>
        <v>0</v>
      </c>
      <c r="K63" s="62">
        <f t="shared" si="168"/>
        <v>0</v>
      </c>
      <c r="L63" s="62">
        <f t="shared" si="168"/>
        <v>0</v>
      </c>
      <c r="M63" s="62">
        <f t="shared" si="168"/>
        <v>0</v>
      </c>
      <c r="N63" s="62">
        <f t="shared" si="168"/>
        <v>0</v>
      </c>
      <c r="O63" s="62">
        <f t="shared" si="168"/>
        <v>0</v>
      </c>
      <c r="P63" s="62">
        <f t="shared" si="168"/>
        <v>395096.2</v>
      </c>
      <c r="Q63" s="62">
        <f t="shared" si="168"/>
        <v>0</v>
      </c>
      <c r="R63" s="62">
        <f t="shared" si="168"/>
        <v>0</v>
      </c>
      <c r="S63" s="62">
        <f t="shared" si="168"/>
        <v>0</v>
      </c>
      <c r="T63" s="62">
        <f t="shared" si="168"/>
        <v>0</v>
      </c>
      <c r="U63" s="62">
        <f t="shared" si="168"/>
        <v>0</v>
      </c>
      <c r="V63" s="62">
        <f t="shared" si="168"/>
        <v>0</v>
      </c>
      <c r="W63" s="62">
        <f t="shared" si="168"/>
        <v>0</v>
      </c>
      <c r="X63" s="62">
        <f t="shared" si="168"/>
        <v>0</v>
      </c>
      <c r="Y63" s="62">
        <f t="shared" si="168"/>
        <v>448850.65</v>
      </c>
      <c r="Z63" s="62">
        <f t="shared" si="168"/>
        <v>328766.4</v>
      </c>
      <c r="AA63" s="62">
        <f t="shared" si="168"/>
        <v>22469.65</v>
      </c>
      <c r="AB63" s="62">
        <f t="shared" si="168"/>
        <v>0</v>
      </c>
      <c r="AC63" s="62">
        <f t="shared" si="168"/>
        <v>8996.4</v>
      </c>
      <c r="AD63" s="62">
        <f t="shared" si="168"/>
        <v>0</v>
      </c>
      <c r="AE63" s="62">
        <f t="shared" si="168"/>
        <v>360232.45</v>
      </c>
      <c r="AF63" s="62">
        <f t="shared" si="168"/>
        <v>0</v>
      </c>
      <c r="AG63" s="62">
        <f t="shared" si="168"/>
        <v>3193.4</v>
      </c>
      <c r="AH63" s="62">
        <f t="shared" si="168"/>
        <v>0</v>
      </c>
      <c r="AI63" s="62">
        <f t="shared" si="168"/>
        <v>102890.75000000001</v>
      </c>
      <c r="AJ63" s="62">
        <f t="shared" si="168"/>
        <v>0</v>
      </c>
      <c r="AK63" s="62">
        <f t="shared" si="168"/>
        <v>0</v>
      </c>
      <c r="AL63" s="62">
        <f t="shared" si="168"/>
        <v>0</v>
      </c>
      <c r="AM63" s="62">
        <f t="shared" si="168"/>
        <v>0</v>
      </c>
      <c r="AN63" s="62">
        <f t="shared" si="168"/>
        <v>0</v>
      </c>
      <c r="AO63" s="62">
        <f t="shared" si="168"/>
        <v>0</v>
      </c>
      <c r="AP63" s="62">
        <f t="shared" si="168"/>
        <v>0</v>
      </c>
      <c r="AQ63" s="62">
        <f t="shared" si="168"/>
        <v>0</v>
      </c>
      <c r="AR63" s="62">
        <f t="shared" si="168"/>
        <v>0</v>
      </c>
      <c r="AS63" s="62">
        <f t="shared" si="168"/>
        <v>0</v>
      </c>
      <c r="AT63" s="62">
        <f t="shared" si="168"/>
        <v>0</v>
      </c>
      <c r="AU63" s="62">
        <f t="shared" si="168"/>
        <v>466316.6</v>
      </c>
      <c r="AV63" s="62">
        <f t="shared" si="168"/>
        <v>29906.15</v>
      </c>
      <c r="AW63" s="62">
        <f t="shared" si="168"/>
        <v>12440.199999999999</v>
      </c>
      <c r="AX63" s="62">
        <f t="shared" si="168"/>
        <v>2.546585164964199E-11</v>
      </c>
      <c r="AY63" s="62">
        <f t="shared" si="168"/>
        <v>0</v>
      </c>
      <c r="AZ63" s="62">
        <f t="shared" si="168"/>
        <v>0</v>
      </c>
      <c r="BA63" s="62">
        <f t="shared" si="168"/>
        <v>0</v>
      </c>
      <c r="BB63" s="62">
        <f t="shared" si="168"/>
        <v>0</v>
      </c>
      <c r="BC63" s="62">
        <f t="shared" si="168"/>
        <v>0</v>
      </c>
      <c r="BD63" s="62">
        <f t="shared" si="168"/>
        <v>0</v>
      </c>
      <c r="BE63" s="62">
        <f t="shared" si="168"/>
        <v>0</v>
      </c>
      <c r="BF63" s="62">
        <f t="shared" si="168"/>
        <v>0</v>
      </c>
      <c r="BG63" s="62">
        <f t="shared" si="168"/>
        <v>0</v>
      </c>
      <c r="BH63" s="62">
        <f t="shared" si="168"/>
        <v>0</v>
      </c>
      <c r="BI63" s="62">
        <f t="shared" si="168"/>
        <v>0</v>
      </c>
      <c r="BJ63" s="62">
        <f t="shared" si="168"/>
        <v>0</v>
      </c>
      <c r="BK63" s="62">
        <f t="shared" si="168"/>
        <v>0</v>
      </c>
      <c r="BL63" s="62">
        <f t="shared" si="168"/>
        <v>0</v>
      </c>
      <c r="BM63" s="62">
        <f t="shared" si="168"/>
        <v>0</v>
      </c>
      <c r="BN63" s="62">
        <f t="shared" si="168"/>
        <v>0</v>
      </c>
      <c r="BO63" s="62">
        <f aca="true" t="shared" si="169" ref="BO63:CI63">BO7+BO8+BO17</f>
        <v>0</v>
      </c>
      <c r="BP63" s="62">
        <f t="shared" si="169"/>
        <v>0</v>
      </c>
      <c r="BQ63" s="62">
        <f t="shared" si="169"/>
        <v>0</v>
      </c>
      <c r="BR63" s="62">
        <f t="shared" si="169"/>
        <v>0</v>
      </c>
      <c r="BS63" s="62">
        <f t="shared" si="169"/>
        <v>0</v>
      </c>
      <c r="BT63" s="62">
        <f t="shared" si="169"/>
        <v>656082.46</v>
      </c>
      <c r="BU63" s="62">
        <f t="shared" si="169"/>
        <v>45000</v>
      </c>
      <c r="BV63" s="62">
        <f t="shared" si="169"/>
        <v>0</v>
      </c>
      <c r="BW63" s="62">
        <f t="shared" si="169"/>
        <v>64365.05</v>
      </c>
      <c r="BX63" s="62">
        <f t="shared" si="169"/>
        <v>765447.51</v>
      </c>
      <c r="BY63" s="62">
        <f t="shared" si="169"/>
        <v>417889.76</v>
      </c>
      <c r="BZ63" s="62">
        <f t="shared" si="169"/>
        <v>11755.15</v>
      </c>
      <c r="CA63" s="62">
        <f t="shared" si="169"/>
        <v>335802.6</v>
      </c>
      <c r="CB63" s="62">
        <f t="shared" si="169"/>
        <v>765447.51</v>
      </c>
      <c r="CC63" s="62">
        <f t="shared" si="169"/>
        <v>0</v>
      </c>
      <c r="CD63" s="62">
        <f t="shared" si="169"/>
        <v>17465.95</v>
      </c>
      <c r="CE63" s="62">
        <f t="shared" si="169"/>
        <v>17465.95</v>
      </c>
      <c r="CF63" s="62">
        <f t="shared" si="169"/>
        <v>0</v>
      </c>
      <c r="CG63" s="62">
        <f t="shared" si="169"/>
        <v>466316.6</v>
      </c>
      <c r="CH63" s="62">
        <f t="shared" si="169"/>
        <v>15.150000000000091</v>
      </c>
      <c r="CI63" s="62">
        <f t="shared" si="169"/>
        <v>15.150000000000091</v>
      </c>
      <c r="CJ63" s="62">
        <f>CJ7+CJ8+CJ17</f>
        <v>251096.26</v>
      </c>
      <c r="CK63" s="62">
        <f>CK7+CK8+CK17</f>
        <v>448850.65</v>
      </c>
      <c r="CL63" s="153" t="e">
        <f t="shared" si="130"/>
        <v>#DIV/0!</v>
      </c>
      <c r="CM63" s="153" t="e">
        <f t="shared" si="131"/>
        <v>#DIV/0!</v>
      </c>
      <c r="CN63" s="154">
        <f t="shared" si="132"/>
        <v>0.03745513241432967</v>
      </c>
      <c r="CO63" s="154">
        <f t="shared" si="133"/>
        <v>0.03745513241432967</v>
      </c>
      <c r="CP63" s="154">
        <f t="shared" si="134"/>
        <v>3.248865684815872E-05</v>
      </c>
      <c r="CQ63" s="154">
        <f t="shared" si="135"/>
        <v>3.248865684815872E-05</v>
      </c>
      <c r="CR63" s="153">
        <f t="shared" si="136"/>
        <v>0.5384673417159073</v>
      </c>
      <c r="CS63" s="153" t="str">
        <f t="shared" si="137"/>
        <v>-</v>
      </c>
      <c r="CT63" s="154">
        <f t="shared" si="138"/>
        <v>0</v>
      </c>
      <c r="CU63" s="154">
        <f t="shared" si="139"/>
        <v>0</v>
      </c>
      <c r="CV63" s="155">
        <f t="shared" si="140"/>
        <v>13.637546197029073</v>
      </c>
      <c r="CW63" s="156">
        <f t="shared" si="141"/>
        <v>238192.69999999995</v>
      </c>
      <c r="CX63" s="156">
        <f t="shared" si="142"/>
        <v>448850.65</v>
      </c>
      <c r="CY63" s="156">
        <f t="shared" si="143"/>
        <v>466316.6</v>
      </c>
      <c r="CZ63" s="156">
        <f t="shared" si="144"/>
        <v>17465.949999999953</v>
      </c>
      <c r="DA63" s="156">
        <f t="shared" si="145"/>
        <v>0</v>
      </c>
      <c r="DB63" s="156">
        <f t="shared" si="146"/>
        <v>17465.949999999953</v>
      </c>
      <c r="DC63" s="156">
        <f t="shared" si="147"/>
        <v>17465.949999999953</v>
      </c>
      <c r="DD63" s="156">
        <f t="shared" si="148"/>
        <v>0</v>
      </c>
      <c r="DE63" s="156">
        <f t="shared" si="149"/>
        <v>0</v>
      </c>
      <c r="DF63" s="156">
        <f t="shared" si="150"/>
        <v>17465.949999999953</v>
      </c>
      <c r="DG63" s="156">
        <f t="shared" si="151"/>
        <v>17465.949999999953</v>
      </c>
      <c r="DH63" s="156">
        <f t="shared" si="152"/>
        <v>0</v>
      </c>
      <c r="DI63" s="156">
        <f t="shared" si="153"/>
        <v>17465.949999999953</v>
      </c>
      <c r="DJ63" s="156">
        <f t="shared" si="154"/>
        <v>351236.05000000005</v>
      </c>
      <c r="DK63" s="156">
        <f t="shared" si="155"/>
        <v>135.0298752834467</v>
      </c>
      <c r="DL63" s="156">
        <f t="shared" si="156"/>
        <v>0.008588435374149711</v>
      </c>
      <c r="DM63" s="156">
        <f t="shared" si="157"/>
        <v>199.11340702947848</v>
      </c>
      <c r="DN63" s="157">
        <f t="shared" si="158"/>
        <v>0</v>
      </c>
      <c r="DO63" s="156">
        <f t="shared" si="159"/>
        <v>9.90133219954646</v>
      </c>
      <c r="DP63" s="158">
        <f t="shared" si="160"/>
        <v>226437.55</v>
      </c>
      <c r="DT63" s="62">
        <f aca="true" t="shared" si="170" ref="DT63:EN63">DT7+DT8+DT17</f>
        <v>241970.65999999997</v>
      </c>
      <c r="DU63" s="62">
        <f t="shared" si="170"/>
        <v>110424.54000000001</v>
      </c>
      <c r="DV63" s="62">
        <f t="shared" si="170"/>
        <v>303618.26</v>
      </c>
      <c r="DW63" s="62">
        <f t="shared" si="170"/>
        <v>69</v>
      </c>
      <c r="DX63" s="62">
        <f t="shared" si="170"/>
        <v>0</v>
      </c>
      <c r="DY63" s="62">
        <f t="shared" si="170"/>
        <v>45000</v>
      </c>
      <c r="DZ63" s="62">
        <f t="shared" si="170"/>
        <v>0</v>
      </c>
      <c r="EA63" s="62">
        <f t="shared" si="170"/>
        <v>0</v>
      </c>
      <c r="EB63" s="62">
        <f t="shared" si="170"/>
        <v>0</v>
      </c>
      <c r="EC63" s="62">
        <f t="shared" si="170"/>
        <v>64365.05</v>
      </c>
      <c r="ED63" s="62">
        <f t="shared" si="170"/>
        <v>765447.51</v>
      </c>
      <c r="EE63" s="62">
        <f t="shared" si="170"/>
        <v>103152.6</v>
      </c>
      <c r="EF63" s="62">
        <f t="shared" si="170"/>
        <v>78751.1</v>
      </c>
      <c r="EG63" s="62">
        <f t="shared" si="170"/>
        <v>0</v>
      </c>
      <c r="EH63" s="62">
        <f t="shared" si="170"/>
        <v>172345.16</v>
      </c>
      <c r="EI63" s="62">
        <f t="shared" si="170"/>
        <v>0</v>
      </c>
      <c r="EJ63" s="62">
        <f t="shared" si="170"/>
        <v>63640.899999999994</v>
      </c>
      <c r="EK63" s="62">
        <f t="shared" si="170"/>
        <v>11755.15</v>
      </c>
      <c r="EL63" s="62">
        <f t="shared" si="170"/>
        <v>335802.6</v>
      </c>
      <c r="EM63" s="62">
        <f t="shared" si="170"/>
        <v>765447.51</v>
      </c>
      <c r="EN63" s="62">
        <f t="shared" si="170"/>
        <v>0</v>
      </c>
    </row>
    <row r="64" spans="1:144" ht="12.75">
      <c r="A64" s="3" t="s">
        <v>250</v>
      </c>
      <c r="B64" s="62">
        <f>B3+B5+B6+B12+B13+B14+B15+B16+B18+B23+B28++B29+B30+B31</f>
        <v>8526</v>
      </c>
      <c r="C64" s="62">
        <f>C3+C5+C6+C12+C13+C14+C15+C16+C18+C23+C28++C29+C30+C31</f>
        <v>29191854</v>
      </c>
      <c r="D64" s="62">
        <f>(D3+D5+D6+D12+D13+D14+D15+D16+D18+D23+D28+D29+D30+D31)/14</f>
        <v>2832.1885714285713</v>
      </c>
      <c r="E64" s="62">
        <f>(E3+E5+E6+E12+E13+E14+E15+E16+E18+E23+E28+E29+E30+E31)/14</f>
        <v>75.35214285714285</v>
      </c>
      <c r="F64" s="62">
        <f>(F3+F5+F6+F12+F13+F14+F15+F16+F18+F23+F28+F29+F30+F31)/14</f>
        <v>3</v>
      </c>
      <c r="G64" s="62">
        <f>G3+G5+G6+G12+G13+G14+G15+G16+G18+G23+G28+G29+G30+G31</f>
        <v>196019.90000000002</v>
      </c>
      <c r="H64" s="62">
        <f aca="true" t="shared" si="171" ref="H64:BS64">H3+H5+H6+H12+H13+H14+H15+H16+H18+H23+H28+H29+H30+H31</f>
        <v>38804.85</v>
      </c>
      <c r="I64" s="62">
        <f t="shared" si="171"/>
        <v>5229.05</v>
      </c>
      <c r="J64" s="62">
        <f t="shared" si="171"/>
        <v>1165.45</v>
      </c>
      <c r="K64" s="62">
        <f t="shared" si="171"/>
        <v>11700</v>
      </c>
      <c r="L64" s="62">
        <f t="shared" si="171"/>
        <v>40000</v>
      </c>
      <c r="M64" s="62">
        <f t="shared" si="171"/>
        <v>51700</v>
      </c>
      <c r="N64" s="62">
        <f t="shared" si="171"/>
        <v>0</v>
      </c>
      <c r="O64" s="62">
        <f t="shared" si="171"/>
        <v>6160.4</v>
      </c>
      <c r="P64" s="62">
        <f t="shared" si="171"/>
        <v>2661743.35</v>
      </c>
      <c r="Q64" s="62">
        <f t="shared" si="171"/>
        <v>0</v>
      </c>
      <c r="R64" s="62">
        <f t="shared" si="171"/>
        <v>0</v>
      </c>
      <c r="S64" s="62">
        <f t="shared" si="171"/>
        <v>0</v>
      </c>
      <c r="T64" s="62">
        <f t="shared" si="171"/>
        <v>0</v>
      </c>
      <c r="U64" s="62">
        <f t="shared" si="171"/>
        <v>0</v>
      </c>
      <c r="V64" s="62">
        <f t="shared" si="171"/>
        <v>0</v>
      </c>
      <c r="W64" s="62">
        <f t="shared" si="171"/>
        <v>0</v>
      </c>
      <c r="X64" s="62">
        <f t="shared" si="171"/>
        <v>0</v>
      </c>
      <c r="Y64" s="62">
        <f t="shared" si="171"/>
        <v>2960823</v>
      </c>
      <c r="Z64" s="62">
        <f t="shared" si="171"/>
        <v>852208.2000000001</v>
      </c>
      <c r="AA64" s="62">
        <f t="shared" si="171"/>
        <v>580272.2000000001</v>
      </c>
      <c r="AB64" s="62">
        <f t="shared" si="171"/>
        <v>0</v>
      </c>
      <c r="AC64" s="62">
        <f t="shared" si="171"/>
        <v>58928.2</v>
      </c>
      <c r="AD64" s="62">
        <f t="shared" si="171"/>
        <v>0</v>
      </c>
      <c r="AE64" s="62">
        <f t="shared" si="171"/>
        <v>1491408.6</v>
      </c>
      <c r="AF64" s="62">
        <f t="shared" si="171"/>
        <v>0</v>
      </c>
      <c r="AG64" s="62">
        <f t="shared" si="171"/>
        <v>40367.75</v>
      </c>
      <c r="AH64" s="62">
        <f t="shared" si="171"/>
        <v>0</v>
      </c>
      <c r="AI64" s="62">
        <f t="shared" si="171"/>
        <v>910367.8400000001</v>
      </c>
      <c r="AJ64" s="62">
        <f t="shared" si="171"/>
        <v>0</v>
      </c>
      <c r="AK64" s="62">
        <f t="shared" si="171"/>
        <v>5474</v>
      </c>
      <c r="AL64" s="62">
        <f t="shared" si="171"/>
        <v>1175.5499999999997</v>
      </c>
      <c r="AM64" s="62">
        <f t="shared" si="171"/>
        <v>0</v>
      </c>
      <c r="AN64" s="62">
        <f t="shared" si="171"/>
        <v>0</v>
      </c>
      <c r="AO64" s="62">
        <f t="shared" si="171"/>
        <v>0</v>
      </c>
      <c r="AP64" s="62">
        <f t="shared" si="171"/>
        <v>0</v>
      </c>
      <c r="AQ64" s="62">
        <f t="shared" si="171"/>
        <v>0</v>
      </c>
      <c r="AR64" s="62">
        <f t="shared" si="171"/>
        <v>0</v>
      </c>
      <c r="AS64" s="62">
        <f t="shared" si="171"/>
        <v>0</v>
      </c>
      <c r="AT64" s="62">
        <f t="shared" si="171"/>
        <v>0</v>
      </c>
      <c r="AU64" s="62">
        <f t="shared" si="171"/>
        <v>2448793.74</v>
      </c>
      <c r="AV64" s="62">
        <f t="shared" si="171"/>
        <v>3437.62</v>
      </c>
      <c r="AW64" s="62">
        <f t="shared" si="171"/>
        <v>515466.88</v>
      </c>
      <c r="AX64" s="62">
        <f t="shared" si="171"/>
        <v>4.547473508864641E-12</v>
      </c>
      <c r="AY64" s="62">
        <f t="shared" si="171"/>
        <v>0</v>
      </c>
      <c r="AZ64" s="62">
        <f t="shared" si="171"/>
        <v>0</v>
      </c>
      <c r="BA64" s="62">
        <f t="shared" si="171"/>
        <v>0</v>
      </c>
      <c r="BB64" s="62">
        <f t="shared" si="171"/>
        <v>0</v>
      </c>
      <c r="BC64" s="62">
        <f t="shared" si="171"/>
        <v>0</v>
      </c>
      <c r="BD64" s="62">
        <f t="shared" si="171"/>
        <v>0</v>
      </c>
      <c r="BE64" s="62">
        <f t="shared" si="171"/>
        <v>0</v>
      </c>
      <c r="BF64" s="62">
        <f t="shared" si="171"/>
        <v>0</v>
      </c>
      <c r="BG64" s="62">
        <f t="shared" si="171"/>
        <v>0</v>
      </c>
      <c r="BH64" s="62">
        <f t="shared" si="171"/>
        <v>0</v>
      </c>
      <c r="BI64" s="62">
        <f t="shared" si="171"/>
        <v>0</v>
      </c>
      <c r="BJ64" s="62">
        <f t="shared" si="171"/>
        <v>0</v>
      </c>
      <c r="BK64" s="62">
        <f t="shared" si="171"/>
        <v>0</v>
      </c>
      <c r="BL64" s="62">
        <f t="shared" si="171"/>
        <v>0</v>
      </c>
      <c r="BM64" s="62">
        <f t="shared" si="171"/>
        <v>0</v>
      </c>
      <c r="BN64" s="62">
        <f t="shared" si="171"/>
        <v>0</v>
      </c>
      <c r="BO64" s="62">
        <f t="shared" si="171"/>
        <v>0</v>
      </c>
      <c r="BP64" s="62">
        <f t="shared" si="171"/>
        <v>0</v>
      </c>
      <c r="BQ64" s="62">
        <f t="shared" si="171"/>
        <v>0</v>
      </c>
      <c r="BR64" s="62">
        <f t="shared" si="171"/>
        <v>0</v>
      </c>
      <c r="BS64" s="62">
        <f t="shared" si="171"/>
        <v>0</v>
      </c>
      <c r="BT64" s="62">
        <f aca="true" t="shared" si="172" ref="BT64:CI64">BT3+BT5+BT6+BT12+BT13+BT14+BT15+BT16+BT18+BT23+BT28+BT29+BT30+BT31</f>
        <v>4085601.5300000003</v>
      </c>
      <c r="BU64" s="62">
        <f t="shared" si="172"/>
        <v>188948</v>
      </c>
      <c r="BV64" s="62">
        <f t="shared" si="172"/>
        <v>0</v>
      </c>
      <c r="BW64" s="62">
        <f t="shared" si="172"/>
        <v>0</v>
      </c>
      <c r="BX64" s="62">
        <f t="shared" si="172"/>
        <v>4274549.53</v>
      </c>
      <c r="BY64" s="62">
        <f t="shared" si="172"/>
        <v>1290273.45</v>
      </c>
      <c r="BZ64" s="62">
        <f t="shared" si="172"/>
        <v>0</v>
      </c>
      <c r="CA64" s="62">
        <f t="shared" si="172"/>
        <v>2984276.08</v>
      </c>
      <c r="CB64" s="62">
        <f t="shared" si="172"/>
        <v>4274549.53</v>
      </c>
      <c r="CC64" s="62">
        <f t="shared" si="172"/>
        <v>0</v>
      </c>
      <c r="CD64" s="62">
        <f t="shared" si="172"/>
        <v>-460329.26</v>
      </c>
      <c r="CE64" s="62">
        <f t="shared" si="172"/>
        <v>-460329.26</v>
      </c>
      <c r="CF64" s="62">
        <f t="shared" si="172"/>
        <v>0</v>
      </c>
      <c r="CG64" s="62">
        <f t="shared" si="172"/>
        <v>2448793.74</v>
      </c>
      <c r="CH64" s="62">
        <f t="shared" si="172"/>
        <v>-35138.7</v>
      </c>
      <c r="CI64" s="62">
        <f t="shared" si="172"/>
        <v>-23438.700000000004</v>
      </c>
      <c r="CJ64" s="62">
        <f>CJ3+CJ5+CJ6+CJ12+CJ13+CJ14+CJ15+CJ16+CJ18+CJ23+CJ28+CJ29+CJ30+CJ31</f>
        <v>230981</v>
      </c>
      <c r="CK64" s="62">
        <f>CK3+CK5+CK6+CK12+CK13+CK14+CK15+CK16+CK18+CK23+CK28+CK29+CK30+CK31</f>
        <v>2909123</v>
      </c>
      <c r="CL64" s="153" t="e">
        <f t="shared" si="130"/>
        <v>#DIV/0!</v>
      </c>
      <c r="CM64" s="153" t="e">
        <f t="shared" si="131"/>
        <v>#DIV/0!</v>
      </c>
      <c r="CN64" s="154">
        <f t="shared" si="132"/>
        <v>-0.18798204703022475</v>
      </c>
      <c r="CO64" s="154">
        <f t="shared" si="133"/>
        <v>-0.18798204703022475</v>
      </c>
      <c r="CP64" s="154">
        <f t="shared" si="134"/>
        <v>-0.014349391468143818</v>
      </c>
      <c r="CQ64" s="154">
        <f t="shared" si="135"/>
        <v>-0.00957152887854083</v>
      </c>
      <c r="CR64" s="153">
        <f t="shared" si="136"/>
        <v>0.09432439989821273</v>
      </c>
      <c r="CS64" s="153" t="str">
        <f t="shared" si="137"/>
        <v>-</v>
      </c>
      <c r="CT64" s="154">
        <f t="shared" si="138"/>
        <v>0.2148366078255377</v>
      </c>
      <c r="CU64" s="154">
        <f t="shared" si="139"/>
        <v>0.04861872943053755</v>
      </c>
      <c r="CV64" s="155">
        <f t="shared" si="140"/>
        <v>-6.072453617221726</v>
      </c>
      <c r="CW64" s="156">
        <f t="shared" si="141"/>
        <v>2795328.08</v>
      </c>
      <c r="CX64" s="156">
        <f t="shared" si="142"/>
        <v>2909123</v>
      </c>
      <c r="CY64" s="156">
        <f t="shared" si="143"/>
        <v>2448793.74</v>
      </c>
      <c r="CZ64" s="156">
        <f t="shared" si="144"/>
        <v>-460329.2599999998</v>
      </c>
      <c r="DA64" s="156">
        <f t="shared" si="145"/>
        <v>0</v>
      </c>
      <c r="DB64" s="156">
        <f t="shared" si="146"/>
        <v>-460329.2599999998</v>
      </c>
      <c r="DC64" s="156">
        <f t="shared" si="147"/>
        <v>-512029.2599999998</v>
      </c>
      <c r="DD64" s="156">
        <f t="shared" si="148"/>
        <v>0</v>
      </c>
      <c r="DE64" s="156">
        <f t="shared" si="149"/>
        <v>51700</v>
      </c>
      <c r="DF64" s="156">
        <f t="shared" si="150"/>
        <v>-460329.2599999998</v>
      </c>
      <c r="DG64" s="156">
        <f t="shared" si="151"/>
        <v>-460329.2599999998</v>
      </c>
      <c r="DH64" s="156">
        <f t="shared" si="152"/>
        <v>-51700</v>
      </c>
      <c r="DI64" s="156">
        <f t="shared" si="153"/>
        <v>-512029.2599999998</v>
      </c>
      <c r="DJ64" s="156">
        <f t="shared" si="154"/>
        <v>1432480.4000000001</v>
      </c>
      <c r="DK64" s="156">
        <f t="shared" si="155"/>
        <v>327.8592634295097</v>
      </c>
      <c r="DL64" s="156">
        <f t="shared" si="156"/>
        <v>-4.121358198451794</v>
      </c>
      <c r="DM64" s="156">
        <f t="shared" si="157"/>
        <v>168.01318320431622</v>
      </c>
      <c r="DN64" s="157">
        <f t="shared" si="158"/>
        <v>0</v>
      </c>
      <c r="DO64" s="156">
        <f t="shared" si="159"/>
        <v>-53.99123387285946</v>
      </c>
      <c r="DP64" s="158">
        <f t="shared" si="160"/>
        <v>2795328.08</v>
      </c>
      <c r="DT64" s="62">
        <f aca="true" t="shared" si="173" ref="DT64:EN64">DT3+DT5+DT6+DT12+DT13+DT14+DT15+DT16+DT18+DT23+DT28+DT29+DT30+DT31</f>
        <v>1392047.35</v>
      </c>
      <c r="DU64" s="62">
        <f t="shared" si="173"/>
        <v>724107.8300000001</v>
      </c>
      <c r="DV64" s="62">
        <f t="shared" si="173"/>
        <v>1957523.6500000004</v>
      </c>
      <c r="DW64" s="62">
        <f t="shared" si="173"/>
        <v>11922.7</v>
      </c>
      <c r="DX64" s="62">
        <f t="shared" si="173"/>
        <v>1</v>
      </c>
      <c r="DY64" s="62">
        <f t="shared" si="173"/>
        <v>123647</v>
      </c>
      <c r="DZ64" s="62">
        <f t="shared" si="173"/>
        <v>65300</v>
      </c>
      <c r="EA64" s="62">
        <f t="shared" si="173"/>
        <v>0</v>
      </c>
      <c r="EB64" s="62">
        <f t="shared" si="173"/>
        <v>0</v>
      </c>
      <c r="EC64" s="62">
        <f t="shared" si="173"/>
        <v>0</v>
      </c>
      <c r="ED64" s="62">
        <f t="shared" si="173"/>
        <v>4274549.53</v>
      </c>
      <c r="EE64" s="62">
        <f t="shared" si="173"/>
        <v>911015.7</v>
      </c>
      <c r="EF64" s="62">
        <f t="shared" si="173"/>
        <v>5978.6</v>
      </c>
      <c r="EG64" s="62">
        <f t="shared" si="173"/>
        <v>0</v>
      </c>
      <c r="EH64" s="62">
        <f t="shared" si="173"/>
        <v>225002.4</v>
      </c>
      <c r="EI64" s="62">
        <f t="shared" si="173"/>
        <v>0</v>
      </c>
      <c r="EJ64" s="62">
        <f t="shared" si="173"/>
        <v>148276.75</v>
      </c>
      <c r="EK64" s="62">
        <f t="shared" si="173"/>
        <v>0</v>
      </c>
      <c r="EL64" s="62">
        <f t="shared" si="173"/>
        <v>2984276.08</v>
      </c>
      <c r="EM64" s="62">
        <f t="shared" si="173"/>
        <v>4274549.53</v>
      </c>
      <c r="EN64" s="62">
        <f t="shared" si="173"/>
        <v>0</v>
      </c>
    </row>
    <row r="65" spans="1:144" ht="12.75">
      <c r="A65" s="3" t="s">
        <v>236</v>
      </c>
      <c r="B65" s="62">
        <f>SUM(B60:B64)</f>
        <v>38273</v>
      </c>
      <c r="C65" s="62">
        <f aca="true" t="shared" si="174" ref="C65:BN65">SUM(C60:C64)</f>
        <v>143851498</v>
      </c>
      <c r="D65" s="62">
        <f>MEDIAN(D60:D64)</f>
        <v>3233.7299999999996</v>
      </c>
      <c r="E65" s="62">
        <f>MEDIAN(E60:E64)</f>
        <v>86.03666666666668</v>
      </c>
      <c r="F65" s="62">
        <f>MEDIAN(F60:F64)</f>
        <v>4</v>
      </c>
      <c r="G65" s="62">
        <f t="shared" si="174"/>
        <v>1028002.25</v>
      </c>
      <c r="H65" s="62">
        <f t="shared" si="174"/>
        <v>282913.39999999997</v>
      </c>
      <c r="I65" s="62">
        <f t="shared" si="174"/>
        <v>55819.5</v>
      </c>
      <c r="J65" s="62">
        <f t="shared" si="174"/>
        <v>8308.800000000001</v>
      </c>
      <c r="K65" s="62">
        <f t="shared" si="174"/>
        <v>20479.8</v>
      </c>
      <c r="L65" s="62">
        <f t="shared" si="174"/>
        <v>40000</v>
      </c>
      <c r="M65" s="62">
        <f t="shared" si="174"/>
        <v>60479.8</v>
      </c>
      <c r="N65" s="62">
        <f t="shared" si="174"/>
        <v>0</v>
      </c>
      <c r="O65" s="62">
        <f t="shared" si="174"/>
        <v>138004.94999999998</v>
      </c>
      <c r="P65" s="62">
        <f t="shared" si="174"/>
        <v>13272219.049999999</v>
      </c>
      <c r="Q65" s="62">
        <f t="shared" si="174"/>
        <v>0</v>
      </c>
      <c r="R65" s="62">
        <f t="shared" si="174"/>
        <v>0</v>
      </c>
      <c r="S65" s="62">
        <f t="shared" si="174"/>
        <v>0</v>
      </c>
      <c r="T65" s="62">
        <f t="shared" si="174"/>
        <v>0</v>
      </c>
      <c r="U65" s="62">
        <f t="shared" si="174"/>
        <v>0</v>
      </c>
      <c r="V65" s="62">
        <f t="shared" si="174"/>
        <v>0</v>
      </c>
      <c r="W65" s="62">
        <f t="shared" si="174"/>
        <v>0</v>
      </c>
      <c r="X65" s="62">
        <f t="shared" si="174"/>
        <v>210742.60000000003</v>
      </c>
      <c r="Y65" s="62">
        <f t="shared" si="174"/>
        <v>15056490.35</v>
      </c>
      <c r="Z65" s="62">
        <f t="shared" si="174"/>
        <v>5663647.600000001</v>
      </c>
      <c r="AA65" s="62">
        <f t="shared" si="174"/>
        <v>920132.1000000001</v>
      </c>
      <c r="AB65" s="62">
        <f t="shared" si="174"/>
        <v>0</v>
      </c>
      <c r="AC65" s="62">
        <f t="shared" si="174"/>
        <v>237779.44999999995</v>
      </c>
      <c r="AD65" s="62">
        <f t="shared" si="174"/>
        <v>0</v>
      </c>
      <c r="AE65" s="62">
        <f t="shared" si="174"/>
        <v>6821559.15</v>
      </c>
      <c r="AF65" s="62">
        <f t="shared" si="174"/>
        <v>0</v>
      </c>
      <c r="AG65" s="62">
        <f t="shared" si="174"/>
        <v>157319.85</v>
      </c>
      <c r="AH65" s="62">
        <f t="shared" si="174"/>
        <v>8571.8</v>
      </c>
      <c r="AI65" s="62">
        <f t="shared" si="174"/>
        <v>6398102.209999999</v>
      </c>
      <c r="AJ65" s="62">
        <f t="shared" si="174"/>
        <v>-17.55</v>
      </c>
      <c r="AK65" s="62">
        <f t="shared" si="174"/>
        <v>359920.2</v>
      </c>
      <c r="AL65" s="62">
        <f t="shared" si="174"/>
        <v>5481.35</v>
      </c>
      <c r="AM65" s="62">
        <f t="shared" si="174"/>
        <v>0</v>
      </c>
      <c r="AN65" s="62">
        <f t="shared" si="174"/>
        <v>0</v>
      </c>
      <c r="AO65" s="62">
        <f t="shared" si="174"/>
        <v>0</v>
      </c>
      <c r="AP65" s="62">
        <f t="shared" si="174"/>
        <v>0</v>
      </c>
      <c r="AQ65" s="62">
        <f t="shared" si="174"/>
        <v>0</v>
      </c>
      <c r="AR65" s="62">
        <f t="shared" si="174"/>
        <v>0</v>
      </c>
      <c r="AS65" s="62">
        <f t="shared" si="174"/>
        <v>0</v>
      </c>
      <c r="AT65" s="62">
        <f t="shared" si="174"/>
        <v>210742.60000000003</v>
      </c>
      <c r="AU65" s="62">
        <f t="shared" si="174"/>
        <v>13953107.81</v>
      </c>
      <c r="AV65" s="62">
        <f t="shared" si="174"/>
        <v>333391.22000000003</v>
      </c>
      <c r="AW65" s="62">
        <f t="shared" si="174"/>
        <v>1436773.76</v>
      </c>
      <c r="AX65" s="62">
        <f t="shared" si="174"/>
        <v>-1.1932570487260818E-09</v>
      </c>
      <c r="AY65" s="62">
        <f t="shared" si="174"/>
        <v>2397.7</v>
      </c>
      <c r="AZ65" s="62">
        <f t="shared" si="174"/>
        <v>0</v>
      </c>
      <c r="BA65" s="62">
        <f t="shared" si="174"/>
        <v>0</v>
      </c>
      <c r="BB65" s="62">
        <f t="shared" si="174"/>
        <v>0</v>
      </c>
      <c r="BC65" s="62">
        <f t="shared" si="174"/>
        <v>0</v>
      </c>
      <c r="BD65" s="62">
        <f t="shared" si="174"/>
        <v>0</v>
      </c>
      <c r="BE65" s="62">
        <f t="shared" si="174"/>
        <v>0</v>
      </c>
      <c r="BF65" s="62">
        <f t="shared" si="174"/>
        <v>0</v>
      </c>
      <c r="BG65" s="62">
        <f t="shared" si="174"/>
        <v>0</v>
      </c>
      <c r="BH65" s="62">
        <f t="shared" si="174"/>
        <v>0</v>
      </c>
      <c r="BI65" s="62">
        <f t="shared" si="174"/>
        <v>0</v>
      </c>
      <c r="BJ65" s="62">
        <f t="shared" si="174"/>
        <v>0</v>
      </c>
      <c r="BK65" s="62">
        <f t="shared" si="174"/>
        <v>0</v>
      </c>
      <c r="BL65" s="62">
        <f t="shared" si="174"/>
        <v>0</v>
      </c>
      <c r="BM65" s="62">
        <f t="shared" si="174"/>
        <v>0</v>
      </c>
      <c r="BN65" s="62">
        <f t="shared" si="174"/>
        <v>0</v>
      </c>
      <c r="BO65" s="62">
        <f aca="true" t="shared" si="175" ref="BO65:CI65">SUM(BO60:BO64)</f>
        <v>0</v>
      </c>
      <c r="BP65" s="62">
        <f t="shared" si="175"/>
        <v>0</v>
      </c>
      <c r="BQ65" s="62">
        <f t="shared" si="175"/>
        <v>0</v>
      </c>
      <c r="BR65" s="62">
        <f t="shared" si="175"/>
        <v>0</v>
      </c>
      <c r="BS65" s="62">
        <f t="shared" si="175"/>
        <v>0</v>
      </c>
      <c r="BT65" s="62">
        <f t="shared" si="175"/>
        <v>11463756.9</v>
      </c>
      <c r="BU65" s="62">
        <f t="shared" si="175"/>
        <v>247118.7</v>
      </c>
      <c r="BV65" s="62">
        <f t="shared" si="175"/>
        <v>0</v>
      </c>
      <c r="BW65" s="62">
        <f t="shared" si="175"/>
        <v>144390.5</v>
      </c>
      <c r="BX65" s="62">
        <f t="shared" si="175"/>
        <v>11855266.100000001</v>
      </c>
      <c r="BY65" s="62">
        <f t="shared" si="175"/>
        <v>5387443.970000001</v>
      </c>
      <c r="BZ65" s="62">
        <f t="shared" si="175"/>
        <v>11755.15</v>
      </c>
      <c r="CA65" s="62">
        <f t="shared" si="175"/>
        <v>6456066.98</v>
      </c>
      <c r="CB65" s="62">
        <f t="shared" si="175"/>
        <v>11855266.100000001</v>
      </c>
      <c r="CC65" s="62">
        <f t="shared" si="175"/>
        <v>0</v>
      </c>
      <c r="CD65" s="62">
        <f t="shared" si="175"/>
        <v>-1042902.74</v>
      </c>
      <c r="CE65" s="62">
        <f t="shared" si="175"/>
        <v>-1042902.74</v>
      </c>
      <c r="CF65" s="62">
        <f t="shared" si="175"/>
        <v>0</v>
      </c>
      <c r="CG65" s="62">
        <f t="shared" si="175"/>
        <v>13742365.21</v>
      </c>
      <c r="CH65" s="62">
        <f t="shared" si="175"/>
        <v>-90530.85</v>
      </c>
      <c r="CI65" s="62">
        <f t="shared" si="175"/>
        <v>-70051.05000000002</v>
      </c>
      <c r="CJ65" s="62">
        <f>SUM(CJ60:CJ64)</f>
        <v>2034086.59</v>
      </c>
      <c r="CK65" s="62">
        <f>SUM(CK60:CK64)</f>
        <v>14785267.95</v>
      </c>
      <c r="CL65" s="153" t="e">
        <f t="shared" si="130"/>
        <v>#DIV/0!</v>
      </c>
      <c r="CM65" s="153" t="e">
        <f t="shared" si="131"/>
        <v>#DIV/0!</v>
      </c>
      <c r="CN65" s="154">
        <f t="shared" si="132"/>
        <v>-0.07588961027182597</v>
      </c>
      <c r="CO65" s="154">
        <f t="shared" si="133"/>
        <v>-0.07588961027182597</v>
      </c>
      <c r="CP65" s="154">
        <f t="shared" si="134"/>
        <v>-0.006587719698652951</v>
      </c>
      <c r="CQ65" s="154">
        <f t="shared" si="135"/>
        <v>-0.005097452216524233</v>
      </c>
      <c r="CR65" s="153">
        <f t="shared" si="136"/>
        <v>0.14801575703430167</v>
      </c>
      <c r="CS65" s="153" t="str">
        <f t="shared" si="137"/>
        <v>-</v>
      </c>
      <c r="CT65" s="154">
        <f t="shared" si="138"/>
        <v>0.19661929430735198</v>
      </c>
      <c r="CU65" s="154">
        <f t="shared" si="139"/>
        <v>0.0665796484703274</v>
      </c>
      <c r="CV65" s="155">
        <f t="shared" si="140"/>
        <v>-5.826346692693511</v>
      </c>
      <c r="CW65" s="156">
        <f t="shared" si="141"/>
        <v>6076312.93</v>
      </c>
      <c r="CX65" s="156">
        <f t="shared" si="142"/>
        <v>14996010.549999999</v>
      </c>
      <c r="CY65" s="156">
        <f t="shared" si="143"/>
        <v>13953107.81</v>
      </c>
      <c r="CZ65" s="156">
        <f t="shared" si="144"/>
        <v>-1042902.7399999984</v>
      </c>
      <c r="DA65" s="156">
        <f t="shared" si="145"/>
        <v>0</v>
      </c>
      <c r="DB65" s="156">
        <f t="shared" si="146"/>
        <v>-1042902.7399999984</v>
      </c>
      <c r="DC65" s="156">
        <f t="shared" si="147"/>
        <v>-1103382.5399999984</v>
      </c>
      <c r="DD65" s="156">
        <f t="shared" si="148"/>
        <v>0</v>
      </c>
      <c r="DE65" s="156">
        <f t="shared" si="149"/>
        <v>60479.8</v>
      </c>
      <c r="DF65" s="156">
        <f t="shared" si="150"/>
        <v>-1042902.7399999984</v>
      </c>
      <c r="DG65" s="156">
        <f t="shared" si="151"/>
        <v>-1042902.7399999984</v>
      </c>
      <c r="DH65" s="156">
        <f t="shared" si="152"/>
        <v>-60479.8</v>
      </c>
      <c r="DI65" s="156">
        <f t="shared" si="153"/>
        <v>-1103382.5399999984</v>
      </c>
      <c r="DJ65" s="156">
        <f t="shared" si="154"/>
        <v>6583779.700000001</v>
      </c>
      <c r="DK65" s="156">
        <f t="shared" si="155"/>
        <v>158.76238941290202</v>
      </c>
      <c r="DL65" s="156">
        <f t="shared" si="156"/>
        <v>-2.36539727745408</v>
      </c>
      <c r="DM65" s="156">
        <f t="shared" si="157"/>
        <v>172.02152169937034</v>
      </c>
      <c r="DN65" s="157">
        <f t="shared" si="158"/>
        <v>0</v>
      </c>
      <c r="DO65" s="156">
        <f t="shared" si="159"/>
        <v>-27.249046063804727</v>
      </c>
      <c r="DP65" s="158">
        <f t="shared" si="160"/>
        <v>6064557.78</v>
      </c>
      <c r="DT65" s="62">
        <f aca="true" t="shared" si="176" ref="DT65:EN65">SUM(DT60:DT64)</f>
        <v>4214866.09</v>
      </c>
      <c r="DU65" s="62">
        <f t="shared" si="176"/>
        <v>1888366.12</v>
      </c>
      <c r="DV65" s="62">
        <f t="shared" si="176"/>
        <v>4920196.74</v>
      </c>
      <c r="DW65" s="62">
        <f t="shared" si="176"/>
        <v>440327.95000000007</v>
      </c>
      <c r="DX65" s="62">
        <f t="shared" si="176"/>
        <v>13171.7</v>
      </c>
      <c r="DY65" s="62">
        <f t="shared" si="176"/>
        <v>168647</v>
      </c>
      <c r="DZ65" s="62">
        <f t="shared" si="176"/>
        <v>65300</v>
      </c>
      <c r="EA65" s="62">
        <f t="shared" si="176"/>
        <v>0</v>
      </c>
      <c r="EB65" s="62">
        <f t="shared" si="176"/>
        <v>0</v>
      </c>
      <c r="EC65" s="62">
        <f t="shared" si="176"/>
        <v>144390.5</v>
      </c>
      <c r="ED65" s="62">
        <f t="shared" si="176"/>
        <v>11855266.100000001</v>
      </c>
      <c r="EE65" s="62">
        <f t="shared" si="176"/>
        <v>2145393.85</v>
      </c>
      <c r="EF65" s="62">
        <f t="shared" si="176"/>
        <v>184729.7</v>
      </c>
      <c r="EG65" s="62">
        <f t="shared" si="176"/>
        <v>631377.18</v>
      </c>
      <c r="EH65" s="62">
        <f t="shared" si="176"/>
        <v>1217979.71</v>
      </c>
      <c r="EI65" s="62">
        <f t="shared" si="176"/>
        <v>0</v>
      </c>
      <c r="EJ65" s="62">
        <f t="shared" si="176"/>
        <v>1207963.53</v>
      </c>
      <c r="EK65" s="62">
        <f t="shared" si="176"/>
        <v>11755.15</v>
      </c>
      <c r="EL65" s="62">
        <f t="shared" si="176"/>
        <v>6456066.98</v>
      </c>
      <c r="EM65" s="62">
        <f t="shared" si="176"/>
        <v>11855266.100000001</v>
      </c>
      <c r="EN65" s="62">
        <f t="shared" si="176"/>
        <v>0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1999</oddHeader>
    <oddFooter>&amp;L&amp;8BHP Bern&amp;R&amp;8&amp;F/&amp;A/&amp;Pvon 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BHP Bern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Lüthi</dc:creator>
  <cp:keywords/>
  <dc:description/>
  <cp:lastModifiedBy>urs.kundert</cp:lastModifiedBy>
  <cp:lastPrinted>2006-09-13T06:52:26Z</cp:lastPrinted>
  <dcterms:created xsi:type="dcterms:W3CDTF">1999-10-26T08:58:37Z</dcterms:created>
  <dcterms:modified xsi:type="dcterms:W3CDTF">2006-12-01T05:40:47Z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-1851812092</vt:i4>
  </property>
  <property fmtid="{D5CDD505-2E9C-101B-9397-08002B2CF9AE}" pid="3" name="_EmailSubject">
    <vt:lpwstr>EDV-Modell Finanzkennzahlen</vt:lpwstr>
  </property>
  <property fmtid="{D5CDD505-2E9C-101B-9397-08002B2CF9AE}" pid="4" name="_AuthorEmail">
    <vt:lpwstr>hans.schaefer@bhp.bhpbern.ch</vt:lpwstr>
  </property>
  <property fmtid="{D5CDD505-2E9C-101B-9397-08002B2CF9AE}" pid="5" name="_AuthorEmailDisplayName">
    <vt:lpwstr>hans schaefer</vt:lpwstr>
  </property>
  <property fmtid="{D5CDD505-2E9C-101B-9397-08002B2CF9AE}" pid="6" name="_ReviewingToolsShownOnce">
    <vt:lpwstr/>
  </property>
</Properties>
</file>