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5490" windowHeight="4590" activeTab="0"/>
  </bookViews>
  <sheets>
    <sheet name="Abfrage" sheetId="1" r:id="rId1"/>
    <sheet name="Grafiken" sheetId="2" r:id="rId2"/>
    <sheet name="2000" sheetId="3" r:id="rId3"/>
    <sheet name="2001" sheetId="4" r:id="rId4"/>
    <sheet name="2002" sheetId="5" r:id="rId5"/>
    <sheet name="2003" sheetId="6" r:id="rId6"/>
    <sheet name="2004" sheetId="7" r:id="rId7"/>
  </sheets>
  <definedNames>
    <definedName name="_xlnm.Print_Area" localSheetId="0">'Abfrage'!$A$1:$G$158</definedName>
    <definedName name="_xlnm.Print_Titles" localSheetId="2">'2000'!$A:$A</definedName>
    <definedName name="_xlnm.Print_Titles" localSheetId="3">'2001'!$A:$A</definedName>
    <definedName name="_xlnm.Print_Titles" localSheetId="4">'2002'!$A:$A</definedName>
    <definedName name="_xlnm.Print_Titles" localSheetId="5">'2003'!$A:$A</definedName>
    <definedName name="_xlnm.Print_Titles" localSheetId="6">'2004'!$A:$A</definedName>
    <definedName name="_xlnm.Print_Titles" localSheetId="0">'Abfrage'!$1:$3</definedName>
  </definedNames>
  <calcPr fullCalcOnLoad="1"/>
</workbook>
</file>

<file path=xl/sharedStrings.xml><?xml version="1.0" encoding="utf-8"?>
<sst xmlns="http://schemas.openxmlformats.org/spreadsheetml/2006/main" count="963" uniqueCount="257">
  <si>
    <t>Bilten</t>
  </si>
  <si>
    <t>Diesbach</t>
  </si>
  <si>
    <t>Elm</t>
  </si>
  <si>
    <t>Engi</t>
  </si>
  <si>
    <t>Ennenda</t>
  </si>
  <si>
    <t>Filzbach</t>
  </si>
  <si>
    <t>Glarus</t>
  </si>
  <si>
    <t>Haslen</t>
  </si>
  <si>
    <t>Hätzingen</t>
  </si>
  <si>
    <t>Linthal</t>
  </si>
  <si>
    <t>Matt</t>
  </si>
  <si>
    <t>Mitlödi</t>
  </si>
  <si>
    <t>Mühlehorn</t>
  </si>
  <si>
    <t>Näfels</t>
  </si>
  <si>
    <t>Netstal</t>
  </si>
  <si>
    <t>Nidfurn</t>
  </si>
  <si>
    <t>Niederurnen</t>
  </si>
  <si>
    <t>Obstalden</t>
  </si>
  <si>
    <t>Riedern</t>
  </si>
  <si>
    <t>Rüti</t>
  </si>
  <si>
    <t>Sool</t>
  </si>
  <si>
    <t>Schwanden</t>
  </si>
  <si>
    <t>Aufwand</t>
  </si>
  <si>
    <t>Ertrag</t>
  </si>
  <si>
    <t>Passivzinsen</t>
  </si>
  <si>
    <t>Vermögenserträge</t>
  </si>
  <si>
    <t>Finanzvermögen</t>
  </si>
  <si>
    <t>Verwaltungsvermögen</t>
  </si>
  <si>
    <t>Bilanzfehlbetrag</t>
  </si>
  <si>
    <t>Fremdkapital</t>
  </si>
  <si>
    <t>Eigenkapital</t>
  </si>
  <si>
    <t>Schwändi</t>
  </si>
  <si>
    <t>Braunwald</t>
  </si>
  <si>
    <t>Leuggelbach</t>
  </si>
  <si>
    <t>Luchsingen</t>
  </si>
  <si>
    <t>Mollis</t>
  </si>
  <si>
    <t>Oberurnen</t>
  </si>
  <si>
    <t>Absolute Steuerkraft</t>
  </si>
  <si>
    <t>Betschwanden</t>
  </si>
  <si>
    <t>SFG</t>
  </si>
  <si>
    <t>SFA</t>
  </si>
  <si>
    <t>ZBA</t>
  </si>
  <si>
    <t>KDA</t>
  </si>
  <si>
    <t>Zinsbelastungsanteil</t>
  </si>
  <si>
    <t>Kapitaldienstanteil</t>
  </si>
  <si>
    <t>Selbstfinanzierungsanteil</t>
  </si>
  <si>
    <t>Selbstfinanzierungsgrad</t>
  </si>
  <si>
    <t>Minimum</t>
  </si>
  <si>
    <t>Maximum</t>
  </si>
  <si>
    <t>Median</t>
  </si>
  <si>
    <t>Veränderung</t>
  </si>
  <si>
    <t>absolute Steuerkraft</t>
  </si>
  <si>
    <t>Steuerkraftindex</t>
  </si>
  <si>
    <t>mittlere Wohnbevölkerung</t>
  </si>
  <si>
    <t>ord. Abschreibungen Verw.vermögen</t>
  </si>
  <si>
    <t>zus. Abschreibungen Verw.vermögen</t>
  </si>
  <si>
    <t>Verpflichtungen Spezialfinanzierungen</t>
  </si>
  <si>
    <t>Mittelwert</t>
  </si>
  <si>
    <t>Steuerfuss</t>
  </si>
  <si>
    <t>alle Gemeinden</t>
  </si>
  <si>
    <t>Nettoinvestitionen</t>
  </si>
  <si>
    <t>Überschuss (+), Fehlbetrag (-)</t>
  </si>
  <si>
    <t>2. Laufende Rechnung</t>
  </si>
  <si>
    <t>3. Investitionsrechnung</t>
  </si>
  <si>
    <t>4. Bestandesrechnung</t>
  </si>
  <si>
    <t>5. Kennzahlen</t>
  </si>
  <si>
    <t>Mittlere Wohnbevölkerung</t>
  </si>
  <si>
    <t>2. Laufende Rechnung (Fortsetzung)</t>
  </si>
  <si>
    <t xml:space="preserve">relative Steuerkraft   </t>
  </si>
  <si>
    <t>bereinigter Selbstfinanzierungsanteil</t>
  </si>
  <si>
    <t>Summe</t>
  </si>
  <si>
    <t>1. Allgemeine Angaben (alle Jahr 2000)</t>
  </si>
  <si>
    <t>Mittlere Wohnbev. 1998</t>
  </si>
  <si>
    <t>Mittlere Wohnbev. 1999</t>
  </si>
  <si>
    <t>1. Allgemeine Angaben (alle Jahr 2001)</t>
  </si>
  <si>
    <t>Mittlere Wohnbev. 2000</t>
  </si>
  <si>
    <t>30 Perwsonalaufwand</t>
  </si>
  <si>
    <t>31 Sachaufwand</t>
  </si>
  <si>
    <t>32 Passivzinsen</t>
  </si>
  <si>
    <t>330 Abschreibungen Finanzvermögen</t>
  </si>
  <si>
    <t>331 ord. Abschreibungen Verwaltungsvermögen</t>
  </si>
  <si>
    <t>332 zusätzl. Abschreibungen Verwaltungsvermögen</t>
  </si>
  <si>
    <t>33 Total Abschreibungen</t>
  </si>
  <si>
    <t>34 Anteile und Beiträge ohne Zweckbindungen</t>
  </si>
  <si>
    <t>35 Entschäd.f.Dienstleist.anderer Gemeinwesen</t>
  </si>
  <si>
    <t>36 Betriebs- und Defizitbeiträge</t>
  </si>
  <si>
    <t>37 Durchlaufende Beiträge</t>
  </si>
  <si>
    <t>380 Einlagen in Spezialfinanzierungen</t>
  </si>
  <si>
    <t>381 Einlagen in Spezialfonds</t>
  </si>
  <si>
    <t>382 Einlagen in Verpfl.f.Vorfinanzierungen</t>
  </si>
  <si>
    <t>383 Einlagen in Verpfl.f.Sonderrechnungen</t>
  </si>
  <si>
    <t>384 Einlagen in Rückstellungen</t>
  </si>
  <si>
    <t>38 Einlagen in Spezi,Stifttungen,Rückstell.</t>
  </si>
  <si>
    <t>39 Interne Verrechnungen</t>
  </si>
  <si>
    <t>3 Total Aufwand LR</t>
  </si>
  <si>
    <t>400 Einkommens- und Vermögenssteuern</t>
  </si>
  <si>
    <t>401 Gewinn- und Kapitalsteuern</t>
  </si>
  <si>
    <t>403 Vermögenssteuern</t>
  </si>
  <si>
    <t>406 Besitz- und Aufwandsteuern</t>
  </si>
  <si>
    <t>40 Steuern</t>
  </si>
  <si>
    <t>41 Erträge aus Reglien und Konzessionen</t>
  </si>
  <si>
    <t>42 Vermögenserträge</t>
  </si>
  <si>
    <t>424 davon Buchgewinne Anlagen Finanzvermögen</t>
  </si>
  <si>
    <t>43 Entgelte</t>
  </si>
  <si>
    <t>44 Anteile u. Beiträge ohne Zweckbindung</t>
  </si>
  <si>
    <t>45 Rückerstattungen von Gemeinwesen</t>
  </si>
  <si>
    <t>46 Beiträge mit Zweckbindung</t>
  </si>
  <si>
    <t>47 Durchlaufende Beiträge</t>
  </si>
  <si>
    <t>480 Entnahmen aus Spezialfinanzierungen</t>
  </si>
  <si>
    <t>481 Entnahmen aus Spezialfonds</t>
  </si>
  <si>
    <t>482 Entnahmen aus Verpfl.f.Vorfinanzierungen</t>
  </si>
  <si>
    <t>483 Entnahmen aus Verpfl.f.Sonderrechnungen</t>
  </si>
  <si>
    <t>484 Entnahmen aus Rückstellungen</t>
  </si>
  <si>
    <t>48 Entnahmen aus Spezi,Stiftungen,Rückstell.</t>
  </si>
  <si>
    <t>49 Interne Verrechnungen</t>
  </si>
  <si>
    <t>4 Total Ertrag LR</t>
  </si>
  <si>
    <t>912 Ertragsüberschuss laufende Rechnung</t>
  </si>
  <si>
    <t>913 Aufwandüberschuss laufende Rechnung</t>
  </si>
  <si>
    <t>KONTROLLE</t>
  </si>
  <si>
    <t>50 Sachgüter</t>
  </si>
  <si>
    <t>52 Darlehen und Beteiligungen</t>
  </si>
  <si>
    <t>55 Einlagen in Spezialfonds</t>
  </si>
  <si>
    <t>56 Investitionsbeiträge</t>
  </si>
  <si>
    <t>57 Durchlaufende Beiträge</t>
  </si>
  <si>
    <t>58 Übrige zu aktivierende Ausgaben</t>
  </si>
  <si>
    <t>5 Total Ausgaben IR</t>
  </si>
  <si>
    <t>60 Abgang von Sachgütern</t>
  </si>
  <si>
    <t>61 Nutzungsabgaben u. Vorteilsentgelte</t>
  </si>
  <si>
    <t>62 Rückzlg.von Darlehen u.Beteiligungen</t>
  </si>
  <si>
    <t>63 Rückerstattungen für Sachgüter</t>
  </si>
  <si>
    <t>64 Rückzahlung von Investitionsbeiträgen</t>
  </si>
  <si>
    <t>66 Beiträge mit Zweckbindung</t>
  </si>
  <si>
    <t>65 Entnahmen aus Spezialfonds u.Vorzinanz.</t>
  </si>
  <si>
    <t>67 Durchlaufende Beiträge</t>
  </si>
  <si>
    <t>6 Total Einnahmen IR</t>
  </si>
  <si>
    <t>590 Passivierte Einnahmen</t>
  </si>
  <si>
    <t>592 Übertr.Einnahmenüberschuss in Lauf.Re.</t>
  </si>
  <si>
    <t>690 Aktivierte Ausgaben</t>
  </si>
  <si>
    <t>3. Investitionsrechnung (Fortsetzung)</t>
  </si>
  <si>
    <t>942-949 Aufwand Liegensch.im Finanzvermög.(Brutto)</t>
  </si>
  <si>
    <t>10 Finanzvermögen</t>
  </si>
  <si>
    <t>11 Verwaltungvermögen</t>
  </si>
  <si>
    <t>19 Bilanzvehlbetrag</t>
  </si>
  <si>
    <t>1 Aktiven</t>
  </si>
  <si>
    <t>20 Fremdkapital</t>
  </si>
  <si>
    <t>28 Verpflichtungen Spezialfinanzierungen</t>
  </si>
  <si>
    <t>18 Vorschüsse Spezialfinanzierungen</t>
  </si>
  <si>
    <t>29 Eigenkapital</t>
  </si>
  <si>
    <t>2 Passiven</t>
  </si>
  <si>
    <t>Selbstfinanzierung</t>
  </si>
  <si>
    <t>bereinigte Selbstfinanzierung</t>
  </si>
  <si>
    <t>Finanzertrag</t>
  </si>
  <si>
    <t>Nettozinsen</t>
  </si>
  <si>
    <t>Kapitaldienst</t>
  </si>
  <si>
    <t>Abschreibungssatz Verwaltungsvermögen</t>
  </si>
  <si>
    <t>Verschuldungsfaktor</t>
  </si>
  <si>
    <t>Abschreibungsbedarf f.ord.Abschreibung.</t>
  </si>
  <si>
    <t>Vorschüsse Spezialfinanzierungen</t>
  </si>
  <si>
    <t>TOTAL AKTIVEN</t>
  </si>
  <si>
    <t>TOTAL PASSIVEN</t>
  </si>
  <si>
    <t>Nettoschuld(-)/Nettovermögen(+)</t>
  </si>
  <si>
    <t>Nettoschuld(-) / Nettovermögen(+)</t>
  </si>
  <si>
    <t>Cash flow(+)/Cash loss(-)</t>
  </si>
  <si>
    <t>Cash flow(+) / Cash loss(-)</t>
  </si>
  <si>
    <t>Aufwand LR vor Abschreib u. Einl.Rückst.</t>
  </si>
  <si>
    <t>Ertrag LR vor Entnahme Rückst.</t>
  </si>
  <si>
    <t>Einlagen(-)/Entnahmen(+) Rückstellung.</t>
  </si>
  <si>
    <t>Einlagen(-) / Entnahmen(+) Rückstellungen</t>
  </si>
  <si>
    <t>Aufwandüberschuss(-) / Ertragsüberschuss(+)</t>
  </si>
  <si>
    <t>Aktivierte Ausgaben</t>
  </si>
  <si>
    <t>Passivierte Einnahmen</t>
  </si>
  <si>
    <t>Zunahme(+)/Abnahme(-)Nettoinvestit.</t>
  </si>
  <si>
    <t>Übertr.Einnahmenübersch.in lauf.Re.</t>
  </si>
  <si>
    <t>Zunahme(+) / Abnahem(-) Nettoinvestitionen</t>
  </si>
  <si>
    <t>Zunahme(-)/Abnahme(+)Nettoinvestit.</t>
  </si>
  <si>
    <t>Abschreibungen Verw.Vermögen</t>
  </si>
  <si>
    <t>Aufwand-(-)/Ertrags-(+) Überschuss</t>
  </si>
  <si>
    <t>Finanzier.-Fehlbetrag(-)/-Überschuss(+)</t>
  </si>
  <si>
    <t>Abschreibungen Verwaltungsvermögen</t>
  </si>
  <si>
    <t>Finanzierungs-Fehlbetrag(-)/-Überschuss(+)</t>
  </si>
  <si>
    <t xml:space="preserve">Passivierungen </t>
  </si>
  <si>
    <t>Passivierungen (Inves.Einn.u.Abschreibungen</t>
  </si>
  <si>
    <t>Aktivierungen</t>
  </si>
  <si>
    <t>Zunahme(+)/Abnahme(-) des Kapitals</t>
  </si>
  <si>
    <t>Zunahme(+) / Abnahme(-) des Kapitals</t>
  </si>
  <si>
    <t>Abschreibungssatz Verw.vermögen</t>
  </si>
  <si>
    <t>Abschreibungsbedarf f.ordentl.Abschr.</t>
  </si>
  <si>
    <t>Personalaufwand</t>
  </si>
  <si>
    <t>Abschreibungen Finanzvermögen</t>
  </si>
  <si>
    <t>Buchgewinne Anlagen Finanzvermögen</t>
  </si>
  <si>
    <t>Steuerertrag</t>
  </si>
  <si>
    <t>relative Staatssteuerkraft je Einwohner</t>
  </si>
  <si>
    <t>Index der relativen Steuerkraft</t>
  </si>
  <si>
    <t>Nettoschuld(-)/Nettovermög.(+)pro Kopf</t>
  </si>
  <si>
    <t>Nettozinsen pro Kopf</t>
  </si>
  <si>
    <t>Steuerertrag pro Kopf</t>
  </si>
  <si>
    <t>Nettoinvestitionen pro Kopf</t>
  </si>
  <si>
    <t>Finanz.Fehlbetrag(-)/Überschuss(+)p.K.</t>
  </si>
  <si>
    <t>Nettoschuld(-) / Nettovermögen(+) pro Kopf</t>
  </si>
  <si>
    <t>Finanz.Fehlbetrag(-) / -Überschuss(+) pro Kopf</t>
  </si>
  <si>
    <t>1. Allgemeine Angaben (alle Jahr 2002)</t>
  </si>
  <si>
    <t>1. Allgemeine Angaben (alle Jahr 2003)</t>
  </si>
  <si>
    <t>1. Allgemeine Angaben (alle Jahr 2004)</t>
  </si>
  <si>
    <t>BESTANDESRECHNUNG</t>
  </si>
  <si>
    <t>LAUFENDE RECHNUNG</t>
  </si>
  <si>
    <t>INVESTITIONSRECHNUNG</t>
  </si>
  <si>
    <t>FINANZIERUNG</t>
  </si>
  <si>
    <t>KAPITALVERÄNDERUNG</t>
  </si>
  <si>
    <t>FINANZKENNZAHLEN</t>
  </si>
  <si>
    <t>STEUERN</t>
  </si>
  <si>
    <t>STATISTISCHE ANGABEN</t>
  </si>
  <si>
    <t>PRO-KOPF-KENNZAHLEN</t>
  </si>
  <si>
    <t>Steuerfuss Ortsgemeinde</t>
  </si>
  <si>
    <t>Aufwand-(-)/Ertrags-(+)Überschuss LR</t>
  </si>
  <si>
    <t>Nettoschuld(-)/Nettovermögen</t>
  </si>
  <si>
    <t>405 (404) Erbschafts-u.Schnekungssteuern</t>
  </si>
  <si>
    <t>Auswahl der Ortsgemeinde:</t>
  </si>
  <si>
    <t>Steuerfuss Ortsgemeidne</t>
  </si>
  <si>
    <t>BETSCHWANDEN</t>
  </si>
  <si>
    <t>BILTEN</t>
  </si>
  <si>
    <t>BRAUNWALD</t>
  </si>
  <si>
    <t>DIESBACH</t>
  </si>
  <si>
    <t>ELM</t>
  </si>
  <si>
    <t>ENGI</t>
  </si>
  <si>
    <t>ENNENDA</t>
  </si>
  <si>
    <t>FILZBACH</t>
  </si>
  <si>
    <t>GLARUS</t>
  </si>
  <si>
    <t>HASLEN</t>
  </si>
  <si>
    <t>HÄTZINGEN</t>
  </si>
  <si>
    <t>LEUGGELBACH</t>
  </si>
  <si>
    <t>LINTHAL</t>
  </si>
  <si>
    <t>LUCHSINGEN</t>
  </si>
  <si>
    <t>MATT</t>
  </si>
  <si>
    <t>MITLÖDI</t>
  </si>
  <si>
    <t>MOLLIS</t>
  </si>
  <si>
    <t>MÜHLEHORN</t>
  </si>
  <si>
    <t>NÄFELS</t>
  </si>
  <si>
    <t>NETSTAL</t>
  </si>
  <si>
    <t>NIDFURN</t>
  </si>
  <si>
    <t>NIEDERURNEN</t>
  </si>
  <si>
    <t>OBERURNEN</t>
  </si>
  <si>
    <t>OBSTALDEN</t>
  </si>
  <si>
    <t>RIEDERN</t>
  </si>
  <si>
    <t>RÜTI</t>
  </si>
  <si>
    <t>SCHWANDEN</t>
  </si>
  <si>
    <t>SCHWÄNDI</t>
  </si>
  <si>
    <t>SOOL</t>
  </si>
  <si>
    <t>Total</t>
  </si>
  <si>
    <t>TOTAL</t>
  </si>
  <si>
    <t>bereinigter Selbstfinanzierungsgrad</t>
  </si>
  <si>
    <t>Gegenseitig unterstützungspflichtiges Vermögen</t>
  </si>
  <si>
    <t>Gegenseitige Unterstützungspflicht</t>
  </si>
  <si>
    <t>KERENZERBERG</t>
  </si>
  <si>
    <t>UNTERLAND</t>
  </si>
  <si>
    <t>MITTELLAND</t>
  </si>
  <si>
    <t>SERNFTAL</t>
  </si>
  <si>
    <t>HINTERLAND</t>
  </si>
</sst>
</file>

<file path=xl/styles.xml><?xml version="1.0" encoding="utf-8"?>
<styleSheet xmlns="http://schemas.openxmlformats.org/spreadsheetml/2006/main">
  <numFmts count="3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######0"/>
    <numFmt numFmtId="165" formatCode="0.00_ ;[Red]\-0.00\ "/>
    <numFmt numFmtId="166" formatCode="#,##0.00_ ;[Red]\-#,##0.00\ "/>
    <numFmt numFmtId="167" formatCode="#,##0_ ;[Red]\-#,##0\ "/>
    <numFmt numFmtId="168" formatCode="0.0%"/>
    <numFmt numFmtId="169" formatCode="0.000%"/>
    <numFmt numFmtId="170" formatCode="0.0000%"/>
    <numFmt numFmtId="171" formatCode="0.00000%"/>
    <numFmt numFmtId="172" formatCode="0.000000%"/>
    <numFmt numFmtId="173" formatCode="0.0000000%"/>
    <numFmt numFmtId="174" formatCode="_ * #,##0.0_ ;_ * \-#,##0.0_ ;_ * &quot;-&quot;??_ ;_ @_ "/>
    <numFmt numFmtId="175" formatCode="_ * #,##0_ ;_ * \-#,##0_ ;_ * &quot;-&quot;??_ ;_ @_ "/>
    <numFmt numFmtId="176" formatCode="#,##0_ ;\-#,##0\ "/>
    <numFmt numFmtId="177" formatCode="0.000000"/>
    <numFmt numFmtId="178" formatCode="0.00000"/>
    <numFmt numFmtId="179" formatCode="0.0000"/>
    <numFmt numFmtId="180" formatCode="0.000"/>
    <numFmt numFmtId="181" formatCode="_ * #,##0.0_ ;_ * \-#,##0.0_ ;_ * &quot;-&quot;?_ ;_ @_ "/>
    <numFmt numFmtId="182" formatCode="_ * #,##0.0_ ;_ * \-#,##0.0_ ;_ * &quot;-&quot;_ ;_ @_ "/>
    <numFmt numFmtId="183" formatCode="_ * #,##0.00_ ;_ * \-#,##0.00_ ;_ * &quot;-&quot;_ ;_ @_ "/>
    <numFmt numFmtId="184" formatCode="_ * #,##0.000_ ;_ * \-#,##0.000_ ;_ * &quot;-&quot;??_ ;_ @_ "/>
    <numFmt numFmtId="185" formatCode="#,##0.0"/>
    <numFmt numFmtId="186" formatCode="_ * #,##0.0000_ ;_ * \-#,##0.0000_ ;_ * &quot;-&quot;??_ ;_ @_ "/>
    <numFmt numFmtId="187" formatCode="_ * #,##0.000_ ;_ * \-#,##0.000_ ;_ * &quot;-&quot;_ ;_ @_ "/>
    <numFmt numFmtId="188" formatCode="_ * #,##0.0000_ ;_ * \-#,##0.0000_ ;_ * &quot;-&quot;_ ;_ @_ "/>
    <numFmt numFmtId="189" formatCode="_ * #,##0.00000_ ;_ * \-#,##0.00000_ ;_ * &quot;-&quot;_ ;_ @_ "/>
    <numFmt numFmtId="190" formatCode="_ * #,##0.000000_ ;_ * \-#,##0.000000_ ;_ * &quot;-&quot;_ ;_ @_ "/>
  </numFmts>
  <fonts count="1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sz val="14"/>
      <name val="Arial"/>
      <family val="2"/>
    </font>
    <font>
      <sz val="8"/>
      <name val="Arial"/>
      <family val="0"/>
    </font>
    <font>
      <sz val="8.25"/>
      <name val="Arial"/>
      <family val="0"/>
    </font>
    <font>
      <b/>
      <sz val="9.75"/>
      <name val="Arial"/>
      <family val="2"/>
    </font>
    <font>
      <sz val="8.75"/>
      <name val="Arial"/>
      <family val="2"/>
    </font>
    <font>
      <b/>
      <sz val="10"/>
      <name val="CG Omega"/>
      <family val="2"/>
    </font>
  </fonts>
  <fills count="9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 textRotation="90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41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41" fontId="0" fillId="0" borderId="1" xfId="0" applyNumberFormat="1" applyBorder="1" applyAlignment="1">
      <alignment horizontal="left"/>
    </xf>
    <xf numFmtId="41" fontId="0" fillId="0" borderId="2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68" fontId="2" fillId="0" borderId="3" xfId="17" applyNumberFormat="1" applyFont="1" applyBorder="1" applyAlignment="1">
      <alignment/>
    </xf>
    <xf numFmtId="168" fontId="0" fillId="0" borderId="0" xfId="17" applyNumberFormat="1" applyBorder="1" applyAlignment="1">
      <alignment/>
    </xf>
    <xf numFmtId="168" fontId="0" fillId="0" borderId="0" xfId="17" applyNumberFormat="1" applyAlignment="1">
      <alignment/>
    </xf>
    <xf numFmtId="0" fontId="1" fillId="0" borderId="0" xfId="0" applyFont="1" applyBorder="1" applyAlignment="1">
      <alignment horizontal="right"/>
    </xf>
    <xf numFmtId="175" fontId="0" fillId="0" borderId="0" xfId="15" applyNumberFormat="1" applyBorder="1" applyAlignment="1">
      <alignment/>
    </xf>
    <xf numFmtId="168" fontId="0" fillId="0" borderId="0" xfId="0" applyNumberFormat="1" applyAlignment="1">
      <alignment/>
    </xf>
    <xf numFmtId="175" fontId="0" fillId="0" borderId="0" xfId="15" applyNumberFormat="1" applyAlignment="1">
      <alignment/>
    </xf>
    <xf numFmtId="0" fontId="0" fillId="0" borderId="3" xfId="0" applyBorder="1" applyAlignment="1">
      <alignment horizontal="center" textRotation="90"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175" fontId="2" fillId="0" borderId="3" xfId="15" applyNumberFormat="1" applyFont="1" applyBorder="1" applyAlignment="1">
      <alignment/>
    </xf>
    <xf numFmtId="43" fontId="2" fillId="0" borderId="3" xfId="15" applyFont="1" applyBorder="1" applyAlignment="1">
      <alignment/>
    </xf>
    <xf numFmtId="168" fontId="2" fillId="0" borderId="7" xfId="17" applyNumberFormat="1" applyFont="1" applyBorder="1" applyAlignment="1">
      <alignment/>
    </xf>
    <xf numFmtId="175" fontId="2" fillId="0" borderId="8" xfId="15" applyNumberFormat="1" applyFont="1" applyBorder="1" applyAlignment="1">
      <alignment/>
    </xf>
    <xf numFmtId="43" fontId="2" fillId="0" borderId="8" xfId="15" applyFont="1" applyBorder="1" applyAlignment="1">
      <alignment/>
    </xf>
    <xf numFmtId="168" fontId="2" fillId="0" borderId="8" xfId="17" applyNumberFormat="1" applyFont="1" applyBorder="1" applyAlignment="1">
      <alignment/>
    </xf>
    <xf numFmtId="168" fontId="2" fillId="0" borderId="9" xfId="17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3" fontId="0" fillId="0" borderId="1" xfId="15" applyBorder="1" applyAlignment="1">
      <alignment horizontal="left"/>
    </xf>
    <xf numFmtId="43" fontId="0" fillId="0" borderId="1" xfId="15" applyBorder="1" applyAlignment="1">
      <alignment/>
    </xf>
    <xf numFmtId="43" fontId="0" fillId="0" borderId="2" xfId="15" applyBorder="1" applyAlignment="1">
      <alignment/>
    </xf>
    <xf numFmtId="0" fontId="0" fillId="0" borderId="12" xfId="0" applyBorder="1" applyAlignment="1">
      <alignment horizontal="center" textRotation="90" wrapText="1"/>
    </xf>
    <xf numFmtId="3" fontId="0" fillId="0" borderId="1" xfId="0" applyNumberFormat="1" applyBorder="1" applyAlignment="1">
      <alignment horizontal="right"/>
    </xf>
    <xf numFmtId="41" fontId="0" fillId="1" borderId="1" xfId="0" applyNumberFormat="1" applyFill="1" applyBorder="1" applyAlignment="1">
      <alignment/>
    </xf>
    <xf numFmtId="43" fontId="0" fillId="1" borderId="1" xfId="15" applyFill="1" applyBorder="1" applyAlignment="1">
      <alignment/>
    </xf>
    <xf numFmtId="0" fontId="0" fillId="0" borderId="13" xfId="0" applyBorder="1" applyAlignment="1">
      <alignment horizontal="center" textRotation="90" wrapText="1"/>
    </xf>
    <xf numFmtId="164" fontId="0" fillId="0" borderId="14" xfId="0" applyNumberFormat="1" applyBorder="1" applyAlignment="1">
      <alignment/>
    </xf>
    <xf numFmtId="41" fontId="0" fillId="1" borderId="14" xfId="0" applyNumberFormat="1" applyFill="1" applyBorder="1" applyAlignment="1">
      <alignment/>
    </xf>
    <xf numFmtId="41" fontId="0" fillId="0" borderId="14" xfId="0" applyNumberFormat="1" applyBorder="1" applyAlignment="1">
      <alignment/>
    </xf>
    <xf numFmtId="41" fontId="0" fillId="0" borderId="15" xfId="0" applyNumberFormat="1" applyBorder="1" applyAlignment="1">
      <alignment/>
    </xf>
    <xf numFmtId="0" fontId="0" fillId="0" borderId="13" xfId="0" applyFont="1" applyBorder="1" applyAlignment="1">
      <alignment horizontal="center" textRotation="90" wrapText="1"/>
    </xf>
    <xf numFmtId="164" fontId="0" fillId="1" borderId="14" xfId="0" applyNumberFormat="1" applyFill="1" applyBorder="1" applyAlignment="1">
      <alignment/>
    </xf>
    <xf numFmtId="164" fontId="0" fillId="0" borderId="15" xfId="0" applyNumberForma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left"/>
    </xf>
    <xf numFmtId="0" fontId="2" fillId="1" borderId="18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 horizontal="center" textRotation="90" wrapText="1"/>
    </xf>
    <xf numFmtId="0" fontId="1" fillId="0" borderId="20" xfId="0" applyFont="1" applyBorder="1" applyAlignment="1">
      <alignment/>
    </xf>
    <xf numFmtId="0" fontId="0" fillId="0" borderId="3" xfId="0" applyFont="1" applyBorder="1" applyAlignment="1">
      <alignment horizontal="center" textRotation="90" wrapText="1"/>
    </xf>
    <xf numFmtId="0" fontId="0" fillId="2" borderId="0" xfId="0" applyFill="1" applyBorder="1" applyAlignment="1">
      <alignment/>
    </xf>
    <xf numFmtId="0" fontId="1" fillId="0" borderId="21" xfId="0" applyFont="1" applyBorder="1" applyAlignment="1">
      <alignment/>
    </xf>
    <xf numFmtId="168" fontId="0" fillId="0" borderId="1" xfId="17" applyNumberFormat="1" applyBorder="1" applyAlignment="1">
      <alignment horizontal="right"/>
    </xf>
    <xf numFmtId="0" fontId="2" fillId="0" borderId="6" xfId="0" applyFont="1" applyBorder="1" applyAlignment="1">
      <alignment/>
    </xf>
    <xf numFmtId="0" fontId="0" fillId="0" borderId="0" xfId="0" applyFill="1" applyAlignment="1">
      <alignment/>
    </xf>
    <xf numFmtId="175" fontId="2" fillId="0" borderId="0" xfId="15" applyNumberFormat="1" applyFont="1" applyBorder="1" applyAlignment="1">
      <alignment/>
    </xf>
    <xf numFmtId="43" fontId="0" fillId="0" borderId="1" xfId="15" applyBorder="1" applyAlignment="1">
      <alignment horizontal="left"/>
    </xf>
    <xf numFmtId="168" fontId="0" fillId="0" borderId="1" xfId="17" applyNumberFormat="1" applyBorder="1" applyAlignment="1">
      <alignment/>
    </xf>
    <xf numFmtId="168" fontId="0" fillId="0" borderId="22" xfId="17" applyNumberFormat="1" applyBorder="1" applyAlignment="1">
      <alignment/>
    </xf>
    <xf numFmtId="43" fontId="0" fillId="1" borderId="1" xfId="15" applyFill="1" applyBorder="1" applyAlignment="1">
      <alignment/>
    </xf>
    <xf numFmtId="168" fontId="0" fillId="1" borderId="1" xfId="17" applyNumberFormat="1" applyFill="1" applyBorder="1" applyAlignment="1">
      <alignment/>
    </xf>
    <xf numFmtId="168" fontId="0" fillId="1" borderId="22" xfId="17" applyNumberFormat="1" applyFill="1" applyBorder="1" applyAlignment="1">
      <alignment/>
    </xf>
    <xf numFmtId="43" fontId="0" fillId="0" borderId="1" xfId="15" applyBorder="1" applyAlignment="1">
      <alignment/>
    </xf>
    <xf numFmtId="43" fontId="0" fillId="0" borderId="2" xfId="15" applyBorder="1" applyAlignment="1">
      <alignment/>
    </xf>
    <xf numFmtId="168" fontId="0" fillId="0" borderId="2" xfId="17" applyNumberFormat="1" applyBorder="1" applyAlignment="1">
      <alignment/>
    </xf>
    <xf numFmtId="168" fontId="0" fillId="0" borderId="23" xfId="17" applyNumberFormat="1" applyBorder="1" applyAlignment="1">
      <alignment/>
    </xf>
    <xf numFmtId="43" fontId="0" fillId="1" borderId="1" xfId="15" applyFont="1" applyFill="1" applyBorder="1" applyAlignment="1">
      <alignment/>
    </xf>
    <xf numFmtId="175" fontId="0" fillId="0" borderId="1" xfId="15" applyNumberFormat="1" applyBorder="1" applyAlignment="1">
      <alignment horizontal="right"/>
    </xf>
    <xf numFmtId="174" fontId="0" fillId="0" borderId="1" xfId="15" applyNumberFormat="1" applyBorder="1" applyAlignment="1">
      <alignment/>
    </xf>
    <xf numFmtId="175" fontId="0" fillId="0" borderId="1" xfId="15" applyNumberFormat="1" applyBorder="1" applyAlignment="1">
      <alignment/>
    </xf>
    <xf numFmtId="0" fontId="0" fillId="0" borderId="0" xfId="0" applyFill="1" applyBorder="1" applyAlignment="1">
      <alignment/>
    </xf>
    <xf numFmtId="175" fontId="0" fillId="0" borderId="0" xfId="15" applyNumberFormat="1" applyFill="1" applyBorder="1" applyAlignment="1">
      <alignment/>
    </xf>
    <xf numFmtId="0" fontId="1" fillId="0" borderId="0" xfId="0" applyFont="1" applyBorder="1" applyAlignment="1">
      <alignment/>
    </xf>
    <xf numFmtId="175" fontId="0" fillId="0" borderId="1" xfId="15" applyNumberFormat="1" applyFont="1" applyBorder="1" applyAlignment="1">
      <alignment/>
    </xf>
    <xf numFmtId="43" fontId="0" fillId="0" borderId="1" xfId="15" applyFont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24" xfId="0" applyFill="1" applyBorder="1" applyAlignment="1">
      <alignment/>
    </xf>
    <xf numFmtId="0" fontId="1" fillId="3" borderId="3" xfId="0" applyFont="1" applyFill="1" applyBorder="1" applyAlignment="1">
      <alignment/>
    </xf>
    <xf numFmtId="0" fontId="0" fillId="3" borderId="3" xfId="0" applyFill="1" applyBorder="1" applyAlignment="1">
      <alignment/>
    </xf>
    <xf numFmtId="175" fontId="0" fillId="3" borderId="3" xfId="15" applyNumberFormat="1" applyFill="1" applyBorder="1" applyAlignment="1">
      <alignment/>
    </xf>
    <xf numFmtId="168" fontId="0" fillId="3" borderId="3" xfId="17" applyNumberFormat="1" applyFill="1" applyBorder="1" applyAlignment="1">
      <alignment/>
    </xf>
    <xf numFmtId="0" fontId="1" fillId="3" borderId="3" xfId="15" applyNumberFormat="1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0" fillId="4" borderId="3" xfId="0" applyFill="1" applyBorder="1" applyAlignment="1">
      <alignment/>
    </xf>
    <xf numFmtId="175" fontId="0" fillId="4" borderId="3" xfId="15" applyNumberFormat="1" applyFill="1" applyBorder="1" applyAlignment="1">
      <alignment/>
    </xf>
    <xf numFmtId="168" fontId="0" fillId="4" borderId="3" xfId="17" applyNumberFormat="1" applyFill="1" applyBorder="1" applyAlignment="1">
      <alignment/>
    </xf>
    <xf numFmtId="9" fontId="2" fillId="0" borderId="3" xfId="17" applyFont="1" applyBorder="1" applyAlignment="1">
      <alignment/>
    </xf>
    <xf numFmtId="9" fontId="2" fillId="0" borderId="8" xfId="17" applyFont="1" applyBorder="1" applyAlignment="1">
      <alignment/>
    </xf>
    <xf numFmtId="0" fontId="0" fillId="5" borderId="0" xfId="0" applyFill="1" applyBorder="1" applyAlignment="1">
      <alignment/>
    </xf>
    <xf numFmtId="0" fontId="1" fillId="5" borderId="3" xfId="0" applyFont="1" applyFill="1" applyBorder="1" applyAlignment="1">
      <alignment/>
    </xf>
    <xf numFmtId="0" fontId="1" fillId="5" borderId="3" xfId="0" applyFont="1" applyFill="1" applyBorder="1" applyAlignment="1">
      <alignment horizontal="right"/>
    </xf>
    <xf numFmtId="0" fontId="0" fillId="5" borderId="3" xfId="0" applyFill="1" applyBorder="1" applyAlignment="1">
      <alignment/>
    </xf>
    <xf numFmtId="175" fontId="0" fillId="5" borderId="3" xfId="15" applyNumberFormat="1" applyFill="1" applyBorder="1" applyAlignment="1">
      <alignment/>
    </xf>
    <xf numFmtId="168" fontId="0" fillId="5" borderId="3" xfId="17" applyNumberFormat="1" applyFill="1" applyBorder="1" applyAlignment="1">
      <alignment/>
    </xf>
    <xf numFmtId="0" fontId="1" fillId="6" borderId="3" xfId="0" applyFont="1" applyFill="1" applyBorder="1" applyAlignment="1">
      <alignment/>
    </xf>
    <xf numFmtId="0" fontId="0" fillId="6" borderId="3" xfId="0" applyFill="1" applyBorder="1" applyAlignment="1">
      <alignment/>
    </xf>
    <xf numFmtId="175" fontId="0" fillId="6" borderId="3" xfId="15" applyNumberFormat="1" applyFill="1" applyBorder="1" applyAlignment="1">
      <alignment/>
    </xf>
    <xf numFmtId="168" fontId="0" fillId="6" borderId="3" xfId="17" applyNumberFormat="1" applyFill="1" applyBorder="1" applyAlignment="1">
      <alignment/>
    </xf>
    <xf numFmtId="0" fontId="1" fillId="6" borderId="3" xfId="15" applyNumberFormat="1" applyFont="1" applyFill="1" applyBorder="1" applyAlignment="1">
      <alignment/>
    </xf>
    <xf numFmtId="0" fontId="1" fillId="4" borderId="3" xfId="0" applyFont="1" applyFill="1" applyBorder="1" applyAlignment="1">
      <alignment horizontal="right"/>
    </xf>
    <xf numFmtId="0" fontId="1" fillId="7" borderId="3" xfId="0" applyFont="1" applyFill="1" applyBorder="1" applyAlignment="1">
      <alignment/>
    </xf>
    <xf numFmtId="0" fontId="0" fillId="7" borderId="3" xfId="0" applyFill="1" applyBorder="1" applyAlignment="1">
      <alignment/>
    </xf>
    <xf numFmtId="175" fontId="0" fillId="7" borderId="3" xfId="15" applyNumberFormat="1" applyFill="1" applyBorder="1" applyAlignment="1">
      <alignment/>
    </xf>
    <xf numFmtId="0" fontId="1" fillId="8" borderId="3" xfId="0" applyFont="1" applyFill="1" applyBorder="1" applyAlignment="1">
      <alignment/>
    </xf>
    <xf numFmtId="0" fontId="1" fillId="8" borderId="3" xfId="15" applyNumberFormat="1" applyFont="1" applyFill="1" applyBorder="1" applyAlignment="1">
      <alignment/>
    </xf>
    <xf numFmtId="0" fontId="0" fillId="8" borderId="3" xfId="0" applyFill="1" applyBorder="1" applyAlignment="1">
      <alignment/>
    </xf>
    <xf numFmtId="175" fontId="0" fillId="8" borderId="3" xfId="15" applyNumberFormat="1" applyFill="1" applyBorder="1" applyAlignment="1">
      <alignment/>
    </xf>
    <xf numFmtId="168" fontId="0" fillId="8" borderId="3" xfId="17" applyNumberFormat="1" applyFill="1" applyBorder="1" applyAlignment="1">
      <alignment/>
    </xf>
    <xf numFmtId="174" fontId="0" fillId="8" borderId="3" xfId="15" applyNumberFormat="1" applyFill="1" applyBorder="1" applyAlignment="1">
      <alignment/>
    </xf>
    <xf numFmtId="184" fontId="0" fillId="0" borderId="0" xfId="0" applyNumberFormat="1" applyBorder="1" applyAlignment="1">
      <alignment/>
    </xf>
    <xf numFmtId="175" fontId="2" fillId="0" borderId="25" xfId="15" applyNumberFormat="1" applyFont="1" applyBorder="1" applyAlignment="1">
      <alignment/>
    </xf>
    <xf numFmtId="175" fontId="2" fillId="0" borderId="26" xfId="15" applyNumberFormat="1" applyFont="1" applyBorder="1" applyAlignment="1">
      <alignment/>
    </xf>
    <xf numFmtId="175" fontId="2" fillId="0" borderId="27" xfId="15" applyNumberFormat="1" applyFont="1" applyBorder="1" applyAlignment="1">
      <alignment/>
    </xf>
    <xf numFmtId="175" fontId="2" fillId="0" borderId="12" xfId="15" applyNumberFormat="1" applyFont="1" applyBorder="1" applyAlignment="1">
      <alignment/>
    </xf>
    <xf numFmtId="9" fontId="2" fillId="0" borderId="12" xfId="17" applyFont="1" applyBorder="1" applyAlignment="1">
      <alignment/>
    </xf>
    <xf numFmtId="168" fontId="2" fillId="0" borderId="12" xfId="17" applyNumberFormat="1" applyFont="1" applyBorder="1" applyAlignment="1">
      <alignment/>
    </xf>
    <xf numFmtId="168" fontId="2" fillId="0" borderId="28" xfId="17" applyNumberFormat="1" applyFont="1" applyBorder="1" applyAlignment="1">
      <alignment/>
    </xf>
    <xf numFmtId="175" fontId="2" fillId="0" borderId="10" xfId="15" applyNumberFormat="1" applyFont="1" applyBorder="1" applyAlignment="1">
      <alignment/>
    </xf>
    <xf numFmtId="175" fontId="2" fillId="0" borderId="11" xfId="15" applyNumberFormat="1" applyFont="1" applyBorder="1" applyAlignment="1">
      <alignment/>
    </xf>
    <xf numFmtId="0" fontId="0" fillId="0" borderId="24" xfId="0" applyBorder="1" applyAlignment="1">
      <alignment horizontal="center" textRotation="90" wrapText="1"/>
    </xf>
    <xf numFmtId="41" fontId="0" fillId="0" borderId="0" xfId="0" applyNumberFormat="1" applyBorder="1" applyAlignment="1">
      <alignment horizontal="left"/>
    </xf>
    <xf numFmtId="41" fontId="0" fillId="1" borderId="0" xfId="0" applyNumberFormat="1" applyFill="1" applyBorder="1" applyAlignment="1">
      <alignment/>
    </xf>
    <xf numFmtId="41" fontId="0" fillId="0" borderId="29" xfId="0" applyNumberFormat="1" applyBorder="1" applyAlignment="1">
      <alignment/>
    </xf>
    <xf numFmtId="0" fontId="0" fillId="0" borderId="27" xfId="0" applyBorder="1" applyAlignment="1">
      <alignment horizontal="center" textRotation="90" wrapText="1"/>
    </xf>
    <xf numFmtId="0" fontId="0" fillId="0" borderId="12" xfId="0" applyFont="1" applyBorder="1" applyAlignment="1">
      <alignment horizontal="center" textRotation="90" wrapText="1"/>
    </xf>
    <xf numFmtId="0" fontId="0" fillId="0" borderId="28" xfId="0" applyFont="1" applyBorder="1" applyAlignment="1">
      <alignment horizontal="center" textRotation="90" wrapText="1"/>
    </xf>
    <xf numFmtId="41" fontId="0" fillId="0" borderId="18" xfId="0" applyNumberFormat="1" applyBorder="1" applyAlignment="1">
      <alignment/>
    </xf>
    <xf numFmtId="41" fontId="0" fillId="1" borderId="18" xfId="0" applyNumberFormat="1" applyFill="1" applyBorder="1" applyAlignment="1">
      <alignment/>
    </xf>
    <xf numFmtId="0" fontId="0" fillId="0" borderId="24" xfId="0" applyFont="1" applyBorder="1" applyAlignment="1">
      <alignment horizontal="center" textRotation="90" wrapText="1"/>
    </xf>
    <xf numFmtId="186" fontId="2" fillId="0" borderId="26" xfId="15" applyNumberFormat="1" applyFont="1" applyBorder="1" applyAlignment="1">
      <alignment/>
    </xf>
    <xf numFmtId="168" fontId="0" fillId="0" borderId="30" xfId="17" applyNumberFormat="1" applyBorder="1" applyAlignment="1">
      <alignment/>
    </xf>
    <xf numFmtId="0" fontId="0" fillId="0" borderId="31" xfId="0" applyFont="1" applyBorder="1" applyAlignment="1">
      <alignment horizontal="center" textRotation="90" wrapText="1"/>
    </xf>
    <xf numFmtId="10" fontId="0" fillId="7" borderId="3" xfId="17" applyNumberFormat="1" applyFill="1" applyBorder="1" applyAlignment="1">
      <alignment/>
    </xf>
    <xf numFmtId="168" fontId="0" fillId="0" borderId="1" xfId="17" applyNumberFormat="1" applyFont="1" applyBorder="1" applyAlignment="1">
      <alignment horizontal="right"/>
    </xf>
    <xf numFmtId="168" fontId="0" fillId="0" borderId="1" xfId="17" applyNumberFormat="1" applyBorder="1" applyAlignment="1">
      <alignment horizontal="right"/>
    </xf>
    <xf numFmtId="174" fontId="0" fillId="0" borderId="1" xfId="15" applyNumberFormat="1" applyBorder="1" applyAlignment="1">
      <alignment horizontal="right"/>
    </xf>
    <xf numFmtId="183" fontId="0" fillId="0" borderId="14" xfId="0" applyNumberFormat="1" applyBorder="1" applyAlignment="1">
      <alignment/>
    </xf>
    <xf numFmtId="183" fontId="0" fillId="0" borderId="1" xfId="0" applyNumberFormat="1" applyBorder="1" applyAlignment="1">
      <alignment/>
    </xf>
    <xf numFmtId="41" fontId="0" fillId="0" borderId="14" xfId="0" applyNumberFormat="1" applyBorder="1" applyAlignment="1">
      <alignment horizontal="left" indent="1"/>
    </xf>
    <xf numFmtId="174" fontId="0" fillId="0" borderId="0" xfId="15" applyNumberFormat="1" applyBorder="1" applyAlignment="1">
      <alignment/>
    </xf>
    <xf numFmtId="3" fontId="0" fillId="0" borderId="1" xfId="17" applyNumberFormat="1" applyBorder="1" applyAlignment="1">
      <alignment/>
    </xf>
    <xf numFmtId="187" fontId="0" fillId="0" borderId="0" xfId="0" applyNumberFormat="1" applyBorder="1" applyAlignment="1">
      <alignment/>
    </xf>
    <xf numFmtId="43" fontId="0" fillId="1" borderId="1" xfId="15" applyFont="1" applyFill="1" applyBorder="1" applyAlignment="1">
      <alignment/>
    </xf>
    <xf numFmtId="189" fontId="0" fillId="0" borderId="1" xfId="0" applyNumberFormat="1" applyBorder="1" applyAlignment="1">
      <alignment/>
    </xf>
    <xf numFmtId="190" fontId="0" fillId="0" borderId="1" xfId="0" applyNumberFormat="1" applyBorder="1" applyAlignment="1">
      <alignment/>
    </xf>
    <xf numFmtId="188" fontId="0" fillId="0" borderId="1" xfId="0" applyNumberFormat="1" applyBorder="1" applyAlignment="1">
      <alignment/>
    </xf>
    <xf numFmtId="182" fontId="0" fillId="0" borderId="14" xfId="0" applyNumberFormat="1" applyBorder="1" applyAlignment="1">
      <alignment/>
    </xf>
    <xf numFmtId="9" fontId="0" fillId="0" borderId="0" xfId="17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Selbstfinanzierungsgrad (SFG)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3"/>
          <c:y val="0.12125"/>
          <c:w val="0.78625"/>
          <c:h val="0.7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Grafiken!$A$2</c:f>
              <c:strCache>
                <c:ptCount val="1"/>
                <c:pt idx="0">
                  <c:v>SFG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Grafiken!$B$1:$G$1</c:f>
              <c:str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Mittelwert</c:v>
                </c:pt>
              </c:strCache>
            </c:strRef>
          </c:cat>
          <c:val>
            <c:numRef>
              <c:f>Grafiken!$B$2:$G$2</c:f>
              <c:numCache>
                <c:ptCount val="6"/>
                <c:pt idx="0">
                  <c:v>0.9367936253161457</c:v>
                </c:pt>
                <c:pt idx="1">
                  <c:v>0.5212699127570622</c:v>
                </c:pt>
                <c:pt idx="2">
                  <c:v>0.6428876582640819</c:v>
                </c:pt>
                <c:pt idx="3">
                  <c:v>0.6482525679273505</c:v>
                </c:pt>
                <c:pt idx="4">
                  <c:v>0</c:v>
                </c:pt>
                <c:pt idx="5">
                  <c:v>0.6873009410661601</c:v>
                </c:pt>
              </c:numCache>
            </c:numRef>
          </c:val>
        </c:ser>
        <c:axId val="9022410"/>
        <c:axId val="14092827"/>
      </c:barChart>
      <c:lineChart>
        <c:grouping val="standard"/>
        <c:varyColors val="0"/>
        <c:ser>
          <c:idx val="1"/>
          <c:order val="1"/>
          <c:tx>
            <c:strRef>
              <c:f>Grafiken!$A$3</c:f>
              <c:strCache>
                <c:ptCount val="1"/>
                <c:pt idx="0">
                  <c:v>alle Gemeinden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Grafiken!$B$1:$G$1</c:f>
              <c:str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Mittelwert</c:v>
                </c:pt>
              </c:strCache>
            </c:strRef>
          </c:cat>
          <c:val>
            <c:numRef>
              <c:f>Grafiken!$B$3:$G$3</c:f>
              <c:numCache>
                <c:ptCount val="6"/>
                <c:pt idx="0">
                  <c:v>1.0017993734820543</c:v>
                </c:pt>
                <c:pt idx="1">
                  <c:v>0.6254079441928967</c:v>
                </c:pt>
                <c:pt idx="2">
                  <c:v>0.3838362502488612</c:v>
                </c:pt>
                <c:pt idx="3">
                  <c:v>1.1995346887661216</c:v>
                </c:pt>
                <c:pt idx="4">
                  <c:v>0</c:v>
                </c:pt>
                <c:pt idx="5">
                  <c:v>0.6703478559746041</c:v>
                </c:pt>
              </c:numCache>
            </c:numRef>
          </c:val>
          <c:smooth val="0"/>
        </c:ser>
        <c:axId val="9022410"/>
        <c:axId val="14092827"/>
      </c:lineChart>
      <c:catAx>
        <c:axId val="9022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092827"/>
        <c:crosses val="autoZero"/>
        <c:auto val="1"/>
        <c:lblOffset val="100"/>
        <c:noMultiLvlLbl val="0"/>
      </c:catAx>
      <c:valAx>
        <c:axId val="14092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Selbstfinanzierung in % der Nettoinvestitionen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0224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85"/>
          <c:y val="0.85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Selbstfinanzierungsanteil (SFA)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375"/>
          <c:y val="0.12025"/>
          <c:w val="0.7335"/>
          <c:h val="0.7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Grafiken!$A$6</c:f>
              <c:strCache>
                <c:ptCount val="1"/>
                <c:pt idx="0">
                  <c:v>SFA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Grafiken!$B$5:$G$5</c:f>
              <c:str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Mittelwert</c:v>
                </c:pt>
              </c:strCache>
            </c:strRef>
          </c:cat>
          <c:val>
            <c:numRef>
              <c:f>Grafiken!$B$6:$G$6</c:f>
              <c:numCache>
                <c:ptCount val="6"/>
                <c:pt idx="0">
                  <c:v>0.1625351407483537</c:v>
                </c:pt>
                <c:pt idx="1">
                  <c:v>0.09875944902389082</c:v>
                </c:pt>
                <c:pt idx="2">
                  <c:v>0.13317194008014116</c:v>
                </c:pt>
                <c:pt idx="3">
                  <c:v>0.10689148144076754</c:v>
                </c:pt>
                <c:pt idx="4">
                  <c:v>0</c:v>
                </c:pt>
                <c:pt idx="5">
                  <c:v>0.12533950282328832</c:v>
                </c:pt>
              </c:numCache>
            </c:numRef>
          </c:val>
        </c:ser>
        <c:axId val="59726580"/>
        <c:axId val="668309"/>
      </c:barChart>
      <c:lineChart>
        <c:grouping val="standard"/>
        <c:varyColors val="0"/>
        <c:ser>
          <c:idx val="1"/>
          <c:order val="1"/>
          <c:tx>
            <c:strRef>
              <c:f>Grafiken!$A$7</c:f>
              <c:strCache>
                <c:ptCount val="1"/>
                <c:pt idx="0">
                  <c:v>alle Gemeinden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Grafiken!$B$5:$G$5</c:f>
              <c:str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Mittelwert</c:v>
                </c:pt>
              </c:strCache>
            </c:strRef>
          </c:cat>
          <c:val>
            <c:numRef>
              <c:f>Grafiken!$B$7:$G$7</c:f>
              <c:numCache>
                <c:ptCount val="6"/>
                <c:pt idx="0">
                  <c:v>0.13667491700616116</c:v>
                </c:pt>
                <c:pt idx="1">
                  <c:v>0.08960852660438928</c:v>
                </c:pt>
                <c:pt idx="2">
                  <c:v>0.08199608635176699</c:v>
                </c:pt>
                <c:pt idx="3">
                  <c:v>0.1271930450553534</c:v>
                </c:pt>
                <c:pt idx="4">
                  <c:v>0</c:v>
                </c:pt>
                <c:pt idx="5">
                  <c:v>0.10275984332077248</c:v>
                </c:pt>
              </c:numCache>
            </c:numRef>
          </c:val>
          <c:smooth val="0"/>
        </c:ser>
        <c:axId val="59726580"/>
        <c:axId val="668309"/>
      </c:lineChart>
      <c:catAx>
        <c:axId val="59726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8309"/>
        <c:crosses val="autoZero"/>
        <c:auto val="1"/>
        <c:lblOffset val="100"/>
        <c:noMultiLvlLbl val="0"/>
      </c:catAx>
      <c:valAx>
        <c:axId val="668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in % des Finanzertrages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7265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25"/>
          <c:y val="0.8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Zinsbelastungsanteil (ZBA)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125"/>
          <c:w val="0.87975"/>
          <c:h val="0.6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Grafiken!$A$10</c:f>
              <c:strCache>
                <c:ptCount val="1"/>
                <c:pt idx="0">
                  <c:v>ZBA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Grafiken!$B$9:$G$9</c:f>
              <c:str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Mittelwert</c:v>
                </c:pt>
              </c:strCache>
            </c:strRef>
          </c:cat>
          <c:val>
            <c:numRef>
              <c:f>Grafiken!$B$10:$G$10</c:f>
              <c:numCache>
                <c:ptCount val="6"/>
                <c:pt idx="0">
                  <c:v>0.005728304559324711</c:v>
                </c:pt>
                <c:pt idx="1">
                  <c:v>9.801496233291064E-05</c:v>
                </c:pt>
                <c:pt idx="2">
                  <c:v>-0.029721363291585434</c:v>
                </c:pt>
                <c:pt idx="3">
                  <c:v>-0.02942775051392219</c:v>
                </c:pt>
                <c:pt idx="4">
                  <c:v>0</c:v>
                </c:pt>
                <c:pt idx="5">
                  <c:v>-0.013330698570962501</c:v>
                </c:pt>
              </c:numCache>
            </c:numRef>
          </c:val>
        </c:ser>
        <c:axId val="6014782"/>
        <c:axId val="54133039"/>
      </c:barChart>
      <c:lineChart>
        <c:grouping val="standard"/>
        <c:varyColors val="0"/>
        <c:ser>
          <c:idx val="1"/>
          <c:order val="1"/>
          <c:tx>
            <c:strRef>
              <c:f>Grafiken!$A$11</c:f>
              <c:strCache>
                <c:ptCount val="1"/>
                <c:pt idx="0">
                  <c:v>alle Gemeinden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Grafiken!$B$9:$G$9</c:f>
              <c:str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Mittelwert</c:v>
                </c:pt>
              </c:strCache>
            </c:strRef>
          </c:cat>
          <c:val>
            <c:numRef>
              <c:f>Grafiken!$B$11:$G$11</c:f>
              <c:numCache>
                <c:ptCount val="6"/>
                <c:pt idx="0">
                  <c:v>-0.007838181608496425</c:v>
                </c:pt>
                <c:pt idx="1">
                  <c:v>-0.016621539474643704</c:v>
                </c:pt>
                <c:pt idx="2">
                  <c:v>-0.008482757173851599</c:v>
                </c:pt>
                <c:pt idx="3">
                  <c:v>-0.013002333163089075</c:v>
                </c:pt>
                <c:pt idx="4">
                  <c:v>0</c:v>
                </c:pt>
                <c:pt idx="5">
                  <c:v>-0.01098082608566391</c:v>
                </c:pt>
              </c:numCache>
            </c:numRef>
          </c:val>
          <c:smooth val="0"/>
        </c:ser>
        <c:axId val="6014782"/>
        <c:axId val="54133039"/>
      </c:lineChart>
      <c:catAx>
        <c:axId val="6014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133039"/>
        <c:crosses val="autoZero"/>
        <c:auto val="1"/>
        <c:lblOffset val="100"/>
        <c:noMultiLvlLbl val="0"/>
      </c:catAx>
      <c:valAx>
        <c:axId val="54133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in % des Finanzertrages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147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95"/>
          <c:y val="0.79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Kapitaldienstanteil (KDA)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7"/>
          <c:y val="0.1295"/>
          <c:w val="0.679"/>
          <c:h val="0.5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Grafiken!$A$14</c:f>
              <c:strCache>
                <c:ptCount val="1"/>
                <c:pt idx="0">
                  <c:v>KDA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Grafiken!$B$13:$G$13</c:f>
              <c:str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Mittelwert</c:v>
                </c:pt>
              </c:strCache>
            </c:strRef>
          </c:cat>
          <c:val>
            <c:numRef>
              <c:f>Grafiken!$B$14:$G$14</c:f>
              <c:numCache>
                <c:ptCount val="6"/>
                <c:pt idx="0">
                  <c:v>0.08842103022797033</c:v>
                </c:pt>
                <c:pt idx="1">
                  <c:v>0.09727144795692107</c:v>
                </c:pt>
                <c:pt idx="2">
                  <c:v>0.10496890789843248</c:v>
                </c:pt>
                <c:pt idx="3">
                  <c:v>0.06688549811280542</c:v>
                </c:pt>
                <c:pt idx="4">
                  <c:v>0</c:v>
                </c:pt>
                <c:pt idx="5">
                  <c:v>0.08938672104903232</c:v>
                </c:pt>
              </c:numCache>
            </c:numRef>
          </c:val>
        </c:ser>
        <c:axId val="17435304"/>
        <c:axId val="22700009"/>
      </c:barChart>
      <c:lineChart>
        <c:grouping val="standard"/>
        <c:varyColors val="0"/>
        <c:ser>
          <c:idx val="1"/>
          <c:order val="1"/>
          <c:tx>
            <c:strRef>
              <c:f>Grafiken!$A$15</c:f>
              <c:strCache>
                <c:ptCount val="1"/>
                <c:pt idx="0">
                  <c:v>alle Gemeinden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Grafiken!$B$13:$G$13</c:f>
              <c:str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Mittelwert</c:v>
                </c:pt>
              </c:strCache>
            </c:strRef>
          </c:cat>
          <c:val>
            <c:numRef>
              <c:f>Grafiken!$B$15:$G$15</c:f>
              <c:numCache>
                <c:ptCount val="6"/>
                <c:pt idx="0">
                  <c:v>0.05707346105992907</c:v>
                </c:pt>
                <c:pt idx="1">
                  <c:v>0.048827095869965594</c:v>
                </c:pt>
                <c:pt idx="2">
                  <c:v>0.050690321427819776</c:v>
                </c:pt>
                <c:pt idx="3">
                  <c:v>0.03587671149611307</c:v>
                </c:pt>
                <c:pt idx="4">
                  <c:v>0</c:v>
                </c:pt>
                <c:pt idx="5">
                  <c:v>0.05219695945257149</c:v>
                </c:pt>
              </c:numCache>
            </c:numRef>
          </c:val>
          <c:smooth val="0"/>
        </c:ser>
        <c:axId val="17435304"/>
        <c:axId val="22700009"/>
      </c:lineChart>
      <c:catAx>
        <c:axId val="17435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700009"/>
        <c:crosses val="autoZero"/>
        <c:auto val="1"/>
        <c:lblOffset val="100"/>
        <c:noMultiLvlLbl val="0"/>
      </c:catAx>
      <c:valAx>
        <c:axId val="22700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in % des Finanzertrages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4353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7"/>
          <c:y val="0.80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Entwicklung Nettoschuld / Nettovermögen</a:t>
            </a:r>
          </a:p>
        </c:rich>
      </c:tx>
      <c:layout/>
      <c:spPr>
        <a:noFill/>
        <a:ln>
          <a:noFill/>
        </a:ln>
      </c:spPr>
    </c:title>
    <c:view3D>
      <c:rotX val="18"/>
      <c:rotY val="25"/>
      <c:depthPercent val="100"/>
      <c:rAngAx val="1"/>
    </c:view3D>
    <c:plotArea>
      <c:layout>
        <c:manualLayout>
          <c:xMode val="edge"/>
          <c:yMode val="edge"/>
          <c:x val="0.057"/>
          <c:y val="0.16425"/>
          <c:w val="0.93975"/>
          <c:h val="0.53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Grafiken!$A$22</c:f>
              <c:strCache>
                <c:ptCount val="1"/>
                <c:pt idx="0">
                  <c:v>Nettoschuld(-)/Nettovermögen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Grafiken!$B$21:$F$21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Grafiken!$B$22:$F$22</c:f>
              <c:numCache>
                <c:ptCount val="5"/>
                <c:pt idx="0">
                  <c:v>22310.77874999994</c:v>
                </c:pt>
                <c:pt idx="1">
                  <c:v>16755.139340000005</c:v>
                </c:pt>
                <c:pt idx="2">
                  <c:v>11458.521530000016</c:v>
                </c:pt>
                <c:pt idx="3">
                  <c:v>1031.5400300000013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2973490"/>
        <c:axId val="26761411"/>
      </c:bar3DChart>
      <c:catAx>
        <c:axId val="2973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761411"/>
        <c:crosses val="autoZero"/>
        <c:auto val="1"/>
        <c:lblOffset val="100"/>
        <c:noMultiLvlLbl val="0"/>
      </c:catAx>
      <c:valAx>
        <c:axId val="26761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Beträge in 1'000 Franken</a:t>
                </a:r>
              </a:p>
            </c:rich>
          </c:tx>
          <c:layout>
            <c:manualLayout>
              <c:xMode val="factor"/>
              <c:yMode val="factor"/>
              <c:x val="-0.026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734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65"/>
          <c:y val="0.703"/>
        </c:manualLayout>
      </c:layout>
      <c:overlay val="0"/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Nettoinvestitionen und Finanzierungsüberschuss / -fehlbetrag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6"/>
          <c:y val="0.30475"/>
          <c:w val="0.823"/>
          <c:h val="0.5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Grafiken!$A$18</c:f>
              <c:strCache>
                <c:ptCount val="1"/>
                <c:pt idx="0">
                  <c:v>Nettoinvestitionen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Grafiken!$B$17:$G$17</c:f>
              <c:str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Mittelwert</c:v>
                </c:pt>
              </c:strCache>
            </c:strRef>
          </c:cat>
          <c:val>
            <c:numRef>
              <c:f>Grafiken!$B$18:$G$18</c:f>
              <c:numCache>
                <c:ptCount val="6"/>
                <c:pt idx="0">
                  <c:v>16158.804789999998</c:v>
                </c:pt>
                <c:pt idx="1">
                  <c:v>17425.780689999996</c:v>
                </c:pt>
                <c:pt idx="2">
                  <c:v>18827.65557</c:v>
                </c:pt>
                <c:pt idx="3">
                  <c:v>15260.40349</c:v>
                </c:pt>
                <c:pt idx="4">
                  <c:v>0</c:v>
                </c:pt>
                <c:pt idx="5">
                  <c:v>16918.161135</c:v>
                </c:pt>
              </c:numCache>
            </c:numRef>
          </c:val>
        </c:ser>
        <c:ser>
          <c:idx val="1"/>
          <c:order val="1"/>
          <c:tx>
            <c:strRef>
              <c:f>Grafiken!$A$19</c:f>
              <c:strCache>
                <c:ptCount val="1"/>
                <c:pt idx="0">
                  <c:v>Überschuss (+), Fehlbetrag (-)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Grafiken!$B$17:$G$17</c:f>
              <c:str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Mittelwert</c:v>
                </c:pt>
              </c:strCache>
            </c:strRef>
          </c:cat>
          <c:val>
            <c:numRef>
              <c:f>Grafiken!$B$19:$G$19</c:f>
              <c:numCache>
                <c:ptCount val="6"/>
                <c:pt idx="0">
                  <c:v>-1021.3393699999862</c:v>
                </c:pt>
                <c:pt idx="1">
                  <c:v>-8342.245569999992</c:v>
                </c:pt>
                <c:pt idx="2">
                  <c:v>-6723.588170000025</c:v>
                </c:pt>
                <c:pt idx="3">
                  <c:v>-5367.807739999997</c:v>
                </c:pt>
                <c:pt idx="4">
                  <c:v>0</c:v>
                </c:pt>
                <c:pt idx="5">
                  <c:v>-5363.7452125</c:v>
                </c:pt>
              </c:numCache>
            </c:numRef>
          </c:val>
        </c:ser>
        <c:axId val="39526108"/>
        <c:axId val="20190653"/>
      </c:barChart>
      <c:catAx>
        <c:axId val="39526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190653"/>
        <c:crosses val="autoZero"/>
        <c:auto val="1"/>
        <c:lblOffset val="100"/>
        <c:noMultiLvlLbl val="0"/>
      </c:catAx>
      <c:valAx>
        <c:axId val="20190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Beträge in 1'000 Franken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261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5"/>
          <c:y val="0.84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108</xdr:row>
      <xdr:rowOff>66675</xdr:rowOff>
    </xdr:from>
    <xdr:to>
      <xdr:col>2</xdr:col>
      <xdr:colOff>447675</xdr:colOff>
      <xdr:row>124</xdr:row>
      <xdr:rowOff>95250</xdr:rowOff>
    </xdr:to>
    <xdr:graphicFrame>
      <xdr:nvGraphicFramePr>
        <xdr:cNvPr id="1" name="Chart 11"/>
        <xdr:cNvGraphicFramePr/>
      </xdr:nvGraphicFramePr>
      <xdr:xfrm>
        <a:off x="38100" y="20450175"/>
        <a:ext cx="33718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523875</xdr:colOff>
      <xdr:row>108</xdr:row>
      <xdr:rowOff>57150</xdr:rowOff>
    </xdr:from>
    <xdr:to>
      <xdr:col>7</xdr:col>
      <xdr:colOff>0</xdr:colOff>
      <xdr:row>124</xdr:row>
      <xdr:rowOff>85725</xdr:rowOff>
    </xdr:to>
    <xdr:graphicFrame>
      <xdr:nvGraphicFramePr>
        <xdr:cNvPr id="2" name="Chart 12"/>
        <xdr:cNvGraphicFramePr/>
      </xdr:nvGraphicFramePr>
      <xdr:xfrm>
        <a:off x="3486150" y="20440650"/>
        <a:ext cx="34861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125</xdr:row>
      <xdr:rowOff>0</xdr:rowOff>
    </xdr:from>
    <xdr:to>
      <xdr:col>2</xdr:col>
      <xdr:colOff>466725</xdr:colOff>
      <xdr:row>141</xdr:row>
      <xdr:rowOff>28575</xdr:rowOff>
    </xdr:to>
    <xdr:graphicFrame>
      <xdr:nvGraphicFramePr>
        <xdr:cNvPr id="3" name="Chart 13"/>
        <xdr:cNvGraphicFramePr/>
      </xdr:nvGraphicFramePr>
      <xdr:xfrm>
        <a:off x="47625" y="23136225"/>
        <a:ext cx="338137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533400</xdr:colOff>
      <xdr:row>125</xdr:row>
      <xdr:rowOff>19050</xdr:rowOff>
    </xdr:from>
    <xdr:to>
      <xdr:col>7</xdr:col>
      <xdr:colOff>0</xdr:colOff>
      <xdr:row>141</xdr:row>
      <xdr:rowOff>47625</xdr:rowOff>
    </xdr:to>
    <xdr:graphicFrame>
      <xdr:nvGraphicFramePr>
        <xdr:cNvPr id="4" name="Chart 14"/>
        <xdr:cNvGraphicFramePr/>
      </xdr:nvGraphicFramePr>
      <xdr:xfrm>
        <a:off x="3495675" y="23155275"/>
        <a:ext cx="34766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533400</xdr:colOff>
      <xdr:row>141</xdr:row>
      <xdr:rowOff>114300</xdr:rowOff>
    </xdr:from>
    <xdr:to>
      <xdr:col>7</xdr:col>
      <xdr:colOff>0</xdr:colOff>
      <xdr:row>157</xdr:row>
      <xdr:rowOff>142875</xdr:rowOff>
    </xdr:to>
    <xdr:graphicFrame>
      <xdr:nvGraphicFramePr>
        <xdr:cNvPr id="5" name="Chart 16"/>
        <xdr:cNvGraphicFramePr/>
      </xdr:nvGraphicFramePr>
      <xdr:xfrm>
        <a:off x="3495675" y="25841325"/>
        <a:ext cx="347662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158</xdr:row>
      <xdr:rowOff>38100</xdr:rowOff>
    </xdr:from>
    <xdr:to>
      <xdr:col>7</xdr:col>
      <xdr:colOff>0</xdr:colOff>
      <xdr:row>164</xdr:row>
      <xdr:rowOff>152400</xdr:rowOff>
    </xdr:to>
    <xdr:sp>
      <xdr:nvSpPr>
        <xdr:cNvPr id="6" name="TextBox 17"/>
        <xdr:cNvSpPr txBox="1">
          <a:spLocks noChangeArrowheads="1"/>
        </xdr:cNvSpPr>
      </xdr:nvSpPr>
      <xdr:spPr>
        <a:xfrm>
          <a:off x="66675" y="28517850"/>
          <a:ext cx="6905625" cy="1085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141</xdr:row>
      <xdr:rowOff>114300</xdr:rowOff>
    </xdr:from>
    <xdr:to>
      <xdr:col>2</xdr:col>
      <xdr:colOff>476250</xdr:colOff>
      <xdr:row>158</xdr:row>
      <xdr:rowOff>0</xdr:rowOff>
    </xdr:to>
    <xdr:graphicFrame>
      <xdr:nvGraphicFramePr>
        <xdr:cNvPr id="7" name="Chart 20"/>
        <xdr:cNvGraphicFramePr/>
      </xdr:nvGraphicFramePr>
      <xdr:xfrm>
        <a:off x="66675" y="25841325"/>
        <a:ext cx="3371850" cy="2638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P108"/>
  <sheetViews>
    <sheetView tabSelected="1" zoomScale="120" zoomScaleNormal="120" workbookViewId="0" topLeftCell="A1">
      <selection activeCell="D4" sqref="D4"/>
    </sheetView>
  </sheetViews>
  <sheetFormatPr defaultColWidth="11.421875" defaultRowHeight="12.75"/>
  <cols>
    <col min="1" max="1" width="32.421875" style="0" customWidth="1"/>
    <col min="2" max="4" width="12.00390625" style="0" customWidth="1"/>
    <col min="5" max="5" width="11.8515625" style="0" customWidth="1"/>
    <col min="6" max="6" width="11.140625" style="0" customWidth="1"/>
    <col min="7" max="7" width="13.140625" style="0" customWidth="1"/>
    <col min="8" max="8" width="11.7109375" style="0" customWidth="1"/>
    <col min="9" max="9" width="3.00390625" style="0" customWidth="1"/>
    <col min="10" max="11" width="1.8515625" style="0" customWidth="1"/>
    <col min="12" max="12" width="3.140625" style="0" customWidth="1"/>
    <col min="13" max="13" width="18.421875" style="0" customWidth="1"/>
    <col min="14" max="14" width="5.00390625" style="0" customWidth="1"/>
    <col min="15" max="15" width="9.7109375" style="0" customWidth="1"/>
  </cols>
  <sheetData>
    <row r="1" spans="1:16" ht="9" customHeight="1">
      <c r="A1" s="57"/>
      <c r="B1" s="57"/>
      <c r="C1" s="57"/>
      <c r="D1" s="57"/>
      <c r="E1" s="57"/>
      <c r="F1" s="57"/>
      <c r="G1" s="57"/>
      <c r="J1" s="9"/>
      <c r="K1" s="12"/>
      <c r="L1" s="10"/>
      <c r="M1" s="12" t="s">
        <v>218</v>
      </c>
      <c r="N1" s="10">
        <v>1</v>
      </c>
      <c r="O1" s="9">
        <v>30</v>
      </c>
      <c r="P1" t="str">
        <f>INDEX(M1:M30,O1)</f>
        <v>TOTAL</v>
      </c>
    </row>
    <row r="2" spans="1:15" ht="18">
      <c r="A2" s="82" t="s">
        <v>216</v>
      </c>
      <c r="B2" s="57"/>
      <c r="C2" s="57"/>
      <c r="D2" s="57"/>
      <c r="E2" s="57"/>
      <c r="F2" s="57"/>
      <c r="G2" s="57"/>
      <c r="J2" s="9"/>
      <c r="K2" s="11"/>
      <c r="L2" s="10"/>
      <c r="M2" s="11" t="s">
        <v>219</v>
      </c>
      <c r="N2" s="10">
        <v>2</v>
      </c>
      <c r="O2" s="9"/>
    </row>
    <row r="3" spans="1:15" ht="7.5" customHeight="1">
      <c r="A3" s="83"/>
      <c r="B3" s="83"/>
      <c r="C3" s="83"/>
      <c r="D3" s="83"/>
      <c r="E3" s="83"/>
      <c r="F3" s="83"/>
      <c r="G3" s="83"/>
      <c r="J3" s="9"/>
      <c r="K3" s="11"/>
      <c r="L3" s="10"/>
      <c r="M3" s="11" t="s">
        <v>220</v>
      </c>
      <c r="N3" s="10">
        <v>3</v>
      </c>
      <c r="O3" s="9"/>
    </row>
    <row r="4" spans="1:15" ht="21" customHeight="1">
      <c r="A4" s="95"/>
      <c r="B4" s="95"/>
      <c r="C4" s="95"/>
      <c r="D4" s="95"/>
      <c r="E4" s="95"/>
      <c r="F4" s="95"/>
      <c r="G4" s="95"/>
      <c r="J4" s="9"/>
      <c r="K4" s="11"/>
      <c r="L4" s="10"/>
      <c r="M4" s="11" t="s">
        <v>221</v>
      </c>
      <c r="N4" s="10">
        <v>4</v>
      </c>
      <c r="O4" s="9"/>
    </row>
    <row r="5" spans="1:15" ht="15" customHeight="1">
      <c r="A5" s="96" t="s">
        <v>203</v>
      </c>
      <c r="B5" s="96">
        <v>2000</v>
      </c>
      <c r="C5" s="96">
        <v>2001</v>
      </c>
      <c r="D5" s="96">
        <v>2002</v>
      </c>
      <c r="E5" s="96">
        <v>2003</v>
      </c>
      <c r="F5" s="96">
        <v>2004</v>
      </c>
      <c r="G5" s="97" t="s">
        <v>50</v>
      </c>
      <c r="H5" s="16"/>
      <c r="J5" s="9"/>
      <c r="K5" s="11"/>
      <c r="L5" s="10"/>
      <c r="M5" s="11" t="s">
        <v>222</v>
      </c>
      <c r="N5" s="10">
        <v>5</v>
      </c>
      <c r="O5" s="9"/>
    </row>
    <row r="6" spans="1:15" ht="15" customHeight="1">
      <c r="A6" s="98" t="s">
        <v>26</v>
      </c>
      <c r="B6" s="99">
        <f>SUMIF('2000'!$A$3:$A$40,$P$1,'2000'!$BT$3:$BT$40)</f>
        <v>187826568.46999997</v>
      </c>
      <c r="C6" s="99">
        <f>SUMIF('2001'!$A$3:$A$40,$P$1,'2001'!$BT$3:$BT$40)</f>
        <v>132859216.10999998</v>
      </c>
      <c r="D6" s="99">
        <f>SUMIF('2002'!$A$3:$A$40,$P$1,'2002'!$BT$3:$BT$40)</f>
        <v>131041486.54</v>
      </c>
      <c r="E6" s="99">
        <f>SUMIF('2003'!$A$3:$A$40,$P$1,'2003'!$BT$3:$BT$40)</f>
        <v>129106193.69000001</v>
      </c>
      <c r="F6" s="99">
        <f>SUMIF('2004'!$A$3:$A$40,$P$1,'2004'!$BT$3:$BT$40)</f>
        <v>0</v>
      </c>
      <c r="G6" s="100">
        <f>(E6-B6)/B6</f>
        <v>-0.3126308235215344</v>
      </c>
      <c r="H6" s="16"/>
      <c r="J6" s="9"/>
      <c r="K6" s="11"/>
      <c r="L6" s="10"/>
      <c r="M6" s="11" t="s">
        <v>223</v>
      </c>
      <c r="N6" s="10">
        <v>6</v>
      </c>
      <c r="O6" s="9"/>
    </row>
    <row r="7" spans="1:15" ht="15" customHeight="1">
      <c r="A7" s="98" t="s">
        <v>27</v>
      </c>
      <c r="B7" s="99">
        <f>SUMIF('2000'!$A$3:$A$40,$P$1,'2000'!$BU$3:$BU$40)</f>
        <v>81316504.59000002</v>
      </c>
      <c r="C7" s="99">
        <f>SUMIF('2001'!$A$3:$A$40,$P$1,'2001'!$BU$3:$BU$40)</f>
        <v>83685963.69</v>
      </c>
      <c r="D7" s="99">
        <f>SUMIF('2002'!$A$3:$A$40,$P$1,'2002'!$BU$3:$BU$40)</f>
        <v>87688450.31</v>
      </c>
      <c r="E7" s="99">
        <f>SUMIF('2003'!$A$3:$A$40,$P$1,'2003'!$BU$3:$BU$40)</f>
        <v>91814950.38</v>
      </c>
      <c r="F7" s="99">
        <f>SUMIF('2004'!$A$3:$A$40,$P$1,'2004'!$BU$3:$BU$40)</f>
        <v>0</v>
      </c>
      <c r="G7" s="100">
        <f aca="true" t="shared" si="0" ref="G7:G15">(E7-B7)/B7</f>
        <v>0.12910596493213056</v>
      </c>
      <c r="H7" s="16"/>
      <c r="J7" s="9"/>
      <c r="K7" s="11"/>
      <c r="L7" s="10"/>
      <c r="M7" s="11" t="s">
        <v>224</v>
      </c>
      <c r="N7" s="10">
        <v>7</v>
      </c>
      <c r="O7" s="9"/>
    </row>
    <row r="8" spans="1:15" ht="15" customHeight="1">
      <c r="A8" s="98" t="s">
        <v>157</v>
      </c>
      <c r="B8" s="99">
        <f>SUMIF('2000'!$A$3:$A$40,$P$1,'2000'!$BV$3:$BV$40)</f>
        <v>1132923.25</v>
      </c>
      <c r="C8" s="99">
        <f>SUMIF('2001'!$A$3:$A$40,$P$1,'2001'!$BV$3:$BV$40)</f>
        <v>2472528.8799999994</v>
      </c>
      <c r="D8" s="99">
        <f>SUMIF('2002'!$A$3:$A$40,$P$1,'2002'!$BV$3:$BV$40)</f>
        <v>2810421.4999999995</v>
      </c>
      <c r="E8" s="99">
        <f>SUMIF('2003'!$A$3:$A$40,$P$1,'2003'!$BV$3:$BV$40)</f>
        <v>2846294.6799999997</v>
      </c>
      <c r="F8" s="99">
        <f>SUMIF('2004'!$A$3:$A$40,$P$1,'2004'!$BV$3:$BV$40)</f>
        <v>0</v>
      </c>
      <c r="G8" s="100">
        <f t="shared" si="0"/>
        <v>1.512345545031404</v>
      </c>
      <c r="H8" s="16"/>
      <c r="J8" s="9"/>
      <c r="K8" s="11"/>
      <c r="L8" s="10"/>
      <c r="M8" s="11" t="s">
        <v>225</v>
      </c>
      <c r="N8" s="10">
        <v>8</v>
      </c>
      <c r="O8" s="9"/>
    </row>
    <row r="9" spans="1:15" ht="15" customHeight="1">
      <c r="A9" s="98" t="s">
        <v>28</v>
      </c>
      <c r="B9" s="99">
        <f>SUMIF('2000'!$A$3:$A$40,$P$1,'2000'!$BW$3:$BW$40)</f>
        <v>2034389.1300000001</v>
      </c>
      <c r="C9" s="99">
        <f>SUMIF('2001'!$A$3:$A$40,$P$1,'2001'!$BW$3:$BW$40)</f>
        <v>3908650.9000000004</v>
      </c>
      <c r="D9" s="99">
        <f>SUMIF('2002'!$A$3:$A$40,$P$1,'2002'!$BW$3:$BW$40)</f>
        <v>4153160.5000000005</v>
      </c>
      <c r="E9" s="99">
        <f>SUMIF('2003'!$A$3:$A$40,$P$1,'2003'!$BW$3:$BW$40)</f>
        <v>3190934.65</v>
      </c>
      <c r="F9" s="99">
        <f>SUMIF('2004'!$A$3:$A$40,$P$1,'2004'!$BW$3:$BW$40)</f>
        <v>0</v>
      </c>
      <c r="G9" s="100">
        <f t="shared" si="0"/>
        <v>0.5684976895251105</v>
      </c>
      <c r="H9" s="16"/>
      <c r="J9" s="9"/>
      <c r="K9" s="11"/>
      <c r="L9" s="10"/>
      <c r="M9" s="11" t="s">
        <v>226</v>
      </c>
      <c r="N9" s="10">
        <v>9</v>
      </c>
      <c r="O9" s="9"/>
    </row>
    <row r="10" spans="1:15" ht="15" customHeight="1">
      <c r="A10" s="98" t="s">
        <v>158</v>
      </c>
      <c r="B10" s="99">
        <f>SUMIF('2000'!$A$3:$A$40,$P$1,'2000'!$BX$3:$BX$40)</f>
        <v>272310385.44</v>
      </c>
      <c r="C10" s="99">
        <f>SUMIF('2001'!$A$3:$A$40,$P$1,'2001'!$BX$3:$BX$40)</f>
        <v>222926359.57999998</v>
      </c>
      <c r="D10" s="99">
        <f>SUMIF('2002'!$A$3:$A$40,$P$1,'2002'!$BX$3:$BX$40)</f>
        <v>225693518.85000002</v>
      </c>
      <c r="E10" s="99">
        <f>SUMIF('2003'!$A$3:$A$40,$P$1,'2003'!$BX$3:$BX$40)</f>
        <v>226958373.4</v>
      </c>
      <c r="F10" s="99">
        <f>SUMIF('2004'!$A$3:$A$40,$P$1,'2004'!$BX$3:$BX$40)</f>
        <v>0</v>
      </c>
      <c r="G10" s="100">
        <f t="shared" si="0"/>
        <v>-0.16654528973149543</v>
      </c>
      <c r="H10" s="16"/>
      <c r="J10" s="9"/>
      <c r="K10" s="11"/>
      <c r="L10" s="10"/>
      <c r="M10" s="11" t="s">
        <v>227</v>
      </c>
      <c r="N10" s="10">
        <v>10</v>
      </c>
      <c r="O10" s="9"/>
    </row>
    <row r="11" spans="1:15" ht="15" customHeight="1">
      <c r="A11" s="98" t="s">
        <v>29</v>
      </c>
      <c r="B11" s="99">
        <f>SUMIF('2000'!$A$3:$A$40,$P$1,'2000'!$BY$3:$BY$40)</f>
        <v>165515789.72000003</v>
      </c>
      <c r="C11" s="99">
        <f>SUMIF('2001'!$A$3:$A$40,$P$1,'2001'!$BY$3:$BY$40)</f>
        <v>116104076.76999998</v>
      </c>
      <c r="D11" s="99">
        <f>SUMIF('2002'!$A$3:$A$40,$P$1,'2002'!$BY$3:$BY$40)</f>
        <v>119582965.00999999</v>
      </c>
      <c r="E11" s="99">
        <f>SUMIF('2003'!$A$3:$A$40,$P$1,'2003'!$BY$3:$BY$40)</f>
        <v>128074653.66000001</v>
      </c>
      <c r="F11" s="99">
        <f>SUMIF('2004'!$A$3:$A$40,$P$1,'2004'!$BY$3:$BY$40)</f>
        <v>0</v>
      </c>
      <c r="G11" s="100">
        <f t="shared" si="0"/>
        <v>-0.22620884764733618</v>
      </c>
      <c r="H11" s="16"/>
      <c r="J11" s="9"/>
      <c r="K11" s="11"/>
      <c r="L11" s="10"/>
      <c r="M11" s="11" t="s">
        <v>228</v>
      </c>
      <c r="N11" s="10">
        <v>11</v>
      </c>
      <c r="O11" s="9"/>
    </row>
    <row r="12" spans="1:15" ht="15" customHeight="1">
      <c r="A12" s="98" t="s">
        <v>56</v>
      </c>
      <c r="B12" s="99">
        <f>SUMIF('2000'!$A$3:$A$40,$P$1,'2000'!$BZ$3:$BZ$40)</f>
        <v>49209502.39</v>
      </c>
      <c r="C12" s="99">
        <f>SUMIF('2001'!$A$3:$A$40,$P$1,'2001'!$BZ$3:$BZ$40)</f>
        <v>49879051.720000006</v>
      </c>
      <c r="D12" s="99">
        <f>SUMIF('2002'!$A$3:$A$40,$P$1,'2002'!$BZ$3:$BZ$40)</f>
        <v>47810694.449999996</v>
      </c>
      <c r="E12" s="99">
        <f>SUMIF('2003'!$A$3:$A$40,$P$1,'2003'!$BZ$3:$BZ$40)</f>
        <v>44570253.05</v>
      </c>
      <c r="F12" s="99">
        <f>SUMIF('2004'!$A$3:$A$40,$P$1,'2004'!$BZ$3:$BZ$40)</f>
        <v>0</v>
      </c>
      <c r="G12" s="100">
        <f t="shared" si="0"/>
        <v>-0.0942754775943997</v>
      </c>
      <c r="H12" s="16"/>
      <c r="J12" s="9"/>
      <c r="K12" s="11"/>
      <c r="L12" s="10"/>
      <c r="M12" s="11" t="s">
        <v>229</v>
      </c>
      <c r="N12" s="10">
        <v>12</v>
      </c>
      <c r="O12" s="9"/>
    </row>
    <row r="13" spans="1:15" ht="15" customHeight="1">
      <c r="A13" s="98" t="s">
        <v>30</v>
      </c>
      <c r="B13" s="99">
        <f>SUMIF('2000'!$A$3:$A$40,$P$1,'2000'!$CA$3:$CA$40)</f>
        <v>57585093.32999999</v>
      </c>
      <c r="C13" s="99">
        <f>SUMIF('2001'!$A$3:$A$40,$P$1,'2001'!$CA$3:$CA$40)</f>
        <v>56943230.99000001</v>
      </c>
      <c r="D13" s="99">
        <f>SUMIF('2002'!$A$3:$A$40,$P$1,'2002'!$CA$3:$CA$40)</f>
        <v>58299859.38999999</v>
      </c>
      <c r="E13" s="99">
        <f>SUMIF('2003'!$A$3:$A$40,$P$1,'2003'!$CA$3:$CA$40)</f>
        <v>54313466.690000005</v>
      </c>
      <c r="F13" s="99">
        <f>SUMIF('2004'!$A$3:$A$40,$P$1,'2004'!$CA$3:$CA$40)</f>
        <v>0</v>
      </c>
      <c r="G13" s="100">
        <f t="shared" si="0"/>
        <v>-0.056813776809415586</v>
      </c>
      <c r="H13" s="16"/>
      <c r="J13" s="9"/>
      <c r="K13" s="11"/>
      <c r="L13" s="10"/>
      <c r="M13" s="11" t="s">
        <v>230</v>
      </c>
      <c r="N13" s="10">
        <v>13</v>
      </c>
      <c r="O13" s="9"/>
    </row>
    <row r="14" spans="1:15" ht="15" customHeight="1">
      <c r="A14" s="98" t="s">
        <v>159</v>
      </c>
      <c r="B14" s="99">
        <f>SUMIF('2000'!$A$3:$A$40,$P$1,'2000'!$CB$3:$CB$40)</f>
        <v>272310385.44</v>
      </c>
      <c r="C14" s="99">
        <f>SUMIF('2001'!$A$3:$A$40,$P$1,'2001'!$CB$3:$CB$40)</f>
        <v>222926359.47999996</v>
      </c>
      <c r="D14" s="99">
        <f>SUMIF('2002'!$A$3:$A$40,$P$1,'2002'!$CB$3:$CB$40)</f>
        <v>225693518.85000002</v>
      </c>
      <c r="E14" s="99">
        <f>SUMIF('2003'!$A$3:$A$40,$P$1,'2003'!$CB$3:$CB$40)</f>
        <v>226958373.4</v>
      </c>
      <c r="F14" s="99">
        <f>SUMIF('2004'!$A$3:$A$40,$P$1,'2004'!$CB$3:$CB$40)</f>
        <v>0</v>
      </c>
      <c r="G14" s="100">
        <f t="shared" si="0"/>
        <v>-0.16654528973149543</v>
      </c>
      <c r="H14" s="16"/>
      <c r="J14" s="9"/>
      <c r="K14" s="11"/>
      <c r="L14" s="10"/>
      <c r="M14" s="11" t="s">
        <v>231</v>
      </c>
      <c r="N14" s="10">
        <v>14</v>
      </c>
      <c r="O14" s="9"/>
    </row>
    <row r="15" spans="1:15" ht="15" customHeight="1">
      <c r="A15" s="98" t="s">
        <v>160</v>
      </c>
      <c r="B15" s="99">
        <f>SUMIF('2000'!$A$3:$A$40,$P$1,'2000'!$CS$3:$CS$40)</f>
        <v>22310778.74999994</v>
      </c>
      <c r="C15" s="99">
        <f>SUMIF('2001'!$A$3:$A$40,$P$1,'2001'!$CS$3:$CS$40)</f>
        <v>16755139.340000004</v>
      </c>
      <c r="D15" s="99">
        <f>SUMIF('2002'!$A$3:$A$40,$P$1,'2002'!$CS$3:$CS$40)</f>
        <v>11458521.530000016</v>
      </c>
      <c r="E15" s="99">
        <f>SUMIF('2003'!$A$3:$A$40,$P$1,'2003'!$CS$3:$CS$40)</f>
        <v>1031540.0300000012</v>
      </c>
      <c r="F15" s="99">
        <f>SUMIF('2004'!$A$3:$A$40,$P$1,'2004'!$CS$3:$CS$40)</f>
        <v>0</v>
      </c>
      <c r="G15" s="100">
        <f t="shared" si="0"/>
        <v>-0.9537649473575635</v>
      </c>
      <c r="H15" s="16"/>
      <c r="J15" s="9"/>
      <c r="K15" s="11"/>
      <c r="L15" s="10"/>
      <c r="M15" s="11" t="s">
        <v>232</v>
      </c>
      <c r="N15" s="10">
        <v>15</v>
      </c>
      <c r="O15" s="9"/>
    </row>
    <row r="16" spans="1:15" ht="15" customHeight="1">
      <c r="A16" s="61"/>
      <c r="B16" s="61"/>
      <c r="C16" s="61"/>
      <c r="D16" s="61"/>
      <c r="E16" s="61"/>
      <c r="F16" s="61"/>
      <c r="G16" s="61"/>
      <c r="H16" s="16"/>
      <c r="J16" s="9"/>
      <c r="K16" s="11"/>
      <c r="L16" s="10"/>
      <c r="M16" s="11" t="s">
        <v>233</v>
      </c>
      <c r="N16" s="10">
        <v>16</v>
      </c>
      <c r="O16" s="9"/>
    </row>
    <row r="17" spans="1:15" ht="15" customHeight="1">
      <c r="A17" s="101" t="s">
        <v>204</v>
      </c>
      <c r="B17" s="101">
        <f>B5</f>
        <v>2000</v>
      </c>
      <c r="C17" s="101">
        <f>C5</f>
        <v>2001</v>
      </c>
      <c r="D17" s="101">
        <f>D5</f>
        <v>2002</v>
      </c>
      <c r="E17" s="101">
        <f>E5</f>
        <v>2003</v>
      </c>
      <c r="F17" s="101">
        <f>F5</f>
        <v>2004</v>
      </c>
      <c r="G17" s="101" t="s">
        <v>50</v>
      </c>
      <c r="H17" s="14"/>
      <c r="J17" s="9"/>
      <c r="K17" s="11"/>
      <c r="L17" s="10"/>
      <c r="M17" s="11" t="s">
        <v>234</v>
      </c>
      <c r="N17" s="10">
        <v>17</v>
      </c>
      <c r="O17" s="9"/>
    </row>
    <row r="18" spans="1:15" ht="15" customHeight="1">
      <c r="A18" s="102" t="s">
        <v>22</v>
      </c>
      <c r="B18" s="103">
        <f>SUMIF('2000'!$A$3:$A$40,$P$1,'2000'!$CT$3:$CT$40)</f>
        <v>96038119.36999999</v>
      </c>
      <c r="C18" s="103">
        <f>SUMIF('2001'!$A$3:$A$40,$P$1,'2001'!$CT$3:$CT$40)</f>
        <v>102435289.74</v>
      </c>
      <c r="D18" s="103">
        <f>SUMIF('2002'!$A$3:$A$40,$P$1,'2002'!$CT$3:$CT$40)</f>
        <v>99862122.32000001</v>
      </c>
      <c r="E18" s="103">
        <f>SUMIF('2003'!$A$3:$A$40,$P$1,'2003'!$CT$3:$CT$40)</f>
        <v>102569491.34</v>
      </c>
      <c r="F18" s="103">
        <f>SUMIF('2004'!$A$3:$A$40,$P$1,'2004'!$CT$3:$CT$40)</f>
        <v>0</v>
      </c>
      <c r="G18" s="104">
        <f aca="true" t="shared" si="1" ref="G18:G25">(E18-B18)/B18</f>
        <v>0.06800812024272372</v>
      </c>
      <c r="H18" s="14"/>
      <c r="J18" s="9"/>
      <c r="K18" s="11"/>
      <c r="L18" s="10"/>
      <c r="M18" s="11" t="s">
        <v>235</v>
      </c>
      <c r="N18" s="10">
        <v>18</v>
      </c>
      <c r="O18" s="9"/>
    </row>
    <row r="19" spans="1:15" ht="15" customHeight="1">
      <c r="A19" s="102" t="s">
        <v>23</v>
      </c>
      <c r="B19" s="103">
        <f>SUMIF('2000'!$A$3:$A$40,$P$1,'2000'!$CU$3:$CU$40)</f>
        <v>111106554.34</v>
      </c>
      <c r="C19" s="103">
        <f>SUMIF('2001'!$A$3:$A$40,$P$1,'2001'!$CU$3:$CU$40)</f>
        <v>111568824.86</v>
      </c>
      <c r="D19" s="103">
        <f>SUMIF('2002'!$A$3:$A$40,$P$1,'2002'!$CU$3:$CU$40)</f>
        <v>112266189.71999998</v>
      </c>
      <c r="E19" s="103">
        <f>SUMIF('2003'!$A$3:$A$40,$P$1,'2003'!$CU$3:$CU$40)</f>
        <v>111807885.54</v>
      </c>
      <c r="F19" s="103">
        <f>SUMIF('2004'!$A$3:$A$40,$P$1,'2004'!$CU$3:$CU$40)</f>
        <v>0</v>
      </c>
      <c r="G19" s="104">
        <f t="shared" si="1"/>
        <v>0.0063122396708824345</v>
      </c>
      <c r="H19" s="14"/>
      <c r="J19" s="9"/>
      <c r="K19" s="11"/>
      <c r="L19" s="10"/>
      <c r="M19" s="11" t="s">
        <v>236</v>
      </c>
      <c r="N19" s="10">
        <v>19</v>
      </c>
      <c r="O19" s="9"/>
    </row>
    <row r="20" spans="1:15" ht="15" customHeight="1">
      <c r="A20" s="102" t="s">
        <v>162</v>
      </c>
      <c r="B20" s="103">
        <f>SUMIF('2000'!$A$3:$A$40,$P$1,'2000'!$CV$3:$CV$40)</f>
        <v>15068434.970000014</v>
      </c>
      <c r="C20" s="103">
        <f>SUMIF('2001'!$A$3:$A$40,$P$1,'2001'!$CV$3:$CV$40)</f>
        <v>9133535.120000005</v>
      </c>
      <c r="D20" s="103">
        <f>SUMIF('2002'!$A$3:$A$40,$P$1,'2002'!$CV$3:$CV$40)</f>
        <v>12404067.399999976</v>
      </c>
      <c r="E20" s="103">
        <f>SUMIF('2003'!$A$3:$A$40,$P$1,'2003'!$CV$3:$CV$40)</f>
        <v>9238394.200000003</v>
      </c>
      <c r="F20" s="103">
        <f>SUMIF('2004'!$A$3:$A$40,$P$1,'2004'!$CV$3:$CV$40)</f>
        <v>0</v>
      </c>
      <c r="G20" s="104">
        <f t="shared" si="1"/>
        <v>-0.38690419951422506</v>
      </c>
      <c r="H20" s="14"/>
      <c r="J20" s="9"/>
      <c r="K20" s="11"/>
      <c r="L20" s="10"/>
      <c r="M20" s="11" t="s">
        <v>237</v>
      </c>
      <c r="N20" s="10">
        <v>20</v>
      </c>
      <c r="O20" s="9"/>
    </row>
    <row r="21" spans="1:15" ht="15" customHeight="1">
      <c r="A21" s="102" t="s">
        <v>166</v>
      </c>
      <c r="B21" s="103">
        <f>SUMIF('2000'!$A$3:$A$40,$P$1,'2000'!$CW$3:$CW$40)</f>
        <v>69030.45</v>
      </c>
      <c r="C21" s="103">
        <f>SUMIF('2001'!$A$3:$A$40,$P$1,'2001'!$CW$3:$CW$40)</f>
        <v>-50000</v>
      </c>
      <c r="D21" s="103">
        <f>SUMIF('2002'!$A$3:$A$40,$P$1,'2002'!$CW$3:$CW$40)</f>
        <v>-300000</v>
      </c>
      <c r="E21" s="103">
        <f>SUMIF('2003'!$A$3:$A$40,$P$1,'2003'!$CW$3:$CW$40)</f>
        <v>654201.55</v>
      </c>
      <c r="F21" s="103">
        <f>SUMIF('2004'!$A$3:$A$40,$P$1,'2004'!$CW$3:$CW$40)</f>
        <v>0</v>
      </c>
      <c r="G21" s="104">
        <f t="shared" si="1"/>
        <v>8.47699964291121</v>
      </c>
      <c r="H21" s="14"/>
      <c r="J21" s="9"/>
      <c r="K21" s="11"/>
      <c r="L21" s="10"/>
      <c r="M21" s="11" t="s">
        <v>238</v>
      </c>
      <c r="N21" s="10">
        <v>21</v>
      </c>
      <c r="O21" s="9"/>
    </row>
    <row r="22" spans="1:15" ht="15" customHeight="1">
      <c r="A22" s="102" t="s">
        <v>149</v>
      </c>
      <c r="B22" s="103">
        <f>SUMIF('2000'!$A$3:$A$40,$P$1,'2000'!$CX$3:$CX$40)</f>
        <v>15137465.420000013</v>
      </c>
      <c r="C22" s="103">
        <f>SUMIF('2001'!$A$3:$A$40,$P$1,'2001'!$CX$3:$CX$40)</f>
        <v>9083535.120000005</v>
      </c>
      <c r="D22" s="103">
        <f>SUMIF('2002'!$A$3:$A$40,$P$1,'2002'!$CX$3:$CX$40)</f>
        <v>12104067.399999976</v>
      </c>
      <c r="E22" s="103">
        <f>SUMIF('2003'!$A$3:$A$40,$P$1,'2003'!$CX$3:$CX$40)</f>
        <v>9892595.750000004</v>
      </c>
      <c r="F22" s="103">
        <f>SUMIF('2004'!$A$3:$A$40,$P$1,'2004'!$CX$3:$CX$40)</f>
        <v>0</v>
      </c>
      <c r="G22" s="104">
        <f t="shared" si="1"/>
        <v>-0.3464826854745677</v>
      </c>
      <c r="H22" s="14"/>
      <c r="J22" s="9"/>
      <c r="K22" s="11"/>
      <c r="L22" s="79"/>
      <c r="M22" s="11" t="s">
        <v>239</v>
      </c>
      <c r="N22" s="10">
        <v>22</v>
      </c>
      <c r="O22" s="9"/>
    </row>
    <row r="23" spans="1:15" ht="15" customHeight="1">
      <c r="A23" s="102" t="s">
        <v>54</v>
      </c>
      <c r="B23" s="103">
        <f>SUMIF('2000'!$A$3:$A$40,$P$1,'2000'!$K$3:$K$40)</f>
        <v>7701462.350000001</v>
      </c>
      <c r="C23" s="103">
        <f>SUMIF('2001'!$A$3:$A$40,$P$1,'2001'!$K$3:$K$40)</f>
        <v>8937659.19</v>
      </c>
      <c r="D23" s="103">
        <f>SUMIF('2002'!$A$3:$A$40,$P$1,'2002'!$K$3:$K$40)</f>
        <v>12242069.309999999</v>
      </c>
      <c r="E23" s="103">
        <f>SUMIF('2003'!$A$3:$A$40,$P$1,'2003'!$K$3:$K$40)</f>
        <v>8913601.170000002</v>
      </c>
      <c r="F23" s="103">
        <f>SUMIF('2004'!$A$3:$A$40,$P$1,'2004'!$K$3:$K$40)</f>
        <v>0</v>
      </c>
      <c r="G23" s="104">
        <f t="shared" si="1"/>
        <v>0.15739073502060308</v>
      </c>
      <c r="H23" s="14"/>
      <c r="J23" s="9"/>
      <c r="K23" s="9"/>
      <c r="L23" s="79"/>
      <c r="M23" s="11" t="s">
        <v>240</v>
      </c>
      <c r="N23" s="10">
        <v>23</v>
      </c>
      <c r="O23" s="9"/>
    </row>
    <row r="24" spans="1:15" ht="15" customHeight="1">
      <c r="A24" s="102" t="s">
        <v>55</v>
      </c>
      <c r="B24" s="103">
        <f>SUMIF('2000'!$A$3:$A$40,$P$1,'2000'!$L$3:$L$40)</f>
        <v>7099649.989999999</v>
      </c>
      <c r="C24" s="103">
        <f>SUMIF('2001'!$A$3:$A$40,$P$1,'2001'!$L$3:$L$40)</f>
        <v>3711168.6499999994</v>
      </c>
      <c r="D24" s="103">
        <f>SUMIF('2002'!$A$3:$A$40,$P$1,'2002'!$L$3:$L$40)</f>
        <v>1477808.6600000001</v>
      </c>
      <c r="E24" s="103">
        <f>SUMIF('2003'!$A$3:$A$40,$P$1,'2003'!$L$3:$L$40)</f>
        <v>2998725.03</v>
      </c>
      <c r="F24" s="103">
        <f>SUMIF('2004'!$A$3:$A$40,$P$1,'2004'!$L$3:$L$40)</f>
        <v>0</v>
      </c>
      <c r="G24" s="104">
        <f t="shared" si="1"/>
        <v>-0.5776235400021459</v>
      </c>
      <c r="H24" s="14"/>
      <c r="J24" s="9"/>
      <c r="L24" s="2"/>
      <c r="M24" s="11" t="s">
        <v>241</v>
      </c>
      <c r="N24" s="10">
        <v>24</v>
      </c>
      <c r="O24" s="9"/>
    </row>
    <row r="25" spans="1:15" ht="15" customHeight="1">
      <c r="A25" s="102" t="s">
        <v>213</v>
      </c>
      <c r="B25" s="103">
        <f>SUMIF('2000'!$A$3:$A$40,$P$1,'2000'!$CY$3:$CY$40)</f>
        <v>336353.0800000131</v>
      </c>
      <c r="C25" s="103">
        <f>SUMIF('2001'!$A$3:$A$40,$P$1,'2001'!$CY$3:$CY$40)</f>
        <v>-3565292.719999994</v>
      </c>
      <c r="D25" s="103">
        <f>SUMIF('2002'!$A$3:$A$40,$P$1,'2002'!$CY$3:$CY$40)</f>
        <v>-1615810.5700000226</v>
      </c>
      <c r="E25" s="103">
        <f>SUMIF('2003'!$A$3:$A$40,$P$1,'2003'!$CY$3:$CY$40)</f>
        <v>-2019730.4499999979</v>
      </c>
      <c r="F25" s="103">
        <f>SUMIF('2004'!$A$3:$A$40,$P$1,'2004'!$CY$3:$CY$40)</f>
        <v>0</v>
      </c>
      <c r="G25" s="104">
        <f t="shared" si="1"/>
        <v>-7.004792493649587</v>
      </c>
      <c r="H25" s="14"/>
      <c r="J25" s="9"/>
      <c r="L25" s="2"/>
      <c r="M25" t="s">
        <v>242</v>
      </c>
      <c r="N25" s="10">
        <v>25</v>
      </c>
      <c r="O25" s="9"/>
    </row>
    <row r="26" spans="1:15" ht="15" customHeight="1">
      <c r="A26" s="102"/>
      <c r="B26" s="103"/>
      <c r="C26" s="103"/>
      <c r="D26" s="103"/>
      <c r="E26" s="103"/>
      <c r="F26" s="103"/>
      <c r="G26" s="104"/>
      <c r="H26" s="14"/>
      <c r="J26" s="9"/>
      <c r="L26" s="2"/>
      <c r="M26" t="s">
        <v>243</v>
      </c>
      <c r="N26" s="10">
        <v>26</v>
      </c>
      <c r="O26" s="9"/>
    </row>
    <row r="27" spans="1:15" ht="15" customHeight="1">
      <c r="A27" s="101" t="s">
        <v>205</v>
      </c>
      <c r="B27" s="105">
        <f>B5</f>
        <v>2000</v>
      </c>
      <c r="C27" s="105">
        <f>C5</f>
        <v>2001</v>
      </c>
      <c r="D27" s="105">
        <f>D5</f>
        <v>2002</v>
      </c>
      <c r="E27" s="105">
        <f>E5</f>
        <v>2003</v>
      </c>
      <c r="F27" s="105">
        <f>F5</f>
        <v>2004</v>
      </c>
      <c r="G27" s="105" t="s">
        <v>57</v>
      </c>
      <c r="H27" s="14"/>
      <c r="J27" s="9"/>
      <c r="L27" s="2"/>
      <c r="M27" t="s">
        <v>244</v>
      </c>
      <c r="N27" s="10">
        <v>27</v>
      </c>
      <c r="O27" s="9"/>
    </row>
    <row r="28" spans="1:15" ht="15" customHeight="1">
      <c r="A28" s="102" t="s">
        <v>169</v>
      </c>
      <c r="B28" s="103">
        <f>SUMIF('2000'!$A$3:$A$40,$P$1,'2000'!$BR$3:$BR$40)</f>
        <v>26517366.79</v>
      </c>
      <c r="C28" s="103">
        <f>SUMIF('2001'!$A$3:$A$40,$P$1,'2001'!$BR$3:$BR$40)</f>
        <v>29350517.02</v>
      </c>
      <c r="D28" s="103">
        <f>SUMIF('2002'!$A$3:$A$40,$P$1,'2002'!$BR$3:$BR$40)</f>
        <v>31486256.020000003</v>
      </c>
      <c r="E28" s="103">
        <f>SUMIF('2003'!$A$3:$A$40,$P$1,'2003'!$BR$3:$BR$40)</f>
        <v>23949081.14</v>
      </c>
      <c r="F28" s="103">
        <f>SUMIF('2004'!$A$3:$A$40,$P$1,'2004'!$BR$3:$BR$40)</f>
        <v>0</v>
      </c>
      <c r="G28" s="103">
        <f>AVERAGE(B28:E28)</f>
        <v>27825805.242500003</v>
      </c>
      <c r="H28" s="14"/>
      <c r="J28" s="9"/>
      <c r="L28" s="2"/>
      <c r="M28" t="s">
        <v>245</v>
      </c>
      <c r="N28" s="10">
        <v>28</v>
      </c>
      <c r="O28" s="9"/>
    </row>
    <row r="29" spans="1:15" ht="15" customHeight="1">
      <c r="A29" s="102" t="s">
        <v>170</v>
      </c>
      <c r="B29" s="103">
        <f>SUMIF('2000'!$A$3:$A$40,$P$1,'2000'!$BP$3:$BP$40)</f>
        <v>10358562</v>
      </c>
      <c r="C29" s="103">
        <f>SUMIF('2001'!$A$3:$A$40,$P$1,'2001'!$BP$3:$BP$40)</f>
        <v>11924736.33</v>
      </c>
      <c r="D29" s="103">
        <f>SUMIF('2002'!$A$3:$A$40,$P$1,'2002'!$BP$3:$BP$40)</f>
        <v>12658600.450000001</v>
      </c>
      <c r="E29" s="103">
        <f>SUMIF('2003'!$A$3:$A$40,$P$1,'2003'!$BP$3:$BP$40)</f>
        <v>8688677.65</v>
      </c>
      <c r="F29" s="103">
        <f>SUMIF('2004'!$A$3:$A$40,$P$1,'2004'!$BP$3:$BP$40)</f>
        <v>0</v>
      </c>
      <c r="G29" s="103">
        <f>AVERAGE(B29:E29)</f>
        <v>10907644.1075</v>
      </c>
      <c r="H29" s="14"/>
      <c r="J29" s="9"/>
      <c r="L29" s="2"/>
      <c r="M29" t="s">
        <v>246</v>
      </c>
      <c r="N29" s="10">
        <v>29</v>
      </c>
      <c r="O29" s="9"/>
    </row>
    <row r="30" spans="1:14" ht="15" customHeight="1">
      <c r="A30" s="102" t="s">
        <v>171</v>
      </c>
      <c r="B30" s="103">
        <f>SUMIF('2000'!$A$3:$A$40,$P$1,'2000'!$CZ$3:$CZ$40)</f>
        <v>16158804.79</v>
      </c>
      <c r="C30" s="103">
        <f>SUMIF('2001'!$A$3:$A$40,$P$1,'2001'!$CZ$3:$CZ$40)</f>
        <v>17425780.689999998</v>
      </c>
      <c r="D30" s="103">
        <f>SUMIF('2002'!$A$3:$A$40,$P$1,'2002'!$CZ$3:$CZ$40)</f>
        <v>18827655.57</v>
      </c>
      <c r="E30" s="103">
        <f>SUMIF('2003'!$A$3:$A$40,$P$1,'2003'!$CZ$3:$CZ$40)</f>
        <v>15260403.49</v>
      </c>
      <c r="F30" s="103">
        <f>SUMIF('2004'!$A$3:$A$40,$P$1,'2004'!$CZ$3:$CZ$40)</f>
        <v>0</v>
      </c>
      <c r="G30" s="103">
        <f>AVERAGE(B30:E30)</f>
        <v>16918161.134999998</v>
      </c>
      <c r="H30" s="14"/>
      <c r="J30" s="9"/>
      <c r="L30" s="2"/>
      <c r="M30" t="s">
        <v>248</v>
      </c>
      <c r="N30" s="10">
        <v>30</v>
      </c>
    </row>
    <row r="31" spans="1:12" ht="15" customHeight="1">
      <c r="A31" s="102" t="s">
        <v>172</v>
      </c>
      <c r="B31" s="103">
        <f>SUMIF('2000'!$A$3:$A$40,$P$1,'2000'!$BQ$3:$BQ$40)</f>
        <v>540512.4</v>
      </c>
      <c r="C31" s="103">
        <f>SUMIF('2001'!$A$3:$A$40,$P$1,'2001'!$BQ$3:$BQ$40)</f>
        <v>6011</v>
      </c>
      <c r="D31" s="103">
        <f>SUMIF('2002'!$A$3:$A$40,$P$1,'2002'!$BQ$3:$BQ$40)</f>
        <v>100000</v>
      </c>
      <c r="E31" s="103">
        <f>SUMIF('2003'!$A$3:$A$40,$P$1,'2003'!$BQ$3:$BQ$40)</f>
        <v>11964.8</v>
      </c>
      <c r="F31" s="103">
        <f>SUMIF('2004'!$A$3:$A$40,$P$1,'2004'!$BQ$3:$BQ$40)</f>
        <v>0</v>
      </c>
      <c r="G31" s="103">
        <f>AVERAGE(B31:E31)</f>
        <v>164622.05000000002</v>
      </c>
      <c r="H31" s="14"/>
      <c r="J31" s="9"/>
      <c r="L31" s="2"/>
    </row>
    <row r="32" spans="1:12" ht="15" customHeight="1">
      <c r="A32" s="102"/>
      <c r="B32" s="103"/>
      <c r="C32" s="103"/>
      <c r="D32" s="103"/>
      <c r="E32" s="103"/>
      <c r="F32" s="103"/>
      <c r="G32" s="104"/>
      <c r="H32" s="14"/>
      <c r="J32" s="9"/>
      <c r="L32" s="2"/>
    </row>
    <row r="33" spans="1:12" ht="15" customHeight="1">
      <c r="A33" s="101" t="s">
        <v>206</v>
      </c>
      <c r="B33" s="105">
        <f>B5</f>
        <v>2000</v>
      </c>
      <c r="C33" s="105">
        <f>C5</f>
        <v>2001</v>
      </c>
      <c r="D33" s="105">
        <f>D5</f>
        <v>2002</v>
      </c>
      <c r="E33" s="105">
        <f>E5</f>
        <v>2003</v>
      </c>
      <c r="F33" s="105">
        <f>F5</f>
        <v>2004</v>
      </c>
      <c r="G33" s="105" t="s">
        <v>57</v>
      </c>
      <c r="H33" s="14"/>
      <c r="J33" s="9"/>
      <c r="L33" s="2"/>
    </row>
    <row r="34" spans="1:12" ht="15" customHeight="1">
      <c r="A34" s="102" t="s">
        <v>174</v>
      </c>
      <c r="B34" s="103">
        <f>-B30</f>
        <v>-16158804.79</v>
      </c>
      <c r="C34" s="103">
        <f>-C30</f>
        <v>-17425780.689999998</v>
      </c>
      <c r="D34" s="103">
        <f>-D30</f>
        <v>-18827655.57</v>
      </c>
      <c r="E34" s="103">
        <f>-E30</f>
        <v>-15260403.49</v>
      </c>
      <c r="F34" s="103">
        <f>-F30</f>
        <v>0</v>
      </c>
      <c r="G34" s="103">
        <f>AVERAGE(B34:E34)</f>
        <v>-16918161.134999998</v>
      </c>
      <c r="H34" s="14"/>
      <c r="J34" s="9"/>
      <c r="L34" s="2"/>
    </row>
    <row r="35" spans="1:12" ht="15" customHeight="1">
      <c r="A35" s="102" t="s">
        <v>175</v>
      </c>
      <c r="B35" s="103">
        <f>SUMIF('2000'!$A$3:$A$40,$P$1,'2000'!$DA$3:$DA$40)</f>
        <v>14801112.34</v>
      </c>
      <c r="C35" s="103">
        <f>SUMIF('2001'!$A$3:$A$40,$P$1,'2001'!$DA$3:$DA$40)</f>
        <v>12648827.84</v>
      </c>
      <c r="D35" s="103">
        <f>SUMIF('2002'!$A$3:$A$40,$P$1,'2002'!$DA$3:$DA$40)</f>
        <v>13719877.969999999</v>
      </c>
      <c r="E35" s="103">
        <f>SUMIF('2003'!$A$3:$A$40,$P$1,'2003'!$DA$3:$DA$40)</f>
        <v>11912326.200000001</v>
      </c>
      <c r="F35" s="103">
        <f>SUMIF('2004'!$A$3:$A$40,$P$1,'2004'!$DA$3:$DA$40)</f>
        <v>0</v>
      </c>
      <c r="G35" s="103">
        <f>AVERAGE(B35:E35)</f>
        <v>13270536.0875</v>
      </c>
      <c r="H35" s="14"/>
      <c r="J35" s="9"/>
      <c r="L35" s="2"/>
    </row>
    <row r="36" spans="1:12" ht="15" customHeight="1">
      <c r="A36" s="102" t="s">
        <v>176</v>
      </c>
      <c r="B36" s="103">
        <f>B25</f>
        <v>336353.0800000131</v>
      </c>
      <c r="C36" s="103">
        <f>C25</f>
        <v>-3565292.719999994</v>
      </c>
      <c r="D36" s="103">
        <f>D25</f>
        <v>-1615810.5700000226</v>
      </c>
      <c r="E36" s="103">
        <f>E25</f>
        <v>-2019730.4499999979</v>
      </c>
      <c r="F36" s="103">
        <f>F25</f>
        <v>0</v>
      </c>
      <c r="G36" s="103">
        <f>AVERAGE(B36:E36)</f>
        <v>-1716120.1650000005</v>
      </c>
      <c r="H36" s="14"/>
      <c r="J36" s="9"/>
      <c r="L36" s="2"/>
    </row>
    <row r="37" spans="1:12" ht="15" customHeight="1">
      <c r="A37" s="102" t="s">
        <v>177</v>
      </c>
      <c r="B37" s="103">
        <f>SUMIF('2000'!$A$3:$A$40,$P$1,'2000'!$DB$3:$DB$40)</f>
        <v>-1021339.3699999861</v>
      </c>
      <c r="C37" s="103">
        <f>SUMIF('2001'!$A$3:$A$40,$P$1,'2001'!$DB$3:$DB$40)</f>
        <v>-8342245.569999992</v>
      </c>
      <c r="D37" s="103">
        <f>SUMIF('2002'!$A$3:$A$40,$P$1,'2002'!$DB$3:$DB$40)</f>
        <v>-6723588.170000024</v>
      </c>
      <c r="E37" s="103">
        <f>SUMIF('2003'!$A$3:$A$40,$P$1,'2003'!$DB$3:$DB$40)</f>
        <v>-5367807.7399999965</v>
      </c>
      <c r="F37" s="103">
        <f>SUMIF('2004'!$A$3:$A$40,$P$1,'2004'!$DB$3:$DB$40)</f>
        <v>0</v>
      </c>
      <c r="G37" s="103">
        <f>AVERAGE(B37:E37)</f>
        <v>-5363745.2125</v>
      </c>
      <c r="H37" s="14"/>
      <c r="J37" s="9"/>
      <c r="L37" s="2"/>
    </row>
    <row r="38" spans="1:12" ht="15" customHeight="1">
      <c r="A38" s="102"/>
      <c r="B38" s="103"/>
      <c r="C38" s="103"/>
      <c r="D38" s="103"/>
      <c r="E38" s="103"/>
      <c r="F38" s="103"/>
      <c r="G38" s="104"/>
      <c r="H38" s="14"/>
      <c r="J38" s="9"/>
      <c r="L38" s="2"/>
    </row>
    <row r="39" spans="1:12" ht="15" customHeight="1">
      <c r="A39" s="101" t="s">
        <v>207</v>
      </c>
      <c r="B39" s="105">
        <f>B5</f>
        <v>2000</v>
      </c>
      <c r="C39" s="105">
        <f>C5</f>
        <v>2001</v>
      </c>
      <c r="D39" s="105">
        <f>D5</f>
        <v>2002</v>
      </c>
      <c r="E39" s="105">
        <f>E5</f>
        <v>2003</v>
      </c>
      <c r="F39" s="105">
        <f>F5</f>
        <v>2004</v>
      </c>
      <c r="G39" s="105" t="s">
        <v>57</v>
      </c>
      <c r="H39" s="14"/>
      <c r="J39" s="9"/>
      <c r="L39" s="2"/>
    </row>
    <row r="40" spans="1:12" ht="15" customHeight="1">
      <c r="A40" s="102" t="s">
        <v>177</v>
      </c>
      <c r="B40" s="103">
        <f>B37</f>
        <v>-1021339.3699999861</v>
      </c>
      <c r="C40" s="103">
        <f>C37</f>
        <v>-8342245.569999992</v>
      </c>
      <c r="D40" s="103">
        <f>D37</f>
        <v>-6723588.170000024</v>
      </c>
      <c r="E40" s="103">
        <f>E37</f>
        <v>-5367807.7399999965</v>
      </c>
      <c r="F40" s="103">
        <f>F37</f>
        <v>0</v>
      </c>
      <c r="G40" s="103">
        <f>AVERAGE(B40:E40)</f>
        <v>-5363745.2125</v>
      </c>
      <c r="H40" s="14"/>
      <c r="J40" s="9"/>
      <c r="L40" s="2"/>
    </row>
    <row r="41" spans="1:12" ht="15" customHeight="1">
      <c r="A41" s="102" t="s">
        <v>180</v>
      </c>
      <c r="B41" s="103">
        <f>SUMIF('2000'!$A$3:$A$40,$P$1,'2000'!$DC$3:$DC$40)</f>
        <v>-25159674.34</v>
      </c>
      <c r="C41" s="103">
        <f>SUMIF('2001'!$A$3:$A$40,$P$1,'2001'!$DC$3:$DC$40)</f>
        <v>-24573564.17</v>
      </c>
      <c r="D41" s="103">
        <f>SUMIF('2002'!$A$3:$A$40,$P$1,'2002'!$DC$3:$DC$40)</f>
        <v>-26378478.42</v>
      </c>
      <c r="E41" s="103">
        <f>SUMIF('2003'!$A$3:$A$40,$P$1,'2003'!$DC$3:$DC$40)</f>
        <v>-20601003.85</v>
      </c>
      <c r="F41" s="103">
        <f>SUMIF('2004'!$A$3:$A$40,$P$1,'2004'!$DC$3:$DC$40)</f>
        <v>0</v>
      </c>
      <c r="G41" s="103">
        <f>AVERAGE(B41:E41)</f>
        <v>-24178180.195</v>
      </c>
      <c r="H41" s="14"/>
      <c r="J41" s="9"/>
      <c r="L41" s="2"/>
    </row>
    <row r="42" spans="1:12" ht="15" customHeight="1">
      <c r="A42" s="102" t="s">
        <v>182</v>
      </c>
      <c r="B42" s="103">
        <f>B28</f>
        <v>26517366.79</v>
      </c>
      <c r="C42" s="103">
        <f>C28</f>
        <v>29350517.02</v>
      </c>
      <c r="D42" s="103">
        <f>D28</f>
        <v>31486256.020000003</v>
      </c>
      <c r="E42" s="103">
        <f>E28</f>
        <v>23949081.14</v>
      </c>
      <c r="F42" s="103">
        <f>F28</f>
        <v>0</v>
      </c>
      <c r="G42" s="103">
        <f>AVERAGE(B42:E42)</f>
        <v>27825805.242500003</v>
      </c>
      <c r="H42" s="14"/>
      <c r="J42" s="9"/>
      <c r="L42" s="2"/>
    </row>
    <row r="43" spans="1:12" ht="15" customHeight="1">
      <c r="A43" s="102" t="s">
        <v>183</v>
      </c>
      <c r="B43" s="103">
        <f>SUMIF('2000'!$A$3:$A$40,$P$1,'2000'!$CY$3:$CY$40)</f>
        <v>336353.0800000131</v>
      </c>
      <c r="C43" s="103">
        <f>SUMIF('2001'!$A$3:$A$40,$P$1,'2001'!$CY$3:$CY$40)</f>
        <v>-3565292.719999994</v>
      </c>
      <c r="D43" s="103">
        <f>SUMIF('2002'!$A$3:$A$40,$P$1,'2002'!$CY$3:$CY$40)</f>
        <v>-1615810.5700000226</v>
      </c>
      <c r="E43" s="103">
        <f>SUMIF('2003'!$A$3:$A$40,$P$1,'2003'!$CY$3:$CY$40)</f>
        <v>-2019730.4499999979</v>
      </c>
      <c r="F43" s="103">
        <f>SUMIF('2004'!$A$3:$A$40,$P$1,'2004'!$CY$3:$CY$40)</f>
        <v>0</v>
      </c>
      <c r="G43" s="103">
        <f>AVERAGE(B43:E43)</f>
        <v>-1716120.1650000005</v>
      </c>
      <c r="H43" s="14"/>
      <c r="J43" s="9"/>
      <c r="L43" s="2"/>
    </row>
    <row r="44" spans="1:8" ht="15" customHeight="1">
      <c r="A44" s="61"/>
      <c r="B44" s="61"/>
      <c r="C44" s="61"/>
      <c r="D44" s="61"/>
      <c r="E44" s="61"/>
      <c r="F44" s="61"/>
      <c r="G44" s="61"/>
      <c r="H44" s="14"/>
    </row>
    <row r="45" spans="1:8" ht="15" customHeight="1">
      <c r="A45" s="61"/>
      <c r="B45" s="61"/>
      <c r="C45" s="61"/>
      <c r="D45" s="61"/>
      <c r="E45" s="61"/>
      <c r="F45" s="61"/>
      <c r="G45" s="61"/>
      <c r="H45" s="14"/>
    </row>
    <row r="46" spans="1:8" ht="15" customHeight="1">
      <c r="A46" s="61"/>
      <c r="B46" s="61"/>
      <c r="C46" s="61"/>
      <c r="D46" s="61"/>
      <c r="E46" s="61"/>
      <c r="F46" s="61"/>
      <c r="G46" s="61"/>
      <c r="H46" s="14"/>
    </row>
    <row r="47" spans="1:8" ht="15" customHeight="1">
      <c r="A47" s="61"/>
      <c r="B47" s="61"/>
      <c r="C47" s="61"/>
      <c r="D47" s="61"/>
      <c r="E47" s="61"/>
      <c r="F47" s="61"/>
      <c r="G47" s="61"/>
      <c r="H47" s="14"/>
    </row>
    <row r="48" spans="1:8" ht="15" customHeight="1">
      <c r="A48" s="61"/>
      <c r="B48" s="61"/>
      <c r="C48" s="61"/>
      <c r="D48" s="61"/>
      <c r="E48" s="61"/>
      <c r="F48" s="61"/>
      <c r="G48" s="61"/>
      <c r="H48" s="14"/>
    </row>
    <row r="49" spans="1:8" ht="15" customHeight="1">
      <c r="A49" s="61"/>
      <c r="B49" s="61"/>
      <c r="C49" s="61"/>
      <c r="D49" s="61"/>
      <c r="E49" s="61"/>
      <c r="F49" s="61"/>
      <c r="G49" s="61"/>
      <c r="H49" s="14"/>
    </row>
    <row r="50" spans="1:8" ht="15" customHeight="1">
      <c r="A50" s="61"/>
      <c r="B50" s="61"/>
      <c r="C50" s="61"/>
      <c r="D50" s="61"/>
      <c r="E50" s="61"/>
      <c r="F50" s="61"/>
      <c r="G50" s="61"/>
      <c r="H50" s="14"/>
    </row>
    <row r="51" spans="1:8" ht="15" customHeight="1">
      <c r="A51" s="61"/>
      <c r="B51" s="61"/>
      <c r="C51" s="61"/>
      <c r="D51" s="61"/>
      <c r="E51" s="61"/>
      <c r="F51" s="61"/>
      <c r="G51" s="61"/>
      <c r="H51" s="14"/>
    </row>
    <row r="52" spans="1:8" ht="15" customHeight="1">
      <c r="A52" s="61"/>
      <c r="B52" s="61"/>
      <c r="C52" s="61"/>
      <c r="D52" s="61"/>
      <c r="E52" s="61"/>
      <c r="F52" s="61"/>
      <c r="G52" s="61"/>
      <c r="H52" s="14"/>
    </row>
    <row r="53" spans="1:8" ht="15" customHeight="1">
      <c r="A53" s="61"/>
      <c r="B53" s="61"/>
      <c r="C53" s="61"/>
      <c r="D53" s="61"/>
      <c r="E53" s="61"/>
      <c r="F53" s="61"/>
      <c r="G53" s="61"/>
      <c r="H53" s="14"/>
    </row>
    <row r="54" spans="1:8" ht="15" customHeight="1">
      <c r="A54" s="61"/>
      <c r="B54" s="61"/>
      <c r="C54" s="61"/>
      <c r="D54" s="61"/>
      <c r="E54" s="61"/>
      <c r="F54" s="61"/>
      <c r="G54" s="61"/>
      <c r="H54" s="14"/>
    </row>
    <row r="55" spans="1:8" ht="15" customHeight="1">
      <c r="A55" s="61"/>
      <c r="B55" s="61"/>
      <c r="C55" s="61"/>
      <c r="D55" s="61"/>
      <c r="E55" s="61"/>
      <c r="F55" s="61"/>
      <c r="G55" s="61"/>
      <c r="H55" s="14"/>
    </row>
    <row r="56" spans="1:8" ht="15" customHeight="1">
      <c r="A56" s="61"/>
      <c r="B56" s="61"/>
      <c r="C56" s="61"/>
      <c r="D56" s="61"/>
      <c r="E56" s="61"/>
      <c r="F56" s="61"/>
      <c r="G56" s="61"/>
      <c r="H56" s="14"/>
    </row>
    <row r="57" spans="1:8" ht="15" customHeight="1">
      <c r="A57" s="61"/>
      <c r="B57" s="61"/>
      <c r="C57" s="61"/>
      <c r="D57" s="61"/>
      <c r="E57" s="61"/>
      <c r="F57" s="61"/>
      <c r="G57" s="61"/>
      <c r="H57" s="14"/>
    </row>
    <row r="58" spans="1:8" ht="15" customHeight="1">
      <c r="A58" s="61"/>
      <c r="B58" s="61"/>
      <c r="C58" s="61"/>
      <c r="D58" s="61"/>
      <c r="E58" s="61"/>
      <c r="F58" s="61"/>
      <c r="G58" s="61"/>
      <c r="H58" s="14"/>
    </row>
    <row r="59" spans="1:8" ht="15" customHeight="1">
      <c r="A59" s="61"/>
      <c r="B59" s="61"/>
      <c r="C59" s="61"/>
      <c r="D59" s="61"/>
      <c r="E59" s="61"/>
      <c r="F59" s="61"/>
      <c r="G59" s="61"/>
      <c r="H59" s="17"/>
    </row>
    <row r="60" spans="1:7" ht="15" customHeight="1">
      <c r="A60" s="61"/>
      <c r="B60" s="61"/>
      <c r="C60" s="61"/>
      <c r="D60" s="61"/>
      <c r="E60" s="61"/>
      <c r="F60" s="61"/>
      <c r="G60" s="61"/>
    </row>
    <row r="61" spans="1:8" ht="15" customHeight="1">
      <c r="A61" s="89" t="s">
        <v>208</v>
      </c>
      <c r="B61" s="89">
        <f>B5</f>
        <v>2000</v>
      </c>
      <c r="C61" s="89">
        <f>C5</f>
        <v>2001</v>
      </c>
      <c r="D61" s="89">
        <f>D5</f>
        <v>2002</v>
      </c>
      <c r="E61" s="89">
        <f>E5</f>
        <v>2003</v>
      </c>
      <c r="F61" s="89">
        <f>F5</f>
        <v>2004</v>
      </c>
      <c r="G61" s="106" t="s">
        <v>57</v>
      </c>
      <c r="H61" s="16"/>
    </row>
    <row r="62" spans="1:8" ht="15" customHeight="1">
      <c r="A62" s="90" t="s">
        <v>149</v>
      </c>
      <c r="B62" s="91">
        <f>SUMIF('2000'!$A$3:$A$40,$P$1,'2000'!$CD$3:$CD$40)</f>
        <v>15137465.32</v>
      </c>
      <c r="C62" s="91">
        <f>SUMIF('2001'!$A$3:$A$40,$P$1,'2001'!$CD$3:$CD$40)</f>
        <v>9083535.18</v>
      </c>
      <c r="D62" s="91">
        <f>SUMIF('2002'!$A$3:$A$40,$P$1,'2002'!$CD$3:$CD$40)</f>
        <v>12104067.399999999</v>
      </c>
      <c r="E62" s="91">
        <f>SUMIF('2003'!$A$3:$A$40,$P$1,'2003'!$CD$3:$CD$40)</f>
        <v>9892595.750000002</v>
      </c>
      <c r="F62" s="91">
        <f>SUMIF('2004'!$A$3:$A$40,$P$1,'2004'!$CD$3:$CD$40)</f>
        <v>0</v>
      </c>
      <c r="G62" s="91">
        <f aca="true" t="shared" si="2" ref="G62:G80">AVERAGE(B62:E62)</f>
        <v>11554415.9125</v>
      </c>
      <c r="H62" s="16"/>
    </row>
    <row r="63" spans="1:8" ht="15" customHeight="1">
      <c r="A63" s="90" t="s">
        <v>150</v>
      </c>
      <c r="B63" s="91">
        <f>SUMIF('2000'!$A$3:$A$40,$P$1,'2000'!$CE$3:$CE$40)</f>
        <v>16399616.080000002</v>
      </c>
      <c r="C63" s="91">
        <f>SUMIF('2001'!$A$3:$A$40,$P$1,'2001'!$CE$3:$CE$40)</f>
        <v>10507274.520000001</v>
      </c>
      <c r="D63" s="91">
        <f>SUMIF('2002'!$A$3:$A$40,$P$1,'2002'!$CE$3:$CE$40)</f>
        <v>11146173.489999998</v>
      </c>
      <c r="E63" s="91">
        <f>SUMIF('2003'!$A$3:$A$40,$P$1,'2003'!$CE$3:$CE$40)</f>
        <v>10463746.990000004</v>
      </c>
      <c r="F63" s="91">
        <f>SUMIF('2004'!$A$3:$A$40,$P$1,'2004'!$CE$3:$CE$40)</f>
        <v>0</v>
      </c>
      <c r="G63" s="91">
        <f t="shared" si="2"/>
        <v>12129202.770000001</v>
      </c>
      <c r="H63" s="16"/>
    </row>
    <row r="64" spans="1:8" ht="15" customHeight="1">
      <c r="A64" s="90" t="s">
        <v>60</v>
      </c>
      <c r="B64" s="91">
        <f>SUMIF('2000'!$A$3:$A$40,$P$1,'2000'!$CF$3:$CF$40)</f>
        <v>16158804.79</v>
      </c>
      <c r="C64" s="91">
        <f>SUMIF('2001'!$A$3:$A$40,$P$1,'2001'!$CF$3:$CF$40)</f>
        <v>17425780.689999998</v>
      </c>
      <c r="D64" s="91">
        <f>SUMIF('2002'!$A$3:$A$40,$P$1,'2002'!$CF$3:$CF$40)</f>
        <v>18827655.57</v>
      </c>
      <c r="E64" s="91">
        <f>SUMIF('2003'!$A$3:$A$40,$P$1,'2003'!$CF$3:$CF$40)</f>
        <v>15260403.49</v>
      </c>
      <c r="F64" s="91">
        <f>SUMIF('2004'!$A$3:$A$40,$P$1,'2004'!$CF$3:$CF$40)</f>
        <v>0</v>
      </c>
      <c r="G64" s="91">
        <f t="shared" si="2"/>
        <v>16918161.134999998</v>
      </c>
      <c r="H64" s="16"/>
    </row>
    <row r="65" spans="1:8" ht="15" customHeight="1">
      <c r="A65" s="90" t="s">
        <v>151</v>
      </c>
      <c r="B65" s="91">
        <f>SUMIF('2000'!$A$3:$A$40,$P$1,'2000'!$CG$3:$CG$40)</f>
        <v>93133492.55</v>
      </c>
      <c r="C65" s="91">
        <f>SUMIF('2001'!$A$3:$A$40,$P$1,'2001'!$CG$3:$CG$40)</f>
        <v>91976365.5</v>
      </c>
      <c r="D65" s="91">
        <f>SUMIF('2002'!$A$3:$A$40,$P$1,'2002'!$CG$3:$CG$40)</f>
        <v>90890523.88</v>
      </c>
      <c r="E65" s="91">
        <f>SUMIF('2003'!$A$3:$A$40,$P$1,'2003'!$CG$3:$CG$40)</f>
        <v>92548027.37</v>
      </c>
      <c r="F65" s="91">
        <f>SUMIF('2004'!$A$3:$A$40,$P$1,'2004'!$CG$3:$CG$40)</f>
        <v>0</v>
      </c>
      <c r="G65" s="91">
        <f t="shared" si="2"/>
        <v>92137102.325</v>
      </c>
      <c r="H65" s="16"/>
    </row>
    <row r="66" spans="1:8" ht="15" customHeight="1">
      <c r="A66" s="90" t="s">
        <v>152</v>
      </c>
      <c r="B66" s="91">
        <f>SUMIF('2000'!$A$3:$A$40,$P$1,'2000'!$CH$3:$CH$40)</f>
        <v>533497.009999999</v>
      </c>
      <c r="C66" s="91">
        <f>SUMIF('2001'!$A$3:$A$40,$P$1,'2001'!$CH$3:$CH$40)</f>
        <v>9015.060000000522</v>
      </c>
      <c r="D66" s="91">
        <f>SUMIF('2002'!$A$3:$A$40,$P$1,'2002'!$CH$3:$CH$40)</f>
        <v>-2701390.280000001</v>
      </c>
      <c r="E66" s="91">
        <f>SUMIF('2003'!$A$3:$A$40,$P$1,'2003'!$CH$3:$CH$40)</f>
        <v>-2723480.2600000026</v>
      </c>
      <c r="F66" s="91">
        <f>SUMIF('2004'!$A$3:$A$40,$P$1,'2004'!$CH$3:$CH$40)</f>
        <v>0</v>
      </c>
      <c r="G66" s="91">
        <f t="shared" si="2"/>
        <v>-1220589.617500001</v>
      </c>
      <c r="H66" s="16"/>
    </row>
    <row r="67" spans="1:8" ht="15" customHeight="1">
      <c r="A67" s="90" t="s">
        <v>153</v>
      </c>
      <c r="B67" s="91">
        <f>SUMIF('2000'!$A$3:$A$40,$P$1,'2000'!$CI$3:$CI$40)</f>
        <v>8234959.359999999</v>
      </c>
      <c r="C67" s="91">
        <f>SUMIF('2001'!$A$3:$A$40,$P$1,'2001'!$CI$3:$CI$40)</f>
        <v>8946674.25</v>
      </c>
      <c r="D67" s="91">
        <f>SUMIF('2002'!$A$3:$A$40,$P$1,'2002'!$CI$3:$CI$40)</f>
        <v>9540679.029999997</v>
      </c>
      <c r="E67" s="91">
        <f>SUMIF('2003'!$A$3:$A$40,$P$1,'2003'!$CI$3:$CI$40)</f>
        <v>6190120.909999999</v>
      </c>
      <c r="F67" s="91">
        <f>SUMIF('2004'!$A$3:$A$40,$P$1,'2004'!$CI$3:$CI$40)</f>
        <v>0</v>
      </c>
      <c r="G67" s="91">
        <f t="shared" si="2"/>
        <v>8228108.387499999</v>
      </c>
      <c r="H67" s="16"/>
    </row>
    <row r="68" spans="1:8" ht="15" customHeight="1">
      <c r="A68" s="90" t="s">
        <v>46</v>
      </c>
      <c r="B68" s="92">
        <f>SUMIF('2000'!$A$3:$A$40,$P$1,'2000'!$CJ$3:$CJ$40)</f>
        <v>0.9367936253161457</v>
      </c>
      <c r="C68" s="92">
        <f>SUMIF('2001'!$A$3:$A$40,$P$1,'2001'!$CJ$3:$CJ$40)</f>
        <v>0.5212699127570622</v>
      </c>
      <c r="D68" s="92">
        <f>SUMIF('2002'!$A$3:$A$40,$P$1,'2002'!$CJ$3:$CJ$40)</f>
        <v>0.6428876582640819</v>
      </c>
      <c r="E68" s="92">
        <f>SUMIF('2003'!$A$3:$A$40,$P$1,'2003'!$CJ$3:$CJ$40)</f>
        <v>0.6482525679273505</v>
      </c>
      <c r="F68" s="92" t="e">
        <f>SUMIF('2004'!$A$3:$A$40,$P$1,'2004'!$CJ$3:$CJ$40)</f>
        <v>#DIV/0!</v>
      </c>
      <c r="G68" s="92">
        <f t="shared" si="2"/>
        <v>0.6873009410661601</v>
      </c>
      <c r="H68" s="16"/>
    </row>
    <row r="69" spans="1:8" ht="15" customHeight="1">
      <c r="A69" s="90" t="s">
        <v>249</v>
      </c>
      <c r="B69" s="92">
        <f>SUMIF('2000'!$A$3:$A$40,$P$1,'2000'!$CK$3:$CK$40)</f>
        <v>1.0149027909631676</v>
      </c>
      <c r="C69" s="92">
        <f>SUMIF('2001'!$A$3:$A$40,$P$1,'2001'!$CK$3:$CK$40)</f>
        <v>0.6029729575346792</v>
      </c>
      <c r="D69" s="92">
        <f>SUMIF('2002'!$A$3:$A$40,$P$1,'2002'!$CK$3:$CK$40)</f>
        <v>0.5920106966350245</v>
      </c>
      <c r="E69" s="92">
        <f>SUMIF('2003'!$A$3:$A$40,$P$1,'2003'!$CK$3:$CK$40)</f>
        <v>0.6856795756977723</v>
      </c>
      <c r="F69" s="92" t="e">
        <f>SUMIF('2004'!$A$3:$A$40,$P$1,'2004'!$CK$3:$CK$40)</f>
        <v>#DIV/0!</v>
      </c>
      <c r="G69" s="92">
        <f t="shared" si="2"/>
        <v>0.7238915052076609</v>
      </c>
      <c r="H69" s="16"/>
    </row>
    <row r="70" spans="1:8" ht="15" customHeight="1">
      <c r="A70" s="90" t="s">
        <v>45</v>
      </c>
      <c r="B70" s="92">
        <f>SUMIF('2000'!$A$3:$A$40,$P$1,'2000'!$CL$3:$CL$40)</f>
        <v>0.1625351407483537</v>
      </c>
      <c r="C70" s="92">
        <f>SUMIF('2001'!$A$3:$A$40,$P$1,'2001'!$CL$3:$CL$40)</f>
        <v>0.09875944902389082</v>
      </c>
      <c r="D70" s="92">
        <f>SUMIF('2002'!$A$3:$A$40,$P$1,'2002'!$CL$3:$CL$40)</f>
        <v>0.13317194008014116</v>
      </c>
      <c r="E70" s="92">
        <f>SUMIF('2003'!$A$3:$A$40,$P$1,'2003'!$CL$3:$CL$40)</f>
        <v>0.10689148144076754</v>
      </c>
      <c r="F70" s="92" t="e">
        <f>SUMIF('2004'!$A$3:$A$40,$P$1,'2004'!$CL$3:$CL$40)</f>
        <v>#DIV/0!</v>
      </c>
      <c r="G70" s="92">
        <f t="shared" si="2"/>
        <v>0.12533950282328832</v>
      </c>
      <c r="H70" s="16"/>
    </row>
    <row r="71" spans="1:8" ht="15" customHeight="1">
      <c r="A71" s="90" t="s">
        <v>69</v>
      </c>
      <c r="B71" s="92">
        <f>SUMIF('2000'!$A$3:$A$40,$P$1,'2000'!$CM$3:$CM$40)</f>
        <v>0.17608720161756677</v>
      </c>
      <c r="C71" s="92">
        <f>SUMIF('2001'!$A$3:$A$40,$P$1,'2001'!$CM$3:$CM$40)</f>
        <v>0.11423885324105355</v>
      </c>
      <c r="D71" s="92">
        <f>SUMIF('2002'!$A$3:$A$40,$P$1,'2002'!$CM$3:$CM$40)</f>
        <v>0.12263295461599444</v>
      </c>
      <c r="E71" s="92">
        <f>SUMIF('2003'!$A$3:$A$40,$P$1,'2003'!$CM$3:$CM$40)</f>
        <v>0.11306288515655483</v>
      </c>
      <c r="F71" s="92" t="e">
        <f>SUMIF('2004'!$A$3:$A$40,$P$1,'2004'!$CM$3:$CM$40)</f>
        <v>#DIV/0!</v>
      </c>
      <c r="G71" s="92">
        <f t="shared" si="2"/>
        <v>0.13150547365779242</v>
      </c>
      <c r="H71" s="16"/>
    </row>
    <row r="72" spans="1:8" ht="15" customHeight="1">
      <c r="A72" s="90" t="s">
        <v>43</v>
      </c>
      <c r="B72" s="92">
        <f>SUMIF('2000'!$A$3:$A$40,$P$1,'2000'!$CN$3:$CN$40)</f>
        <v>0.005728304559324711</v>
      </c>
      <c r="C72" s="92">
        <f>SUMIF('2001'!$A$3:$A$40,$P$1,'2001'!$CN$3:$CN$40)</f>
        <v>9.801496233291064E-05</v>
      </c>
      <c r="D72" s="92">
        <f>SUMIF('2002'!$A$3:$A$40,$P$1,'2002'!$CN$3:$CN$40)</f>
        <v>-0.029721363291585434</v>
      </c>
      <c r="E72" s="92">
        <f>SUMIF('2003'!$A$3:$A$40,$P$1,'2003'!$CN$3:$CN$40)</f>
        <v>-0.02942775051392219</v>
      </c>
      <c r="F72" s="92" t="e">
        <f>SUMIF('2004'!$A$3:$A$40,$P$1,'2004'!$CN$3:$CN$40)</f>
        <v>#DIV/0!</v>
      </c>
      <c r="G72" s="92">
        <f t="shared" si="2"/>
        <v>-0.013330698570962501</v>
      </c>
      <c r="H72" s="16"/>
    </row>
    <row r="73" spans="1:8" ht="15" customHeight="1">
      <c r="A73" s="90" t="s">
        <v>44</v>
      </c>
      <c r="B73" s="92">
        <f>SUMIF('2000'!$A$3:$A$40,$P$1,'2000'!$CO$3:$CO$40)</f>
        <v>0.08842103022797033</v>
      </c>
      <c r="C73" s="92">
        <f>SUMIF('2001'!$A$3:$A$40,$P$1,'2001'!$CO$3:$CO$40)</f>
        <v>0.09727144795692107</v>
      </c>
      <c r="D73" s="92">
        <f>SUMIF('2002'!$A$3:$A$40,$P$1,'2002'!$CO$3:$CO$40)</f>
        <v>0.10496890789843248</v>
      </c>
      <c r="E73" s="92">
        <f>SUMIF('2003'!$A$3:$A$40,$P$1,'2003'!$CO$3:$CO$40)</f>
        <v>0.06688549811280542</v>
      </c>
      <c r="F73" s="92" t="e">
        <f>SUMIF('2004'!$A$3:$A$40,$P$1,'2004'!$CO$3:$CO$40)</f>
        <v>#DIV/0!</v>
      </c>
      <c r="G73" s="92">
        <f t="shared" si="2"/>
        <v>0.08938672104903232</v>
      </c>
      <c r="H73" s="16"/>
    </row>
    <row r="74" spans="1:8" ht="15" customHeight="1">
      <c r="A74" s="90" t="s">
        <v>185</v>
      </c>
      <c r="B74" s="92">
        <f>SUMIF('2000'!$A$3:$A$40,$P$1,'2000'!$CP$3:$CP$40)</f>
        <v>0.1539895891382666</v>
      </c>
      <c r="C74" s="92">
        <f>SUMIF('2001'!$A$3:$A$40,$P$1,'2001'!$CP$3:$CP$40)</f>
        <v>0.1313007236441777</v>
      </c>
      <c r="D74" s="92">
        <f>SUMIF('2002'!$A$3:$A$40,$P$1,'2002'!$CP$3:$CP$40)</f>
        <v>0.13529340442451476</v>
      </c>
      <c r="E74" s="92">
        <f>SUMIF('2003'!$A$3:$A$40,$P$1,'2003'!$CP$3:$CP$40)</f>
        <v>0.11484275489304475</v>
      </c>
      <c r="F74" s="92" t="e">
        <f>SUMIF('2004'!$A$3:$A$40,$P$1,'2004'!$CP$3:$CP$40)</f>
        <v>#DIV/0!</v>
      </c>
      <c r="G74" s="92">
        <f t="shared" si="2"/>
        <v>0.13385661802500096</v>
      </c>
      <c r="H74" s="16"/>
    </row>
    <row r="75" spans="1:8" ht="15" customHeight="1">
      <c r="A75" s="90" t="s">
        <v>186</v>
      </c>
      <c r="B75" s="92">
        <f>SUMIF('2000'!$A$3:$A$40,$P$1,'2000'!$CQ$3:$CQ$40)</f>
        <v>0.0801253984023426</v>
      </c>
      <c r="C75" s="92">
        <f>SUMIF('2001'!$A$3:$A$40,$P$1,'2001'!$CQ$3:$CQ$40)</f>
        <v>0.0927770647348802</v>
      </c>
      <c r="D75" s="92">
        <f>SUMIF('2002'!$A$3:$A$40,$P$1,'2002'!$CQ$3:$CQ$40)</f>
        <v>0.1207205514343777</v>
      </c>
      <c r="E75" s="92">
        <f>SUMIF('2003'!$A$3:$A$40,$P$1,'2003'!$CQ$3:$CQ$40)</f>
        <v>0.08593304927971726</v>
      </c>
      <c r="F75" s="92" t="e">
        <f>SUMIF('2004'!$A$3:$A$40,$P$1,'2004'!$CQ$3:$CQ$40)</f>
        <v>#DIV/0!</v>
      </c>
      <c r="G75" s="92">
        <f t="shared" si="2"/>
        <v>0.09488901596282945</v>
      </c>
      <c r="H75" s="16"/>
    </row>
    <row r="76" spans="1:8" ht="15" customHeight="1">
      <c r="A76" s="90" t="s">
        <v>187</v>
      </c>
      <c r="B76" s="91">
        <f>SUMIF('2000'!$A$3:$A$40,$P$1,'2000'!$G$3:$G$40)</f>
        <v>27630212.95</v>
      </c>
      <c r="C76" s="91">
        <f>SUMIF('2001'!$A$3:$A$40,$P$1,'2001'!$G$3:$G$40)</f>
        <v>28885737.700000003</v>
      </c>
      <c r="D76" s="91">
        <f>SUMIF('2002'!$A$3:$A$40,$P$1,'2002'!$G$3:$G$40)</f>
        <v>28707392</v>
      </c>
      <c r="E76" s="91">
        <f>SUMIF('2003'!$A$3:$A$40,$P$1,'2003'!$G$3:$G$40)</f>
        <v>27912900.930000003</v>
      </c>
      <c r="F76" s="91">
        <f>SUMIF('2004'!$A$3:$A$40,$P$1,'2004'!$G$3:$G$40)</f>
        <v>0</v>
      </c>
      <c r="G76" s="91">
        <f t="shared" si="2"/>
        <v>28284060.895000003</v>
      </c>
      <c r="H76" s="16"/>
    </row>
    <row r="77" spans="1:8" ht="15" customHeight="1">
      <c r="A77" s="90" t="s">
        <v>24</v>
      </c>
      <c r="B77" s="91">
        <f>SUMIF('2000'!$A$3:$A$40,$P$1,'2000'!$I$3:$I$40)</f>
        <v>3629152.2600000002</v>
      </c>
      <c r="C77" s="91">
        <f>SUMIF('2001'!$A$3:$A$40,$P$1,'2001'!$I$3:$I$40)</f>
        <v>3351570.58</v>
      </c>
      <c r="D77" s="91">
        <f>SUMIF('2002'!$A$3:$A$40,$P$1,'2002'!$I$3:$I$40)</f>
        <v>3042325.3</v>
      </c>
      <c r="E77" s="91">
        <f>SUMIF('2003'!$A$3:$A$40,$P$1,'2003'!$I$3:$I$40)</f>
        <v>2455569.0500000007</v>
      </c>
      <c r="F77" s="91">
        <f>SUMIF('2004'!$A$3:$A$40,$P$1,'2004'!$I$3:$I$40)</f>
        <v>0</v>
      </c>
      <c r="G77" s="91">
        <f t="shared" si="2"/>
        <v>3119654.2975000003</v>
      </c>
      <c r="H77" s="16"/>
    </row>
    <row r="78" spans="1:8" ht="15" customHeight="1">
      <c r="A78" s="90" t="s">
        <v>25</v>
      </c>
      <c r="B78" s="91">
        <f>SUMIF('2000'!$A$3:$A$40,$P$1,'2000'!$AG$3:$AG$40)</f>
        <v>6520529.500000001</v>
      </c>
      <c r="C78" s="91">
        <f>SUMIF('2001'!$A$3:$A$40,$P$1,'2001'!$AG$3:$AG$40)</f>
        <v>7621950.37</v>
      </c>
      <c r="D78" s="91">
        <f>SUMIF('2002'!$A$3:$A$40,$P$1,'2002'!$AG$3:$AG$40)</f>
        <v>9749751.700000001</v>
      </c>
      <c r="E78" s="91">
        <f>SUMIF('2003'!$A$3:$A$40,$P$1,'2003'!$AG$3:$AG$40)</f>
        <v>8536282.030000003</v>
      </c>
      <c r="F78" s="91">
        <f>SUMIF('2004'!$A$3:$A$40,$P$1,'2004'!$AG$3:$AG$40)</f>
        <v>0</v>
      </c>
      <c r="G78" s="91">
        <f t="shared" si="2"/>
        <v>8107128.4</v>
      </c>
      <c r="H78" s="16"/>
    </row>
    <row r="79" spans="1:8" ht="15" customHeight="1">
      <c r="A79" s="90" t="s">
        <v>188</v>
      </c>
      <c r="B79" s="91">
        <f>SUMIF('2000'!$A$3:$A$40,$P$1,'2000'!$J$3:$J$40)</f>
        <v>1035650.8500000001</v>
      </c>
      <c r="C79" s="91">
        <f>SUMIF('2001'!$A$3:$A$40,$P$1,'2001'!$J$3:$J$40)</f>
        <v>3236117.6900000004</v>
      </c>
      <c r="D79" s="91">
        <f>SUMIF('2002'!$A$3:$A$40,$P$1,'2002'!$J$3:$J$40)</f>
        <v>2825131.3500000006</v>
      </c>
      <c r="E79" s="91">
        <f>SUMIF('2003'!$A$3:$A$40,$P$1,'2003'!$J$3:$J$40)</f>
        <v>3143059.9700000007</v>
      </c>
      <c r="F79" s="91">
        <f>SUMIF('2004'!$A$3:$A$40,$P$1,'2004'!$J$3:$J$40)</f>
        <v>0</v>
      </c>
      <c r="G79" s="91">
        <f t="shared" si="2"/>
        <v>2559989.965000001</v>
      </c>
      <c r="H79" s="16"/>
    </row>
    <row r="80" spans="1:8" ht="15" customHeight="1">
      <c r="A80" s="90" t="s">
        <v>189</v>
      </c>
      <c r="B80" s="91">
        <f>SUMIF('2000'!$A$3:$A$40,$P$1,'2000'!$AH$3:$AH$40)</f>
        <v>185720</v>
      </c>
      <c r="C80" s="91">
        <f>SUMIF('2001'!$A$3:$A$40,$P$1,'2001'!$AH$3:$AH$40)</f>
        <v>1736843</v>
      </c>
      <c r="D80" s="91">
        <f>SUMIF('2002'!$A$3:$A$40,$P$1,'2002'!$AH$3:$AH$40)</f>
        <v>1546836</v>
      </c>
      <c r="E80" s="91">
        <f>SUMIF('2003'!$A$3:$A$40,$P$1,'2003'!$AH$3:$AH$40)</f>
        <v>1293743.85</v>
      </c>
      <c r="F80" s="91">
        <f>SUMIF('2004'!$A$3:$A$40,$P$1,'2004'!$AH$3:$AH$40)</f>
        <v>0</v>
      </c>
      <c r="G80" s="91">
        <f t="shared" si="2"/>
        <v>1190785.7125</v>
      </c>
      <c r="H80" s="16"/>
    </row>
    <row r="81" spans="1:8" ht="15" customHeight="1">
      <c r="A81" s="77"/>
      <c r="B81" s="78"/>
      <c r="C81" s="78"/>
      <c r="D81" s="78"/>
      <c r="E81" s="78"/>
      <c r="F81" s="78"/>
      <c r="G81" s="78"/>
      <c r="H81" s="16"/>
    </row>
    <row r="82" spans="1:8" ht="15" customHeight="1">
      <c r="A82" s="110" t="s">
        <v>209</v>
      </c>
      <c r="B82" s="111">
        <f aca="true" t="shared" si="3" ref="B82:G82">B5</f>
        <v>2000</v>
      </c>
      <c r="C82" s="111">
        <f t="shared" si="3"/>
        <v>2001</v>
      </c>
      <c r="D82" s="111">
        <f t="shared" si="3"/>
        <v>2002</v>
      </c>
      <c r="E82" s="111">
        <f t="shared" si="3"/>
        <v>2003</v>
      </c>
      <c r="F82" s="111">
        <f t="shared" si="3"/>
        <v>2004</v>
      </c>
      <c r="G82" s="111" t="str">
        <f t="shared" si="3"/>
        <v>Veränderung</v>
      </c>
      <c r="H82" s="16"/>
    </row>
    <row r="83" spans="1:8" ht="15" customHeight="1">
      <c r="A83" s="112" t="s">
        <v>58</v>
      </c>
      <c r="B83" s="113">
        <f>SUMIF('2000'!$A$3:$A$40,$P$1,'2000'!$F$3:$F$40)</f>
        <v>165</v>
      </c>
      <c r="C83" s="113">
        <f>SUMIF('2001'!$A$3:$A$40,$P$1,'2001'!$F$3:$F$40)</f>
        <v>175</v>
      </c>
      <c r="D83" s="113">
        <f>SUMIF('2002'!$A$3:$A$40,$P$1,'2002'!$F$3:$F$40)</f>
        <v>178</v>
      </c>
      <c r="E83" s="113">
        <f>SUMIF('2003'!$A$3:$A$40,$P$1,'2003'!$F$3:$F$40)</f>
        <v>179</v>
      </c>
      <c r="F83" s="113">
        <f>SUMIF('2004'!$A$3:$A$40,$P$1,'2004'!$F$3:$F$40)</f>
        <v>161</v>
      </c>
      <c r="G83" s="114">
        <f>(E83-B83)/B83</f>
        <v>0.08484848484848485</v>
      </c>
      <c r="H83" s="16"/>
    </row>
    <row r="84" spans="1:8" ht="15" customHeight="1">
      <c r="A84" s="112" t="s">
        <v>190</v>
      </c>
      <c r="B84" s="113">
        <f>SUMIF('2000'!$A$3:$A$40,$P$1,'2000'!$DE$3:$DE$40)</f>
        <v>39095466.8</v>
      </c>
      <c r="C84" s="113">
        <f>SUMIF('2001'!$A$3:$A$40,$P$1,'2001'!$DE$3:$DE$40)</f>
        <v>36275062.25000001</v>
      </c>
      <c r="D84" s="113">
        <f>SUMIF('2002'!$A$3:$A$40,$P$1,'2002'!$DE$3:$DE$40)</f>
        <v>34457425.75</v>
      </c>
      <c r="E84" s="113">
        <f>SUMIF('2003'!$A$3:$A$40,$P$1,'2003'!$DE$3:$DE$40)</f>
        <v>35446709.37</v>
      </c>
      <c r="F84" s="113">
        <f>SUMIF('2004'!$A$3:$A$40,$P$1,'2004'!$DE$3:$DE$40)</f>
        <v>0</v>
      </c>
      <c r="G84" s="114">
        <f>(E84-B84)/B84</f>
        <v>-0.0933294248324463</v>
      </c>
      <c r="H84" s="16"/>
    </row>
    <row r="85" spans="1:8" ht="15" customHeight="1">
      <c r="A85" s="112" t="s">
        <v>51</v>
      </c>
      <c r="B85" s="113">
        <f>SUMIF('2000'!$A$3:$A$40,$P$1,'2000'!$C$3:$C$40)</f>
        <v>132077817</v>
      </c>
      <c r="C85" s="113">
        <f>SUMIF('2001'!$A$3:$A$40,$P$1,'2001'!$C$3:$C$40)</f>
        <v>126728843</v>
      </c>
      <c r="D85" s="113">
        <f>SUMIF('2002'!$A$3:$A$40,$P$1,'2002'!$C$3:$C$40)</f>
        <v>120978291</v>
      </c>
      <c r="E85" s="113">
        <f>SUMIF('2003'!$A$3:$A$40,$P$1,'2003'!$C$3:$C$40)</f>
        <v>136563571</v>
      </c>
      <c r="F85" s="113">
        <f>SUMIF('2004'!$A$3:$A$40,$P$1,'2004'!$C$3:$C$40)</f>
        <v>0</v>
      </c>
      <c r="G85" s="114">
        <f>(E85-B85)/B85</f>
        <v>0.0339629629099639</v>
      </c>
      <c r="H85" s="16"/>
    </row>
    <row r="86" spans="1:8" ht="15" customHeight="1">
      <c r="A86" s="112" t="s">
        <v>191</v>
      </c>
      <c r="B86" s="113">
        <f>SUMIF('2000'!$A$3:$A$40,$P$1,'2000'!$D$3:$D$40)</f>
        <v>2655.65</v>
      </c>
      <c r="C86" s="113">
        <f>SUMIF('2001'!$A$3:$A$40,$P$1,'2001'!$D$3:$D$40)</f>
        <v>2722.5</v>
      </c>
      <c r="D86" s="113">
        <f>SUMIF('2002'!$A$3:$A$40,$P$1,'2002'!$D$3:$D$40)</f>
        <v>2674.32</v>
      </c>
      <c r="E86" s="113">
        <f>SUMIF('2003'!$A$3:$A$40,$P$1,'2003'!$D$3:$D$40)</f>
        <v>2933.89</v>
      </c>
      <c r="F86" s="113" t="e">
        <f>SUMIF('2004'!$A$3:$A$40,$P$1,'2004'!$D$3:$D$40)</f>
        <v>#NUM!</v>
      </c>
      <c r="G86" s="114">
        <f>(E86-B86)/B86</f>
        <v>0.10477284280684569</v>
      </c>
      <c r="H86" s="16"/>
    </row>
    <row r="87" spans="1:8" ht="15" customHeight="1">
      <c r="A87" s="112" t="s">
        <v>192</v>
      </c>
      <c r="B87" s="115">
        <f>SUMIF('2000'!$A$3:$A$40,$P$1,'2000'!$E$3:$E$40)</f>
        <v>77.02</v>
      </c>
      <c r="C87" s="115">
        <f>SUMIF('2001'!$A$3:$A$40,$P$1,'2001'!$E$3:$E$40)</f>
        <v>82.08</v>
      </c>
      <c r="D87" s="115">
        <f>SUMIF('2002'!$A$3:$A$40,$P$1,'2002'!$E$3:$E$40)</f>
        <v>83.93</v>
      </c>
      <c r="E87" s="115">
        <f>SUMIF('2003'!$A$3:$A$40,$P$1,'2003'!$E$3:$E$40)</f>
        <v>82.09</v>
      </c>
      <c r="F87" s="115" t="e">
        <f>SUMIF('2004'!$A$3:$A$40,$P$1,'2004'!$E$3:$E$40)</f>
        <v>#NUM!</v>
      </c>
      <c r="G87" s="114">
        <f>(E87-B87)/B87</f>
        <v>0.06582705790703723</v>
      </c>
      <c r="H87" s="16"/>
    </row>
    <row r="88" spans="1:8" ht="15" customHeight="1">
      <c r="A88" s="77"/>
      <c r="B88" s="78"/>
      <c r="C88" s="78"/>
      <c r="D88" s="78"/>
      <c r="E88" s="78"/>
      <c r="F88" s="78"/>
      <c r="G88" s="78"/>
      <c r="H88" s="16"/>
    </row>
    <row r="89" spans="1:8" ht="15" customHeight="1">
      <c r="A89" s="84" t="s">
        <v>211</v>
      </c>
      <c r="B89" s="88">
        <f aca="true" t="shared" si="4" ref="B89:G89">B5</f>
        <v>2000</v>
      </c>
      <c r="C89" s="88">
        <f t="shared" si="4"/>
        <v>2001</v>
      </c>
      <c r="D89" s="88">
        <f t="shared" si="4"/>
        <v>2002</v>
      </c>
      <c r="E89" s="88">
        <f t="shared" si="4"/>
        <v>2003</v>
      </c>
      <c r="F89" s="88">
        <f t="shared" si="4"/>
        <v>2004</v>
      </c>
      <c r="G89" s="88" t="str">
        <f t="shared" si="4"/>
        <v>Veränderung</v>
      </c>
      <c r="H89" s="16"/>
    </row>
    <row r="90" spans="1:8" ht="15" customHeight="1">
      <c r="A90" s="85" t="s">
        <v>193</v>
      </c>
      <c r="B90" s="86">
        <f>SUMIF('2000'!$A$3:$A$40,$P$1,'2000'!$DF$3:$DF$40)</f>
        <v>582.4508223469505</v>
      </c>
      <c r="C90" s="86">
        <f>SUMIF('2001'!$A$3:$A$40,$P$1,'2001'!$DF$3:$DF$40)</f>
        <v>438.53585311592127</v>
      </c>
      <c r="D90" s="86">
        <f>SUMIF('2002'!$A$3:$A$40,$P$1,'2002'!$DF$3:$DF$40)</f>
        <v>301.81008086182413</v>
      </c>
      <c r="E90" s="86">
        <f>SUMIF('2003'!$A$3:$A$40,$P$1,'2003'!$DF$3:$DF$40)</f>
        <v>26.996598534415106</v>
      </c>
      <c r="F90" s="86" t="e">
        <f>SUMIF('2004'!$A$3:$A$40,$P$1,'2004'!$DF$3:$DF$40)</f>
        <v>#DIV/0!</v>
      </c>
      <c r="G90" s="87">
        <f>(E90-B90)/B90</f>
        <v>-0.9536499949890467</v>
      </c>
      <c r="H90" s="16"/>
    </row>
    <row r="91" spans="1:8" ht="15" customHeight="1">
      <c r="A91" s="85" t="s">
        <v>194</v>
      </c>
      <c r="B91" s="86">
        <f>SUMIF('2000'!$A$3:$A$40,$P$1,'2000'!$DG$3:$DG$40)</f>
        <v>13.927607623025688</v>
      </c>
      <c r="C91" s="86">
        <f>SUMIF('2001'!$A$3:$A$40,$P$1,'2001'!$DG$3:$DG$40)</f>
        <v>0.23595309759992988</v>
      </c>
      <c r="D91" s="86">
        <f>SUMIF('2002'!$A$3:$A$40,$P$1,'2002'!$DG$3:$DG$40)</f>
        <v>-71.15288099878842</v>
      </c>
      <c r="E91" s="86">
        <f>SUMIF('2003'!$A$3:$A$40,$P$1,'2003'!$DG$3:$DG$40)</f>
        <v>-71.27663595917306</v>
      </c>
      <c r="F91" s="86" t="e">
        <f>SUMIF('2004'!$A$3:$A$40,$P$1,'2004'!$DG$3:$DG$40)</f>
        <v>#DIV/0!</v>
      </c>
      <c r="G91" s="87">
        <f>(E91-B91)/B91</f>
        <v>-6.11765106315428</v>
      </c>
      <c r="H91" s="16"/>
    </row>
    <row r="92" spans="1:8" ht="15" customHeight="1">
      <c r="A92" s="85" t="s">
        <v>195</v>
      </c>
      <c r="B92" s="86">
        <f>SUMIF('2000'!$A$3:$A$40,$P$1,'2000'!$DH$3:$DH$40)</f>
        <v>1020.6361258321367</v>
      </c>
      <c r="C92" s="86">
        <f>SUMIF('2001'!$A$3:$A$40,$P$1,'2001'!$DH$3:$DH$40)</f>
        <v>949.4349791922948</v>
      </c>
      <c r="D92" s="86">
        <f>SUMIF('2002'!$A$3:$A$40,$P$1,'2002'!$DH$3:$DH$40)</f>
        <v>907.5864128430701</v>
      </c>
      <c r="E92" s="86">
        <f>SUMIF('2003'!$A$3:$A$40,$P$1,'2003'!$DH$3:$DH$40)</f>
        <v>927.6814805024862</v>
      </c>
      <c r="F92" s="86" t="e">
        <f>SUMIF('2004'!$A$3:$A$40,$P$1,'2004'!$DH$3:$DH$40)</f>
        <v>#DIV/0!</v>
      </c>
      <c r="G92" s="87">
        <f>(E92-B92)/B92</f>
        <v>-0.09107520592009562</v>
      </c>
      <c r="H92" s="16"/>
    </row>
    <row r="93" spans="1:8" ht="15" customHeight="1">
      <c r="A93" s="85" t="s">
        <v>196</v>
      </c>
      <c r="B93" s="86">
        <f>SUMIF('2000'!$A$3:$A$40,$P$1,'2000'!$DI$3:$DI$40)</f>
        <v>421.8458370969847</v>
      </c>
      <c r="C93" s="86">
        <f>SUMIF('2001'!$A$3:$A$40,$P$1,'2001'!$DI$3:$DI$40)</f>
        <v>456.0886929096762</v>
      </c>
      <c r="D93" s="86">
        <f>SUMIF('2002'!$A$3:$A$40,$P$1,'2002'!$DI$3:$DI$40)</f>
        <v>495.9083277142707</v>
      </c>
      <c r="E93" s="86">
        <f>SUMIF('2003'!$A$3:$A$40,$P$1,'2003'!$DI$3:$DI$40)</f>
        <v>399.38245197592255</v>
      </c>
      <c r="F93" s="86" t="e">
        <f>SUMIF('2004'!$A$3:$A$40,$P$1,'2004'!$DI$3:$DI$40)</f>
        <v>#DIV/0!</v>
      </c>
      <c r="G93" s="87">
        <f>(E93-B93)/B93</f>
        <v>-0.05325022353106146</v>
      </c>
      <c r="H93" s="16"/>
    </row>
    <row r="94" spans="1:8" ht="15" customHeight="1">
      <c r="A94" s="85" t="s">
        <v>197</v>
      </c>
      <c r="B94" s="86">
        <f>SUMIF('2000'!$A$3:$A$40,$P$1,'2000'!$DJ$3:$DJ$40)</f>
        <v>-26.663343427750586</v>
      </c>
      <c r="C94" s="86">
        <f>SUMIF('2001'!$A$3:$A$40,$P$1,'2001'!$DJ$3:$DJ$40)</f>
        <v>-218.3433813175594</v>
      </c>
      <c r="D94" s="86">
        <f>SUMIF('2002'!$A$3:$A$40,$P$1,'2002'!$DJ$3:$DJ$40)</f>
        <v>-177.0949841963869</v>
      </c>
      <c r="E94" s="86">
        <f>SUMIF('2003'!$A$3:$A$40,$P$1,'2003'!$DJ$3:$DJ$40)</f>
        <v>-140.48175189740897</v>
      </c>
      <c r="F94" s="86" t="e">
        <f>SUMIF('2004'!$A$3:$A$40,$P$1,'2004'!$DJ$3:$DJ$40)</f>
        <v>#DIV/0!</v>
      </c>
      <c r="G94" s="87">
        <f>(E94-B94)/B94</f>
        <v>4.268722292013793</v>
      </c>
      <c r="H94" s="16"/>
    </row>
    <row r="95" spans="1:8" ht="15" customHeight="1">
      <c r="A95" s="61"/>
      <c r="B95" s="61"/>
      <c r="C95" s="61"/>
      <c r="D95" s="61"/>
      <c r="E95" s="61"/>
      <c r="F95" s="61"/>
      <c r="G95" s="61"/>
      <c r="H95" s="16"/>
    </row>
    <row r="96" spans="1:8" ht="15" customHeight="1">
      <c r="A96" s="107" t="s">
        <v>210</v>
      </c>
      <c r="B96" s="107">
        <f aca="true" t="shared" si="5" ref="B96:G96">B5</f>
        <v>2000</v>
      </c>
      <c r="C96" s="107">
        <f t="shared" si="5"/>
        <v>2001</v>
      </c>
      <c r="D96" s="107">
        <f t="shared" si="5"/>
        <v>2002</v>
      </c>
      <c r="E96" s="107">
        <f t="shared" si="5"/>
        <v>2003</v>
      </c>
      <c r="F96" s="107">
        <f t="shared" si="5"/>
        <v>2004</v>
      </c>
      <c r="G96" s="107" t="str">
        <f t="shared" si="5"/>
        <v>Veränderung</v>
      </c>
      <c r="H96" s="16"/>
    </row>
    <row r="97" spans="1:8" ht="15" customHeight="1">
      <c r="A97" s="108" t="s">
        <v>53</v>
      </c>
      <c r="B97" s="109">
        <f>SUMIF('2000'!$A$3:$A$40,$P$1,'2000'!$B$3:$B$40)</f>
        <v>38305</v>
      </c>
      <c r="C97" s="109">
        <f>SUMIF('2001'!$A$3:$A$40,$P$1,'2001'!$B$3:$B$40)</f>
        <v>38207</v>
      </c>
      <c r="D97" s="109">
        <f>SUMIF('2002'!$A$3:$A$40,$P$1,'2002'!$B$3:$B$40)</f>
        <v>37966</v>
      </c>
      <c r="E97" s="109">
        <f>SUMIF('2003'!$A$3:$A$40,$P$1,'2003'!$B$3:$B$40)</f>
        <v>38210</v>
      </c>
      <c r="F97" s="109">
        <f>SUMIF('2004'!$A$3:$A$40,$P$1,'2004'!$B$3:$B$40)</f>
        <v>0</v>
      </c>
      <c r="G97" s="139">
        <f>(E97-B97)/B97</f>
        <v>-0.002480093982508811</v>
      </c>
      <c r="H97" s="16"/>
    </row>
    <row r="98" spans="1:8" ht="15" customHeight="1">
      <c r="A98" s="108" t="s">
        <v>251</v>
      </c>
      <c r="B98" s="109">
        <f>SUMIF('2000'!$A$3:$A$40,$P$1,'2000'!$DK$3:$DK$40)</f>
        <v>-25765800.39000003</v>
      </c>
      <c r="C98" s="109">
        <f>SUMIF('2001'!$A$3:$A$40,$P$1,'2001'!$DK$3:$DK$40)</f>
        <v>-30651383.599999987</v>
      </c>
      <c r="D98" s="109">
        <f>SUMIF('2002'!$A$3:$A$40,$P$1,'2002'!$DK$3:$DK$40)</f>
        <v>-33541751.42000001</v>
      </c>
      <c r="E98" s="109">
        <f>SUMIF('2003'!$A$3:$A$40,$P$1,'2003'!$DK$3:$DK$40)</f>
        <v>-40692418.33999999</v>
      </c>
      <c r="F98" s="109">
        <f>SUMIF('2004'!$A$3:$A$40,$P$1,'2004'!$DK$3:$DK$40)</f>
        <v>0</v>
      </c>
      <c r="G98" s="139">
        <f>(E98-B98)/B98</f>
        <v>0.5793190090765871</v>
      </c>
      <c r="H98" s="14"/>
    </row>
    <row r="99" spans="1:8" ht="15" customHeight="1">
      <c r="A99" s="61"/>
      <c r="B99" s="61"/>
      <c r="C99" s="61"/>
      <c r="D99" s="61"/>
      <c r="E99" s="61"/>
      <c r="F99" s="61"/>
      <c r="G99" s="61"/>
      <c r="H99" s="14"/>
    </row>
    <row r="100" spans="1:8" ht="15" customHeight="1">
      <c r="A100" s="61"/>
      <c r="B100" s="61"/>
      <c r="C100" s="61"/>
      <c r="D100" s="61"/>
      <c r="E100" s="61"/>
      <c r="F100" s="61"/>
      <c r="G100" s="61"/>
      <c r="H100" s="14"/>
    </row>
    <row r="101" spans="1:8" ht="15" customHeight="1">
      <c r="A101" s="61"/>
      <c r="B101" s="61"/>
      <c r="C101" s="61"/>
      <c r="D101" s="61"/>
      <c r="E101" s="61"/>
      <c r="F101" s="61"/>
      <c r="G101" s="61"/>
      <c r="H101" s="14"/>
    </row>
    <row r="102" ht="15" customHeight="1">
      <c r="H102" s="14"/>
    </row>
    <row r="103" ht="15" customHeight="1">
      <c r="H103" s="14"/>
    </row>
    <row r="104" ht="15" customHeight="1">
      <c r="H104" s="14"/>
    </row>
    <row r="105" ht="15" customHeight="1">
      <c r="H105" s="14"/>
    </row>
    <row r="106" ht="15" customHeight="1">
      <c r="H106" s="14"/>
    </row>
    <row r="107" ht="15" customHeight="1">
      <c r="H107" s="14"/>
    </row>
    <row r="108" ht="4.5" customHeight="1">
      <c r="H108" s="14"/>
    </row>
  </sheetData>
  <printOptions horizontalCentered="1"/>
  <pageMargins left="0.03937007874015748" right="0.03937007874015748" top="0.7874015748031497" bottom="0.5905511811023623" header="0.1968503937007874" footer="0.2755905511811024"/>
  <pageSetup orientation="portrait" paperSize="9" scale="93" r:id="rId3"/>
  <headerFooter alignWithMargins="0">
    <oddHeader>&amp;L&amp;"Arial,Fett"&amp;14Finanzkennzahlen Gemeinden Kanton Glarus - Erhebung 2003</oddHeader>
  </headerFooter>
  <rowBreaks count="1" manualBreakCount="1">
    <brk id="107" max="255" man="1"/>
  </rowBreaks>
  <colBreaks count="1" manualBreakCount="1">
    <brk id="7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G22"/>
  <sheetViews>
    <sheetView workbookViewId="0" topLeftCell="A1">
      <selection activeCell="A2" sqref="A2"/>
    </sheetView>
  </sheetViews>
  <sheetFormatPr defaultColWidth="11.421875" defaultRowHeight="12.75"/>
  <cols>
    <col min="1" max="1" width="30.57421875" style="0" bestFit="1" customWidth="1"/>
    <col min="2" max="2" width="13.8515625" style="0" bestFit="1" customWidth="1"/>
  </cols>
  <sheetData>
    <row r="1" spans="2:7" ht="12.75">
      <c r="B1">
        <f>+Abfrage!B61</f>
        <v>2000</v>
      </c>
      <c r="C1">
        <f>+Abfrage!C61</f>
        <v>2001</v>
      </c>
      <c r="D1">
        <f>+Abfrage!D61</f>
        <v>2002</v>
      </c>
      <c r="E1">
        <f>+Abfrage!E61</f>
        <v>2003</v>
      </c>
      <c r="F1">
        <f>+Abfrage!F61</f>
        <v>2004</v>
      </c>
      <c r="G1" t="str">
        <f>+Abfrage!G61</f>
        <v>Mittelwert</v>
      </c>
    </row>
    <row r="2" spans="1:7" ht="12.75">
      <c r="A2" t="s">
        <v>39</v>
      </c>
      <c r="B2" s="15">
        <f>+Abfrage!B68</f>
        <v>0.9367936253161457</v>
      </c>
      <c r="C2" s="15">
        <f>+Abfrage!C68</f>
        <v>0.5212699127570622</v>
      </c>
      <c r="D2" s="15">
        <f>+Abfrage!D68</f>
        <v>0.6428876582640819</v>
      </c>
      <c r="E2" s="15">
        <f>+Abfrage!E68</f>
        <v>0.6482525679273505</v>
      </c>
      <c r="F2" s="15" t="e">
        <f>+Abfrage!F68</f>
        <v>#DIV/0!</v>
      </c>
      <c r="G2" s="15">
        <f>+Abfrage!G68</f>
        <v>0.6873009410661601</v>
      </c>
    </row>
    <row r="3" spans="1:7" ht="12.75">
      <c r="A3" t="s">
        <v>59</v>
      </c>
      <c r="B3" s="15">
        <f>+'2000'!CJ35</f>
        <v>1.0017993734820543</v>
      </c>
      <c r="C3" s="15">
        <f>+'2001'!CJ35</f>
        <v>0.6254079441928967</v>
      </c>
      <c r="D3" s="15">
        <f>+'2002'!CJ35</f>
        <v>0.3838362502488612</v>
      </c>
      <c r="E3" s="15">
        <f>+'2003'!CJ35</f>
        <v>1.1995346887661216</v>
      </c>
      <c r="F3" s="15" t="e">
        <f>+'2004'!CJ35</f>
        <v>#NUM!</v>
      </c>
      <c r="G3" s="18">
        <f>AVERAGE(B3:D3)</f>
        <v>0.6703478559746041</v>
      </c>
    </row>
    <row r="5" spans="2:7" ht="12.75">
      <c r="B5">
        <f>+Abfrage!B61</f>
        <v>2000</v>
      </c>
      <c r="C5">
        <f>+Abfrage!C61</f>
        <v>2001</v>
      </c>
      <c r="D5">
        <f>+Abfrage!D61</f>
        <v>2002</v>
      </c>
      <c r="E5">
        <f>+Abfrage!E61</f>
        <v>2003</v>
      </c>
      <c r="F5">
        <f>+Abfrage!F61</f>
        <v>2004</v>
      </c>
      <c r="G5" t="str">
        <f>+Abfrage!G61</f>
        <v>Mittelwert</v>
      </c>
    </row>
    <row r="6" spans="1:7" ht="12.75">
      <c r="A6" t="s">
        <v>40</v>
      </c>
      <c r="B6" s="15">
        <f>+Abfrage!B70</f>
        <v>0.1625351407483537</v>
      </c>
      <c r="C6" s="15">
        <f>+Abfrage!C70</f>
        <v>0.09875944902389082</v>
      </c>
      <c r="D6" s="15">
        <f>+Abfrage!D70</f>
        <v>0.13317194008014116</v>
      </c>
      <c r="E6" s="15">
        <f>+Abfrage!E70</f>
        <v>0.10689148144076754</v>
      </c>
      <c r="F6" s="15" t="e">
        <f>+Abfrage!F70</f>
        <v>#DIV/0!</v>
      </c>
      <c r="G6" s="15">
        <f>+Abfrage!G70</f>
        <v>0.12533950282328832</v>
      </c>
    </row>
    <row r="7" spans="1:7" ht="12.75">
      <c r="A7" t="s">
        <v>59</v>
      </c>
      <c r="B7" s="15">
        <f>+'2000'!CL35</f>
        <v>0.13667491700616116</v>
      </c>
      <c r="C7" s="15">
        <f>+'2001'!CL35</f>
        <v>0.08960852660438928</v>
      </c>
      <c r="D7" s="15">
        <f>+'2002'!CL35</f>
        <v>0.08199608635176699</v>
      </c>
      <c r="E7" s="15">
        <f>+'2003'!CL35</f>
        <v>0.1271930450553534</v>
      </c>
      <c r="F7" s="15" t="e">
        <f>+'2004'!CL35</f>
        <v>#NUM!</v>
      </c>
      <c r="G7" s="15">
        <f>AVERAGE(B7:D7)</f>
        <v>0.10275984332077248</v>
      </c>
    </row>
    <row r="9" spans="2:7" ht="12.75">
      <c r="B9">
        <f>+Abfrage!B61</f>
        <v>2000</v>
      </c>
      <c r="C9">
        <f>+Abfrage!C61</f>
        <v>2001</v>
      </c>
      <c r="D9">
        <f>+Abfrage!D61</f>
        <v>2002</v>
      </c>
      <c r="E9">
        <f>+Abfrage!E61</f>
        <v>2003</v>
      </c>
      <c r="F9">
        <f>+Abfrage!F61</f>
        <v>2004</v>
      </c>
      <c r="G9" t="str">
        <f>+Abfrage!G61</f>
        <v>Mittelwert</v>
      </c>
    </row>
    <row r="10" spans="1:7" ht="12.75">
      <c r="A10" t="s">
        <v>41</v>
      </c>
      <c r="B10" s="15">
        <f>+Abfrage!B72</f>
        <v>0.005728304559324711</v>
      </c>
      <c r="C10" s="15">
        <f>+Abfrage!C72</f>
        <v>9.801496233291064E-05</v>
      </c>
      <c r="D10" s="15">
        <f>+Abfrage!D72</f>
        <v>-0.029721363291585434</v>
      </c>
      <c r="E10" s="15">
        <f>+Abfrage!E72</f>
        <v>-0.02942775051392219</v>
      </c>
      <c r="F10" s="15" t="e">
        <f>+Abfrage!F72</f>
        <v>#DIV/0!</v>
      </c>
      <c r="G10" s="15">
        <f>+Abfrage!G72</f>
        <v>-0.013330698570962501</v>
      </c>
    </row>
    <row r="11" spans="1:7" ht="12.75">
      <c r="A11" t="s">
        <v>59</v>
      </c>
      <c r="B11" s="15">
        <f>+'2000'!CN35</f>
        <v>-0.007838181608496425</v>
      </c>
      <c r="C11" s="15">
        <f>+'2001'!CN35</f>
        <v>-0.016621539474643704</v>
      </c>
      <c r="D11" s="15">
        <f>+'2002'!CN35</f>
        <v>-0.008482757173851599</v>
      </c>
      <c r="E11" s="15">
        <f>+'2003'!CN35</f>
        <v>-0.013002333163089075</v>
      </c>
      <c r="F11" s="15" t="e">
        <f>+'2004'!CN35</f>
        <v>#NUM!</v>
      </c>
      <c r="G11" s="15">
        <f>AVERAGE(B11:D11)</f>
        <v>-0.01098082608566391</v>
      </c>
    </row>
    <row r="13" spans="2:7" ht="12.75">
      <c r="B13">
        <f>+Abfrage!B61</f>
        <v>2000</v>
      </c>
      <c r="C13">
        <f>+Abfrage!C61</f>
        <v>2001</v>
      </c>
      <c r="D13">
        <f>+Abfrage!D61</f>
        <v>2002</v>
      </c>
      <c r="E13">
        <f>+Abfrage!E61</f>
        <v>2003</v>
      </c>
      <c r="F13">
        <f>+Abfrage!F61</f>
        <v>2004</v>
      </c>
      <c r="G13" t="str">
        <f>+Abfrage!G61</f>
        <v>Mittelwert</v>
      </c>
    </row>
    <row r="14" spans="1:7" ht="12.75">
      <c r="A14" t="s">
        <v>42</v>
      </c>
      <c r="B14" s="15">
        <f>+Abfrage!B73</f>
        <v>0.08842103022797033</v>
      </c>
      <c r="C14" s="15">
        <f>+Abfrage!C73</f>
        <v>0.09727144795692107</v>
      </c>
      <c r="D14" s="15">
        <f>+Abfrage!D73</f>
        <v>0.10496890789843248</v>
      </c>
      <c r="E14" s="15">
        <f>+Abfrage!E73</f>
        <v>0.06688549811280542</v>
      </c>
      <c r="F14" s="15" t="e">
        <f>+Abfrage!F73</f>
        <v>#DIV/0!</v>
      </c>
      <c r="G14" s="15">
        <f>+Abfrage!G73</f>
        <v>0.08938672104903232</v>
      </c>
    </row>
    <row r="15" spans="1:7" ht="12.75">
      <c r="A15" t="s">
        <v>59</v>
      </c>
      <c r="B15" s="15">
        <f>+'2000'!CO35</f>
        <v>0.05707346105992907</v>
      </c>
      <c r="C15" s="15">
        <f>+'2001'!CO35</f>
        <v>0.048827095869965594</v>
      </c>
      <c r="D15" s="15">
        <f>+'2002'!CO35</f>
        <v>0.050690321427819776</v>
      </c>
      <c r="E15" s="15">
        <f>+'2003'!CO35</f>
        <v>0.03587671149611307</v>
      </c>
      <c r="F15" s="15" t="e">
        <f>+'2004'!CO35</f>
        <v>#NUM!</v>
      </c>
      <c r="G15" s="15">
        <f>AVERAGE(B15:D15)</f>
        <v>0.05219695945257149</v>
      </c>
    </row>
    <row r="17" spans="2:7" ht="12.75">
      <c r="B17">
        <f>+Abfrage!B61</f>
        <v>2000</v>
      </c>
      <c r="C17">
        <f>+Abfrage!C61</f>
        <v>2001</v>
      </c>
      <c r="D17">
        <f>+Abfrage!D61</f>
        <v>2002</v>
      </c>
      <c r="E17">
        <f>+Abfrage!E61</f>
        <v>2003</v>
      </c>
      <c r="F17">
        <f>+Abfrage!F61</f>
        <v>2004</v>
      </c>
      <c r="G17" t="str">
        <f>+Abfrage!G61</f>
        <v>Mittelwert</v>
      </c>
    </row>
    <row r="18" spans="1:7" ht="12.75">
      <c r="A18" t="s">
        <v>60</v>
      </c>
      <c r="B18" s="19">
        <f>Abfrage!B64/1000</f>
        <v>16158.804789999998</v>
      </c>
      <c r="C18" s="19">
        <f>Abfrage!C64/1000</f>
        <v>17425.780689999996</v>
      </c>
      <c r="D18" s="19">
        <f>Abfrage!D64/1000</f>
        <v>18827.65557</v>
      </c>
      <c r="E18" s="19">
        <f>Abfrage!E64/1000</f>
        <v>15260.40349</v>
      </c>
      <c r="F18" s="19">
        <f>Abfrage!F64/1000</f>
        <v>0</v>
      </c>
      <c r="G18" s="19">
        <f>Abfrage!G64/1000</f>
        <v>16918.161135</v>
      </c>
    </row>
    <row r="19" spans="1:7" ht="12.75">
      <c r="A19" t="s">
        <v>61</v>
      </c>
      <c r="B19" s="19">
        <f>Abfrage!B37/1000</f>
        <v>-1021.3393699999862</v>
      </c>
      <c r="C19" s="19">
        <f>Abfrage!C37/1000</f>
        <v>-8342.245569999992</v>
      </c>
      <c r="D19" s="19">
        <f>Abfrage!D37/1000</f>
        <v>-6723.588170000025</v>
      </c>
      <c r="E19" s="19">
        <f>Abfrage!E37/1000</f>
        <v>-5367.807739999997</v>
      </c>
      <c r="F19" s="19">
        <f>Abfrage!F37/1000</f>
        <v>0</v>
      </c>
      <c r="G19" s="19">
        <f>Abfrage!G37/1000</f>
        <v>-5363.7452125</v>
      </c>
    </row>
    <row r="21" spans="2:6" ht="12.75">
      <c r="B21">
        <f>+Abfrage!B61</f>
        <v>2000</v>
      </c>
      <c r="C21">
        <f>+Abfrage!C61</f>
        <v>2001</v>
      </c>
      <c r="D21">
        <f>+Abfrage!D61</f>
        <v>2002</v>
      </c>
      <c r="E21">
        <f>+Abfrage!E61</f>
        <v>2003</v>
      </c>
      <c r="F21">
        <f>+Abfrage!F61</f>
        <v>2004</v>
      </c>
    </row>
    <row r="22" spans="1:7" ht="12.75">
      <c r="A22" t="s">
        <v>214</v>
      </c>
      <c r="B22" s="19">
        <f>+Abfrage!B15/1000</f>
        <v>22310.77874999994</v>
      </c>
      <c r="C22" s="19">
        <f>+Abfrage!C15/1000</f>
        <v>16755.139340000005</v>
      </c>
      <c r="D22" s="19">
        <f>+Abfrage!D15/1000</f>
        <v>11458.521530000016</v>
      </c>
      <c r="E22" s="19">
        <f>+Abfrage!E15/1000</f>
        <v>1031.5400300000013</v>
      </c>
      <c r="F22" s="19">
        <f>+Abfrage!F15/1000</f>
        <v>0</v>
      </c>
      <c r="G22" s="19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1"/>
  <dimension ref="A1:DN65"/>
  <sheetViews>
    <sheetView workbookViewId="0" topLeftCell="A1">
      <pane xSplit="6" ySplit="2" topLeftCell="CD45" activePane="bottomRight" state="frozen"/>
      <selection pane="topLeft" activeCell="N5" sqref="N5"/>
      <selection pane="topRight" activeCell="N5" sqref="N5"/>
      <selection pane="bottomLeft" activeCell="N5" sqref="N5"/>
      <selection pane="bottomRight" activeCell="CD60" sqref="CD60:CD65"/>
    </sheetView>
  </sheetViews>
  <sheetFormatPr defaultColWidth="11.421875" defaultRowHeight="12.75"/>
  <cols>
    <col min="1" max="1" width="14.140625" style="3" customWidth="1"/>
    <col min="2" max="2" width="9.7109375" style="3" customWidth="1"/>
    <col min="3" max="3" width="13.140625" style="3" customWidth="1"/>
    <col min="4" max="4" width="10.140625" style="3" customWidth="1"/>
    <col min="5" max="5" width="9.7109375" style="3" customWidth="1"/>
    <col min="6" max="6" width="8.28125" style="3" customWidth="1"/>
    <col min="7" max="39" width="12.140625" style="0" customWidth="1"/>
    <col min="40" max="40" width="12.57421875" style="0" bestFit="1" customWidth="1"/>
    <col min="41" max="51" width="12.57421875" style="0" customWidth="1"/>
    <col min="52" max="71" width="11.28125" style="0" customWidth="1"/>
    <col min="72" max="81" width="12.28125" style="0" customWidth="1"/>
    <col min="82" max="82" width="13.8515625" style="0" customWidth="1"/>
    <col min="83" max="83" width="14.140625" style="0" customWidth="1"/>
    <col min="84" max="84" width="13.7109375" style="0" customWidth="1"/>
    <col min="85" max="85" width="12.57421875" style="0" customWidth="1"/>
    <col min="86" max="86" width="13.421875" style="0" customWidth="1"/>
    <col min="87" max="88" width="13.140625" style="0" bestFit="1" customWidth="1"/>
    <col min="89" max="89" width="13.140625" style="0" customWidth="1"/>
    <col min="90" max="90" width="12.421875" style="0" bestFit="1" customWidth="1"/>
    <col min="91" max="96" width="12.421875" style="0" customWidth="1"/>
    <col min="97" max="97" width="14.28125" style="0" customWidth="1"/>
    <col min="98" max="115" width="12.421875" style="0" customWidth="1"/>
    <col min="116" max="116" width="11.57421875" style="0" bestFit="1" customWidth="1"/>
  </cols>
  <sheetData>
    <row r="1" spans="1:118" s="2" customFormat="1" ht="15.75" customHeight="1" thickBot="1">
      <c r="A1" s="48"/>
      <c r="B1" s="23" t="s">
        <v>71</v>
      </c>
      <c r="C1" s="23"/>
      <c r="D1" s="23"/>
      <c r="E1" s="23"/>
      <c r="F1" s="55"/>
      <c r="G1" s="21" t="s">
        <v>62</v>
      </c>
      <c r="H1" s="21"/>
      <c r="I1" s="21"/>
      <c r="J1" s="21"/>
      <c r="K1" s="21"/>
      <c r="L1" s="21"/>
      <c r="M1" s="21" t="s">
        <v>67</v>
      </c>
      <c r="N1" s="21"/>
      <c r="O1" s="21"/>
      <c r="P1" s="21"/>
      <c r="Q1" s="21"/>
      <c r="R1" s="21"/>
      <c r="S1" s="21" t="s">
        <v>67</v>
      </c>
      <c r="T1" s="21"/>
      <c r="U1" s="21"/>
      <c r="V1" s="21"/>
      <c r="W1" s="21"/>
      <c r="X1" s="21"/>
      <c r="Y1" s="21" t="s">
        <v>67</v>
      </c>
      <c r="Z1" s="21"/>
      <c r="AA1" s="21"/>
      <c r="AB1" s="21"/>
      <c r="AC1" s="21"/>
      <c r="AD1" s="21"/>
      <c r="AE1" s="21"/>
      <c r="AF1" s="21" t="s">
        <v>67</v>
      </c>
      <c r="AG1" s="21"/>
      <c r="AH1" s="21"/>
      <c r="AI1" s="21"/>
      <c r="AJ1" s="21"/>
      <c r="AK1" s="21"/>
      <c r="AL1" s="21" t="s">
        <v>67</v>
      </c>
      <c r="AM1" s="21"/>
      <c r="AN1" s="21"/>
      <c r="AO1" s="21"/>
      <c r="AP1" s="21"/>
      <c r="AQ1" s="21" t="s">
        <v>67</v>
      </c>
      <c r="AR1" s="21"/>
      <c r="AS1" s="21"/>
      <c r="AT1" s="21"/>
      <c r="AU1" s="21"/>
      <c r="AV1" s="21" t="s">
        <v>67</v>
      </c>
      <c r="AW1" s="21"/>
      <c r="AX1" s="21"/>
      <c r="AY1" s="21"/>
      <c r="AZ1" s="21" t="s">
        <v>63</v>
      </c>
      <c r="BA1" s="21"/>
      <c r="BB1" s="21"/>
      <c r="BC1" s="21"/>
      <c r="BD1" s="21"/>
      <c r="BE1" s="21"/>
      <c r="BF1" s="21" t="s">
        <v>138</v>
      </c>
      <c r="BG1" s="21"/>
      <c r="BH1" s="21"/>
      <c r="BI1" s="21"/>
      <c r="BJ1" s="21"/>
      <c r="BK1" s="21"/>
      <c r="BL1" s="21" t="s">
        <v>138</v>
      </c>
      <c r="BM1" s="21"/>
      <c r="BN1" s="21"/>
      <c r="BO1" s="21"/>
      <c r="BP1" s="21"/>
      <c r="BQ1" s="21" t="s">
        <v>138</v>
      </c>
      <c r="BS1" s="21"/>
      <c r="BT1" s="58" t="s">
        <v>64</v>
      </c>
      <c r="BU1" s="21"/>
      <c r="BV1" s="21"/>
      <c r="BW1" s="21"/>
      <c r="BX1" s="21"/>
      <c r="BY1" s="21"/>
      <c r="BZ1" s="21"/>
      <c r="CA1" s="21"/>
      <c r="CB1" s="21"/>
      <c r="CC1" s="21"/>
      <c r="CD1" s="58" t="s">
        <v>65</v>
      </c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2"/>
    </row>
    <row r="2" spans="1:118" s="1" customFormat="1" ht="89.25" customHeight="1">
      <c r="A2" s="49"/>
      <c r="B2" s="45" t="s">
        <v>73</v>
      </c>
      <c r="C2" s="20" t="s">
        <v>37</v>
      </c>
      <c r="D2" s="56" t="s">
        <v>68</v>
      </c>
      <c r="E2" s="20" t="s">
        <v>52</v>
      </c>
      <c r="F2" s="135" t="s">
        <v>212</v>
      </c>
      <c r="G2" s="130" t="s">
        <v>76</v>
      </c>
      <c r="H2" s="54" t="s">
        <v>77</v>
      </c>
      <c r="I2" s="54" t="s">
        <v>78</v>
      </c>
      <c r="J2" s="54" t="s">
        <v>79</v>
      </c>
      <c r="K2" s="54" t="s">
        <v>80</v>
      </c>
      <c r="L2" s="54" t="s">
        <v>81</v>
      </c>
      <c r="M2" s="54" t="s">
        <v>82</v>
      </c>
      <c r="N2" s="54" t="s">
        <v>83</v>
      </c>
      <c r="O2" s="54" t="s">
        <v>84</v>
      </c>
      <c r="P2" s="54" t="s">
        <v>85</v>
      </c>
      <c r="Q2" s="54" t="s">
        <v>86</v>
      </c>
      <c r="R2" s="54" t="s">
        <v>87</v>
      </c>
      <c r="S2" s="54" t="s">
        <v>88</v>
      </c>
      <c r="T2" s="54" t="s">
        <v>89</v>
      </c>
      <c r="U2" s="54" t="s">
        <v>90</v>
      </c>
      <c r="V2" s="54" t="s">
        <v>91</v>
      </c>
      <c r="W2" s="54" t="s">
        <v>92</v>
      </c>
      <c r="X2" s="54" t="s">
        <v>93</v>
      </c>
      <c r="Y2" s="54" t="s">
        <v>94</v>
      </c>
      <c r="Z2" s="54" t="s">
        <v>95</v>
      </c>
      <c r="AA2" s="54" t="s">
        <v>96</v>
      </c>
      <c r="AB2" s="54" t="s">
        <v>97</v>
      </c>
      <c r="AC2" s="54" t="s">
        <v>215</v>
      </c>
      <c r="AD2" s="54" t="s">
        <v>98</v>
      </c>
      <c r="AE2" s="54" t="s">
        <v>99</v>
      </c>
      <c r="AF2" s="54" t="s">
        <v>100</v>
      </c>
      <c r="AG2" s="54" t="s">
        <v>101</v>
      </c>
      <c r="AH2" s="54" t="s">
        <v>102</v>
      </c>
      <c r="AI2" s="54" t="s">
        <v>103</v>
      </c>
      <c r="AJ2" s="54" t="s">
        <v>104</v>
      </c>
      <c r="AK2" s="54" t="s">
        <v>105</v>
      </c>
      <c r="AL2" s="54" t="s">
        <v>106</v>
      </c>
      <c r="AM2" s="54" t="s">
        <v>107</v>
      </c>
      <c r="AN2" s="36" t="s">
        <v>108</v>
      </c>
      <c r="AO2" s="36" t="s">
        <v>109</v>
      </c>
      <c r="AP2" s="36" t="s">
        <v>110</v>
      </c>
      <c r="AQ2" s="36" t="s">
        <v>111</v>
      </c>
      <c r="AR2" s="36" t="s">
        <v>112</v>
      </c>
      <c r="AS2" s="36" t="s">
        <v>113</v>
      </c>
      <c r="AT2" s="36" t="s">
        <v>114</v>
      </c>
      <c r="AU2" s="36" t="s">
        <v>115</v>
      </c>
      <c r="AV2" s="36" t="s">
        <v>116</v>
      </c>
      <c r="AW2" s="36" t="s">
        <v>117</v>
      </c>
      <c r="AX2" s="36" t="s">
        <v>118</v>
      </c>
      <c r="AY2" s="54" t="s">
        <v>139</v>
      </c>
      <c r="AZ2" s="54" t="s">
        <v>119</v>
      </c>
      <c r="BA2" s="54" t="s">
        <v>120</v>
      </c>
      <c r="BB2" s="54" t="s">
        <v>121</v>
      </c>
      <c r="BC2" s="54" t="s">
        <v>122</v>
      </c>
      <c r="BD2" s="54" t="s">
        <v>123</v>
      </c>
      <c r="BE2" s="54" t="s">
        <v>124</v>
      </c>
      <c r="BF2" s="54" t="s">
        <v>125</v>
      </c>
      <c r="BG2" s="54" t="s">
        <v>126</v>
      </c>
      <c r="BH2" s="54" t="s">
        <v>127</v>
      </c>
      <c r="BI2" s="54" t="s">
        <v>128</v>
      </c>
      <c r="BJ2" s="54" t="s">
        <v>129</v>
      </c>
      <c r="BK2" s="54" t="s">
        <v>130</v>
      </c>
      <c r="BL2" s="54" t="s">
        <v>132</v>
      </c>
      <c r="BM2" s="54" t="s">
        <v>131</v>
      </c>
      <c r="BN2" s="54" t="s">
        <v>133</v>
      </c>
      <c r="BO2" s="54" t="s">
        <v>134</v>
      </c>
      <c r="BP2" s="54" t="s">
        <v>135</v>
      </c>
      <c r="BQ2" s="54" t="s">
        <v>136</v>
      </c>
      <c r="BR2" s="54" t="s">
        <v>137</v>
      </c>
      <c r="BS2" s="54" t="s">
        <v>118</v>
      </c>
      <c r="BT2" s="36" t="s">
        <v>140</v>
      </c>
      <c r="BU2" s="36" t="s">
        <v>141</v>
      </c>
      <c r="BV2" s="36" t="s">
        <v>146</v>
      </c>
      <c r="BW2" s="36" t="s">
        <v>142</v>
      </c>
      <c r="BX2" s="36" t="s">
        <v>143</v>
      </c>
      <c r="BY2" s="36" t="s">
        <v>144</v>
      </c>
      <c r="BZ2" s="36" t="s">
        <v>145</v>
      </c>
      <c r="CA2" s="36" t="s">
        <v>147</v>
      </c>
      <c r="CB2" s="36" t="s">
        <v>148</v>
      </c>
      <c r="CC2" s="36" t="s">
        <v>118</v>
      </c>
      <c r="CD2" s="131" t="s">
        <v>149</v>
      </c>
      <c r="CE2" s="131" t="s">
        <v>150</v>
      </c>
      <c r="CF2" s="131" t="s">
        <v>60</v>
      </c>
      <c r="CG2" s="131" t="s">
        <v>151</v>
      </c>
      <c r="CH2" s="131" t="s">
        <v>152</v>
      </c>
      <c r="CI2" s="131" t="s">
        <v>153</v>
      </c>
      <c r="CJ2" s="131" t="s">
        <v>46</v>
      </c>
      <c r="CK2" s="131" t="s">
        <v>249</v>
      </c>
      <c r="CL2" s="131" t="s">
        <v>45</v>
      </c>
      <c r="CM2" s="131" t="s">
        <v>69</v>
      </c>
      <c r="CN2" s="131" t="s">
        <v>43</v>
      </c>
      <c r="CO2" s="131" t="s">
        <v>44</v>
      </c>
      <c r="CP2" s="131" t="s">
        <v>154</v>
      </c>
      <c r="CQ2" s="131" t="s">
        <v>156</v>
      </c>
      <c r="CR2" s="131" t="s">
        <v>155</v>
      </c>
      <c r="CS2" s="131" t="s">
        <v>161</v>
      </c>
      <c r="CT2" s="131" t="s">
        <v>164</v>
      </c>
      <c r="CU2" s="131" t="s">
        <v>165</v>
      </c>
      <c r="CV2" s="131" t="s">
        <v>163</v>
      </c>
      <c r="CW2" s="131" t="s">
        <v>167</v>
      </c>
      <c r="CX2" s="131" t="s">
        <v>149</v>
      </c>
      <c r="CY2" s="131" t="s">
        <v>168</v>
      </c>
      <c r="CZ2" s="131" t="s">
        <v>173</v>
      </c>
      <c r="DA2" s="131" t="s">
        <v>178</v>
      </c>
      <c r="DB2" s="131" t="s">
        <v>179</v>
      </c>
      <c r="DC2" s="131" t="s">
        <v>181</v>
      </c>
      <c r="DD2" s="131" t="s">
        <v>184</v>
      </c>
      <c r="DE2" s="131" t="s">
        <v>190</v>
      </c>
      <c r="DF2" s="131" t="s">
        <v>198</v>
      </c>
      <c r="DG2" s="131" t="s">
        <v>194</v>
      </c>
      <c r="DH2" s="131" t="s">
        <v>195</v>
      </c>
      <c r="DI2" s="131" t="s">
        <v>196</v>
      </c>
      <c r="DJ2" s="131" t="s">
        <v>199</v>
      </c>
      <c r="DK2" s="131" t="s">
        <v>250</v>
      </c>
      <c r="DL2" s="131"/>
      <c r="DM2" s="131"/>
      <c r="DN2" s="138"/>
    </row>
    <row r="3" spans="1:118" s="5" customFormat="1" ht="12.75" customHeight="1">
      <c r="A3" s="50" t="s">
        <v>38</v>
      </c>
      <c r="B3" s="41">
        <v>167</v>
      </c>
      <c r="C3" s="6">
        <v>349229</v>
      </c>
      <c r="D3" s="63">
        <v>2091.19</v>
      </c>
      <c r="E3" s="63">
        <v>60.65</v>
      </c>
      <c r="F3" s="127">
        <v>8</v>
      </c>
      <c r="G3" s="133">
        <v>129181.45</v>
      </c>
      <c r="H3" s="43">
        <v>89636.3</v>
      </c>
      <c r="I3" s="43">
        <v>14812.5</v>
      </c>
      <c r="J3" s="43">
        <v>0</v>
      </c>
      <c r="K3" s="43">
        <v>96687.65</v>
      </c>
      <c r="L3" s="43">
        <v>222105.35</v>
      </c>
      <c r="M3" s="43">
        <f aca="true" t="shared" si="0" ref="M3:M31">SUM(K3:L3)</f>
        <v>318793</v>
      </c>
      <c r="N3" s="43">
        <v>500</v>
      </c>
      <c r="O3" s="43">
        <v>42062.4</v>
      </c>
      <c r="P3" s="43">
        <v>64415.05</v>
      </c>
      <c r="Q3" s="43">
        <v>1765.7</v>
      </c>
      <c r="R3" s="43">
        <v>16677.6</v>
      </c>
      <c r="S3" s="43">
        <v>0</v>
      </c>
      <c r="T3" s="43">
        <v>0</v>
      </c>
      <c r="U3" s="43">
        <v>0</v>
      </c>
      <c r="V3" s="43">
        <v>0</v>
      </c>
      <c r="W3" s="43">
        <f aca="true" t="shared" si="1" ref="W3:W14">SUM(R3:V3)</f>
        <v>16677.6</v>
      </c>
      <c r="X3" s="43">
        <v>63361.9</v>
      </c>
      <c r="Y3" s="43">
        <f aca="true" t="shared" si="2" ref="Y3:Y14">SUM(G3:X3)-M3-W3</f>
        <v>741205.9</v>
      </c>
      <c r="Z3" s="43">
        <v>141683.05</v>
      </c>
      <c r="AA3" s="43">
        <v>857.05</v>
      </c>
      <c r="AB3" s="43">
        <v>0</v>
      </c>
      <c r="AC3" s="43">
        <v>0</v>
      </c>
      <c r="AD3" s="43">
        <v>6768.5</v>
      </c>
      <c r="AE3" s="43">
        <f aca="true" t="shared" si="3" ref="AE3:AE14">SUM(Z3:AD3)</f>
        <v>149308.59999999998</v>
      </c>
      <c r="AF3" s="43">
        <v>47.1</v>
      </c>
      <c r="AG3" s="43">
        <v>20855.9</v>
      </c>
      <c r="AH3" s="43">
        <v>0</v>
      </c>
      <c r="AI3" s="43">
        <v>79988.65</v>
      </c>
      <c r="AJ3" s="43">
        <v>364499.35</v>
      </c>
      <c r="AK3" s="43">
        <v>24354.5</v>
      </c>
      <c r="AL3" s="43">
        <v>199294.65</v>
      </c>
      <c r="AM3" s="43">
        <v>1129.05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f aca="true" t="shared" si="4" ref="AS3:AS14">SUM(AN3:AR3)</f>
        <v>0</v>
      </c>
      <c r="AT3" s="4">
        <v>63763.3</v>
      </c>
      <c r="AU3" s="4">
        <f aca="true" t="shared" si="5" ref="AU3:AU14">SUM(Z3:AT3)-AE3-AH3-AS3</f>
        <v>903241.1</v>
      </c>
      <c r="AV3" s="4">
        <v>162035.2</v>
      </c>
      <c r="AW3" s="4">
        <v>0</v>
      </c>
      <c r="AX3" s="4">
        <f aca="true" t="shared" si="6" ref="AX3:AX14">Y3-AU3+AV3-AW3</f>
        <v>5.820766091346741E-11</v>
      </c>
      <c r="AY3" s="43">
        <v>0</v>
      </c>
      <c r="AZ3" s="43">
        <v>180565.65</v>
      </c>
      <c r="BA3" s="43">
        <v>0</v>
      </c>
      <c r="BB3" s="43">
        <v>0</v>
      </c>
      <c r="BC3" s="43">
        <v>0</v>
      </c>
      <c r="BD3" s="43">
        <v>0</v>
      </c>
      <c r="BE3" s="43">
        <v>0</v>
      </c>
      <c r="BF3" s="43">
        <f aca="true" t="shared" si="7" ref="BF3:BF14">SUM(AZ3:BE3)</f>
        <v>180565.65</v>
      </c>
      <c r="BG3" s="43">
        <v>0</v>
      </c>
      <c r="BH3" s="43">
        <v>0</v>
      </c>
      <c r="BI3" s="43">
        <v>0</v>
      </c>
      <c r="BJ3" s="43">
        <v>0</v>
      </c>
      <c r="BK3" s="43">
        <v>0</v>
      </c>
      <c r="BL3" s="43">
        <v>0</v>
      </c>
      <c r="BM3" s="43">
        <v>27969.65</v>
      </c>
      <c r="BN3" s="43">
        <v>0</v>
      </c>
      <c r="BO3" s="43">
        <f aca="true" t="shared" si="8" ref="BO3:BO14">SUM(BG3:BN3)</f>
        <v>27969.65</v>
      </c>
      <c r="BP3" s="43">
        <v>27969.65</v>
      </c>
      <c r="BQ3" s="43">
        <v>0</v>
      </c>
      <c r="BR3" s="43">
        <v>180565.65</v>
      </c>
      <c r="BS3" s="43">
        <f aca="true" t="shared" si="9" ref="BS3:BS14">+BF3-BO3+BP3+BQ3-BR3</f>
        <v>0</v>
      </c>
      <c r="BT3" s="4">
        <v>1024617.05</v>
      </c>
      <c r="BU3" s="4">
        <v>27614</v>
      </c>
      <c r="BV3" s="4">
        <v>4000</v>
      </c>
      <c r="BW3" s="4">
        <v>0</v>
      </c>
      <c r="BX3" s="4">
        <f aca="true" t="shared" si="10" ref="BX3:BX14">SUM(BT3:BW3)</f>
        <v>1056231.05</v>
      </c>
      <c r="BY3" s="4">
        <v>717619.95</v>
      </c>
      <c r="BZ3" s="4">
        <v>55221.5</v>
      </c>
      <c r="CA3" s="4">
        <v>283389.6</v>
      </c>
      <c r="CB3" s="4">
        <f aca="true" t="shared" si="11" ref="CB3:CB14">SUM(BY3:CA3)</f>
        <v>1056231.0499999998</v>
      </c>
      <c r="CC3" s="4">
        <f aca="true" t="shared" si="12" ref="CC3:CC14">BX3-CB3</f>
        <v>0</v>
      </c>
      <c r="CD3" s="74">
        <f aca="true" t="shared" si="13" ref="CD3:CD14">K3+L3+AV3-AW3</f>
        <v>480828.2</v>
      </c>
      <c r="CE3" s="76">
        <f aca="true" t="shared" si="14" ref="CE3:CE14">CD3+W3-AS3</f>
        <v>497505.8</v>
      </c>
      <c r="CF3" s="76">
        <f aca="true" t="shared" si="15" ref="CF3:CF14">BR3-BP3</f>
        <v>152596</v>
      </c>
      <c r="CG3" s="76">
        <f aca="true" t="shared" si="16" ref="CG3:CG10">AU3-AM3-AT3-AS3</f>
        <v>838348.7499999999</v>
      </c>
      <c r="CH3" s="76">
        <f aca="true" t="shared" si="17" ref="CH3:CH14">I3-AG3+AY3+AH3+BQ3</f>
        <v>-6043.4000000000015</v>
      </c>
      <c r="CI3" s="37">
        <f aca="true" t="shared" si="18" ref="CI3:CI14">CH3+K3</f>
        <v>90644.25</v>
      </c>
      <c r="CJ3" s="59">
        <f>IF(CF3=0,"-",(CD3/CF3))</f>
        <v>3.150988230359905</v>
      </c>
      <c r="CK3" s="59">
        <f>IF(CF3=0,"-",(CE3/CF3))</f>
        <v>3.260280741303835</v>
      </c>
      <c r="CL3" s="141">
        <f>IF(CG3=0,"-",(CD3/CG3*1))</f>
        <v>0.5735419776077677</v>
      </c>
      <c r="CM3" s="141">
        <f>IF(CE3=0,"-",(CE3/CG3))</f>
        <v>0.5934353692302876</v>
      </c>
      <c r="CN3" s="141">
        <f>IF(CG3=0,"-",(CH3/CG3))</f>
        <v>-0.007208694472318354</v>
      </c>
      <c r="CO3" s="141">
        <f>IF(CG3=0,"-",(CI3/CG3))</f>
        <v>0.10812236554297959</v>
      </c>
      <c r="CP3" s="141">
        <f>IF(BU3+K3+L3=0,"-",((K3+L3)/(BU3+K3+L3)))</f>
        <v>0.920284520809337</v>
      </c>
      <c r="CQ3" s="141">
        <f>IF(BU3+K3+L3=0,"-",((K3)/(BU3+K3+L3)))</f>
        <v>0.2791157511251216</v>
      </c>
      <c r="CR3" s="142">
        <f>IF(CE3=0,"-",(CS3/CE3))</f>
        <v>0.6170724039800141</v>
      </c>
      <c r="CS3" s="76">
        <f>BT3-BY3</f>
        <v>306997.1000000001</v>
      </c>
      <c r="CT3" s="80">
        <f>Y3-K3-L3-V3</f>
        <v>422412.9</v>
      </c>
      <c r="CU3" s="80">
        <f aca="true" t="shared" si="19" ref="CU3:CU14">AU3-AR3</f>
        <v>903241.1</v>
      </c>
      <c r="CV3" s="80">
        <f aca="true" t="shared" si="20" ref="CV3:CV14">CU3-CT3</f>
        <v>480828.19999999995</v>
      </c>
      <c r="CW3" s="80">
        <f aca="true" t="shared" si="21" ref="CW3:CW14">-V3+AR3</f>
        <v>0</v>
      </c>
      <c r="CX3" s="80">
        <f aca="true" t="shared" si="22" ref="CX3:CX14">CV3+CW3</f>
        <v>480828.19999999995</v>
      </c>
      <c r="CY3" s="80">
        <f aca="true" t="shared" si="23" ref="CY3:CY14">CX3-K3-L3</f>
        <v>162035.19999999992</v>
      </c>
      <c r="CZ3" s="80">
        <f aca="true" t="shared" si="24" ref="CZ3:CZ14">BR3-BP3</f>
        <v>152596</v>
      </c>
      <c r="DA3" s="80">
        <f aca="true" t="shared" si="25" ref="DA3:DA14">K3+L3</f>
        <v>318793</v>
      </c>
      <c r="DB3" s="80">
        <f aca="true" t="shared" si="26" ref="DB3:DB14">-CZ3+DA3+CY3</f>
        <v>328232.19999999995</v>
      </c>
      <c r="DC3" s="80">
        <f aca="true" t="shared" si="27" ref="DC3:DC14">-BP3-DA3</f>
        <v>-346762.65</v>
      </c>
      <c r="DD3" s="80">
        <f aca="true" t="shared" si="28" ref="DD3:DD14">DB3+DC3+BR3</f>
        <v>162035.19999999992</v>
      </c>
      <c r="DE3" s="80">
        <f aca="true" t="shared" si="29" ref="DE3:DE14">Z3+AA3+AB3</f>
        <v>142540.09999999998</v>
      </c>
      <c r="DF3" s="80">
        <f aca="true" t="shared" si="30" ref="DF3:DF14">CS3/B3</f>
        <v>1838.3059880239528</v>
      </c>
      <c r="DG3" s="80">
        <f aca="true" t="shared" si="31" ref="DG3:DG14">CH3/B3</f>
        <v>-36.18802395209582</v>
      </c>
      <c r="DH3" s="80">
        <f aca="true" t="shared" si="32" ref="DH3:DH14">DE3/B3</f>
        <v>853.5335329341316</v>
      </c>
      <c r="DI3" s="81">
        <f aca="true" t="shared" si="33" ref="DI3:DI14">CZ3/B3</f>
        <v>913.748502994012</v>
      </c>
      <c r="DJ3" s="76">
        <f aca="true" t="shared" si="34" ref="DJ3:DJ14">DB3/B3</f>
        <v>1965.4622754491015</v>
      </c>
      <c r="DK3" s="147">
        <f>CA3-BW3-BU3</f>
        <v>255775.59999999998</v>
      </c>
      <c r="DL3" s="64"/>
      <c r="DM3" s="64"/>
      <c r="DN3" s="65"/>
    </row>
    <row r="4" spans="1:118" ht="12.75">
      <c r="A4" s="51" t="s">
        <v>0</v>
      </c>
      <c r="B4" s="46">
        <v>1897</v>
      </c>
      <c r="C4" s="38">
        <v>5037765</v>
      </c>
      <c r="D4" s="66">
        <v>2655.65</v>
      </c>
      <c r="E4" s="66">
        <v>77.02</v>
      </c>
      <c r="F4" s="128">
        <v>3</v>
      </c>
      <c r="G4" s="134">
        <v>2593916.55</v>
      </c>
      <c r="H4" s="42">
        <v>3260999.7</v>
      </c>
      <c r="I4" s="42">
        <v>85013.26</v>
      </c>
      <c r="J4" s="42">
        <v>13318.3</v>
      </c>
      <c r="K4" s="42">
        <v>749782</v>
      </c>
      <c r="L4" s="42">
        <v>0</v>
      </c>
      <c r="M4" s="43">
        <f t="shared" si="0"/>
        <v>749782</v>
      </c>
      <c r="N4" s="42">
        <v>0</v>
      </c>
      <c r="O4" s="42">
        <v>589118.25</v>
      </c>
      <c r="P4" s="42">
        <v>606708.95</v>
      </c>
      <c r="Q4" s="42">
        <v>0</v>
      </c>
      <c r="R4" s="42">
        <v>217460.1</v>
      </c>
      <c r="S4" s="42">
        <v>0</v>
      </c>
      <c r="T4" s="42">
        <v>0</v>
      </c>
      <c r="U4" s="42">
        <v>0</v>
      </c>
      <c r="V4" s="42">
        <v>0</v>
      </c>
      <c r="W4" s="43">
        <f t="shared" si="1"/>
        <v>217460.1</v>
      </c>
      <c r="X4" s="42">
        <v>1062513.35</v>
      </c>
      <c r="Y4" s="43">
        <f t="shared" si="2"/>
        <v>9178830.459999999</v>
      </c>
      <c r="Z4" s="42">
        <v>2490786.7</v>
      </c>
      <c r="AA4" s="42">
        <v>0</v>
      </c>
      <c r="AB4" s="42">
        <v>0</v>
      </c>
      <c r="AC4" s="42">
        <v>0</v>
      </c>
      <c r="AD4" s="42">
        <v>0</v>
      </c>
      <c r="AE4" s="43">
        <f t="shared" si="3"/>
        <v>2490786.7</v>
      </c>
      <c r="AF4" s="42">
        <v>0</v>
      </c>
      <c r="AG4" s="42">
        <f>212197.35</f>
        <v>212197.35</v>
      </c>
      <c r="AH4" s="42">
        <v>0</v>
      </c>
      <c r="AI4" s="42">
        <v>3095212.7</v>
      </c>
      <c r="AJ4" s="42">
        <v>645986.25</v>
      </c>
      <c r="AK4" s="42">
        <v>38926</v>
      </c>
      <c r="AL4" s="42">
        <v>1335119.4</v>
      </c>
      <c r="AM4" s="42">
        <v>0</v>
      </c>
      <c r="AN4" s="38">
        <v>298265.7</v>
      </c>
      <c r="AO4" s="38">
        <v>0</v>
      </c>
      <c r="AP4" s="38">
        <v>0</v>
      </c>
      <c r="AQ4" s="38">
        <v>0</v>
      </c>
      <c r="AR4" s="38">
        <v>0</v>
      </c>
      <c r="AS4" s="4">
        <f t="shared" si="4"/>
        <v>298265.7</v>
      </c>
      <c r="AT4" s="38">
        <v>1062513.35</v>
      </c>
      <c r="AU4" s="4">
        <f t="shared" si="5"/>
        <v>9179007.45</v>
      </c>
      <c r="AV4" s="38">
        <v>176.99</v>
      </c>
      <c r="AW4" s="38">
        <v>0</v>
      </c>
      <c r="AX4" s="4">
        <f t="shared" si="6"/>
        <v>-2.2350832296069711E-10</v>
      </c>
      <c r="AY4" s="42">
        <v>0</v>
      </c>
      <c r="AZ4" s="42">
        <v>3331269.2</v>
      </c>
      <c r="BA4" s="42">
        <v>0</v>
      </c>
      <c r="BB4" s="42">
        <v>19263</v>
      </c>
      <c r="BC4" s="42">
        <v>0</v>
      </c>
      <c r="BD4" s="42">
        <v>0</v>
      </c>
      <c r="BE4" s="42">
        <v>0</v>
      </c>
      <c r="BF4" s="43">
        <f t="shared" si="7"/>
        <v>3350532.2</v>
      </c>
      <c r="BG4" s="42">
        <v>0</v>
      </c>
      <c r="BH4" s="42">
        <v>199512.1</v>
      </c>
      <c r="BI4" s="42">
        <v>0</v>
      </c>
      <c r="BJ4" s="42">
        <v>0</v>
      </c>
      <c r="BK4" s="42">
        <v>0</v>
      </c>
      <c r="BL4" s="42">
        <v>0</v>
      </c>
      <c r="BM4" s="42">
        <v>229672.75</v>
      </c>
      <c r="BN4" s="42">
        <v>0</v>
      </c>
      <c r="BO4" s="43">
        <f t="shared" si="8"/>
        <v>429184.85</v>
      </c>
      <c r="BP4" s="42">
        <v>429184.85</v>
      </c>
      <c r="BQ4" s="42">
        <v>0</v>
      </c>
      <c r="BR4" s="42">
        <v>3350532.2</v>
      </c>
      <c r="BS4" s="43">
        <f t="shared" si="9"/>
        <v>0</v>
      </c>
      <c r="BT4" s="38">
        <v>17927337.2</v>
      </c>
      <c r="BU4" s="38">
        <v>3700207.35</v>
      </c>
      <c r="BV4" s="38">
        <v>69732.95</v>
      </c>
      <c r="BW4" s="38">
        <v>0</v>
      </c>
      <c r="BX4" s="4">
        <f t="shared" si="10"/>
        <v>21697277.5</v>
      </c>
      <c r="BY4" s="38">
        <v>6662649.8</v>
      </c>
      <c r="BZ4" s="38">
        <v>1931051.76</v>
      </c>
      <c r="CA4" s="38">
        <v>13103575.94</v>
      </c>
      <c r="CB4" s="4">
        <f t="shared" si="11"/>
        <v>21697277.5</v>
      </c>
      <c r="CC4" s="4">
        <f t="shared" si="12"/>
        <v>0</v>
      </c>
      <c r="CD4" s="74">
        <f t="shared" si="13"/>
        <v>749958.99</v>
      </c>
      <c r="CE4" s="76">
        <f t="shared" si="14"/>
        <v>669153.3899999999</v>
      </c>
      <c r="CF4" s="76">
        <f t="shared" si="15"/>
        <v>2921347.35</v>
      </c>
      <c r="CG4" s="76">
        <f t="shared" si="16"/>
        <v>7818228.399999999</v>
      </c>
      <c r="CH4" s="76">
        <f t="shared" si="17"/>
        <v>-127184.09000000001</v>
      </c>
      <c r="CI4" s="37">
        <f t="shared" si="18"/>
        <v>622597.91</v>
      </c>
      <c r="CJ4" s="59">
        <f aca="true" t="shared" si="35" ref="CJ4:CJ31">IF(CF4=0,"-",(CD4/CF4))</f>
        <v>0.25671681595822554</v>
      </c>
      <c r="CK4" s="59">
        <f aca="true" t="shared" si="36" ref="CK4:CK31">IF(CF4=0,"-",(CE4/CF4))</f>
        <v>0.22905642836343987</v>
      </c>
      <c r="CL4" s="141">
        <f aca="true" t="shared" si="37" ref="CL4:CL31">IF(CG4=0,"-",(CD4/CG4*1))</f>
        <v>0.09592441556197054</v>
      </c>
      <c r="CM4" s="141">
        <f aca="true" t="shared" si="38" ref="CM4:CM31">IF(CE4=0,"-",(CE4/CG4))</f>
        <v>0.0855888771425506</v>
      </c>
      <c r="CN4" s="141">
        <f aca="true" t="shared" si="39" ref="CN4:CN31">IF(CG4=0,"-",(CH4/CG4))</f>
        <v>-0.016267635517018153</v>
      </c>
      <c r="CO4" s="141">
        <f aca="true" t="shared" si="40" ref="CO4:CO31">IF(CG4=0,"-",(CI4/CG4))</f>
        <v>0.07963414192401952</v>
      </c>
      <c r="CP4" s="141">
        <f aca="true" t="shared" si="41" ref="CP4:CP31">IF(BU4+K4+L4=0,"-",((K4+L4)/(BU4+K4+L4)))</f>
        <v>0.16849074032053585</v>
      </c>
      <c r="CQ4" s="141">
        <f aca="true" t="shared" si="42" ref="CQ4:CQ31">IF(BU4+K4+L4=0,"-",((K4)/(BU4+K4+L4)))</f>
        <v>0.16849074032053585</v>
      </c>
      <c r="CR4" s="142">
        <f aca="true" t="shared" si="43" ref="CR4:CR31">IF(CE4=0,"-",(CS4/CE4))</f>
        <v>16.834237961493404</v>
      </c>
      <c r="CS4" s="76">
        <f aca="true" t="shared" si="44" ref="CS4:CS31">BT4-BY4</f>
        <v>11264687.399999999</v>
      </c>
      <c r="CT4" s="80">
        <f aca="true" t="shared" si="45" ref="CT4:CT14">Y4-K4-L4-V4</f>
        <v>8429048.459999999</v>
      </c>
      <c r="CU4" s="80">
        <f t="shared" si="19"/>
        <v>9179007.45</v>
      </c>
      <c r="CV4" s="80">
        <f t="shared" si="20"/>
        <v>749958.9900000002</v>
      </c>
      <c r="CW4" s="80">
        <f t="shared" si="21"/>
        <v>0</v>
      </c>
      <c r="CX4" s="80">
        <f t="shared" si="22"/>
        <v>749958.9900000002</v>
      </c>
      <c r="CY4" s="80">
        <f t="shared" si="23"/>
        <v>176.99000000022352</v>
      </c>
      <c r="CZ4" s="80">
        <f t="shared" si="24"/>
        <v>2921347.35</v>
      </c>
      <c r="DA4" s="80">
        <f t="shared" si="25"/>
        <v>749782</v>
      </c>
      <c r="DB4" s="80">
        <f t="shared" si="26"/>
        <v>-2171388.36</v>
      </c>
      <c r="DC4" s="80">
        <f t="shared" si="27"/>
        <v>-1178966.85</v>
      </c>
      <c r="DD4" s="80">
        <f t="shared" si="28"/>
        <v>176.99000000022352</v>
      </c>
      <c r="DE4" s="80">
        <f t="shared" si="29"/>
        <v>2490786.7</v>
      </c>
      <c r="DF4" s="80">
        <f t="shared" si="30"/>
        <v>5938.158882445967</v>
      </c>
      <c r="DG4" s="80">
        <f t="shared" si="31"/>
        <v>-67.04485503426463</v>
      </c>
      <c r="DH4" s="80">
        <f t="shared" si="32"/>
        <v>1313.0135477069057</v>
      </c>
      <c r="DI4" s="81">
        <f t="shared" si="33"/>
        <v>1539.9827886136004</v>
      </c>
      <c r="DJ4" s="76">
        <f t="shared" si="34"/>
        <v>-1144.6433104902476</v>
      </c>
      <c r="DK4" s="147">
        <f>CA4-BW4-BU4</f>
        <v>9403368.59</v>
      </c>
      <c r="DL4" s="67"/>
      <c r="DM4" s="67"/>
      <c r="DN4" s="68"/>
    </row>
    <row r="5" spans="1:118" ht="12.75">
      <c r="A5" s="52" t="s">
        <v>32</v>
      </c>
      <c r="B5" s="41">
        <v>463</v>
      </c>
      <c r="C5" s="4">
        <v>1532136</v>
      </c>
      <c r="D5" s="69">
        <v>3309.15</v>
      </c>
      <c r="E5" s="69">
        <v>95.97</v>
      </c>
      <c r="F5" s="8">
        <v>6</v>
      </c>
      <c r="G5" s="133">
        <v>546004.35</v>
      </c>
      <c r="H5" s="43">
        <v>458106.55</v>
      </c>
      <c r="I5" s="43">
        <v>379899.75</v>
      </c>
      <c r="J5" s="43">
        <v>0</v>
      </c>
      <c r="K5" s="43">
        <v>205063</v>
      </c>
      <c r="L5" s="43">
        <v>0</v>
      </c>
      <c r="M5" s="43">
        <f t="shared" si="0"/>
        <v>205063</v>
      </c>
      <c r="N5" s="43">
        <v>0</v>
      </c>
      <c r="O5" s="43">
        <v>56776.35</v>
      </c>
      <c r="P5" s="43">
        <v>151609.65</v>
      </c>
      <c r="Q5" s="43">
        <v>29955.95</v>
      </c>
      <c r="R5" s="43">
        <v>0</v>
      </c>
      <c r="S5" s="43">
        <v>0</v>
      </c>
      <c r="T5" s="43">
        <v>0</v>
      </c>
      <c r="U5" s="43">
        <v>0</v>
      </c>
      <c r="V5" s="43">
        <v>0</v>
      </c>
      <c r="W5" s="43">
        <f t="shared" si="1"/>
        <v>0</v>
      </c>
      <c r="X5" s="43">
        <v>87220</v>
      </c>
      <c r="Y5" s="43">
        <f t="shared" si="2"/>
        <v>1914635.5999999996</v>
      </c>
      <c r="Z5" s="43">
        <v>588071.3</v>
      </c>
      <c r="AA5" s="43">
        <v>13533.8</v>
      </c>
      <c r="AB5" s="43">
        <v>11013.9</v>
      </c>
      <c r="AC5" s="43">
        <v>0</v>
      </c>
      <c r="AD5" s="43">
        <v>172304.3</v>
      </c>
      <c r="AE5" s="43">
        <f t="shared" si="3"/>
        <v>784923.3</v>
      </c>
      <c r="AF5" s="43">
        <v>2058.5</v>
      </c>
      <c r="AG5" s="43">
        <v>195434.75</v>
      </c>
      <c r="AH5" s="43">
        <v>0</v>
      </c>
      <c r="AI5" s="43">
        <v>630719.95</v>
      </c>
      <c r="AJ5" s="43">
        <v>6641.45</v>
      </c>
      <c r="AK5" s="43">
        <v>27097.9</v>
      </c>
      <c r="AL5" s="43">
        <v>47763.1</v>
      </c>
      <c r="AM5" s="43">
        <v>29955.95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f t="shared" si="4"/>
        <v>0</v>
      </c>
      <c r="AT5" s="4">
        <v>87220</v>
      </c>
      <c r="AU5" s="4">
        <f t="shared" si="5"/>
        <v>1811814.9000000001</v>
      </c>
      <c r="AV5" s="4">
        <v>0</v>
      </c>
      <c r="AW5" s="4">
        <v>102820.7</v>
      </c>
      <c r="AX5" s="144">
        <f t="shared" si="6"/>
        <v>-5.093170329928398E-10</v>
      </c>
      <c r="AY5" s="43">
        <v>0</v>
      </c>
      <c r="AZ5" s="43">
        <v>410799</v>
      </c>
      <c r="BA5" s="43">
        <v>0</v>
      </c>
      <c r="BB5" s="43">
        <v>0</v>
      </c>
      <c r="BC5" s="43">
        <v>0</v>
      </c>
      <c r="BD5" s="43">
        <v>0</v>
      </c>
      <c r="BE5" s="43">
        <v>0</v>
      </c>
      <c r="BF5" s="43">
        <f t="shared" si="7"/>
        <v>410799</v>
      </c>
      <c r="BG5" s="43">
        <v>0</v>
      </c>
      <c r="BH5" s="43">
        <f>28113</f>
        <v>28113</v>
      </c>
      <c r="BI5" s="43">
        <v>0</v>
      </c>
      <c r="BJ5" s="43">
        <v>0</v>
      </c>
      <c r="BK5" s="43">
        <v>0</v>
      </c>
      <c r="BL5" s="43">
        <v>0</v>
      </c>
      <c r="BM5" s="43">
        <v>0</v>
      </c>
      <c r="BN5" s="43">
        <v>0</v>
      </c>
      <c r="BO5" s="43">
        <f t="shared" si="8"/>
        <v>28113</v>
      </c>
      <c r="BP5" s="43">
        <v>28113</v>
      </c>
      <c r="BQ5" s="43">
        <v>0</v>
      </c>
      <c r="BR5" s="43">
        <v>410799</v>
      </c>
      <c r="BS5" s="43">
        <f t="shared" si="9"/>
        <v>0</v>
      </c>
      <c r="BT5" s="4">
        <v>7390714.59</v>
      </c>
      <c r="BU5" s="4">
        <v>1326275.65</v>
      </c>
      <c r="BV5" s="4">
        <v>0</v>
      </c>
      <c r="BW5" s="4">
        <v>682459.78</v>
      </c>
      <c r="BX5" s="4">
        <f t="shared" si="10"/>
        <v>9399450.02</v>
      </c>
      <c r="BY5" s="4">
        <v>9399450.02</v>
      </c>
      <c r="BZ5" s="4">
        <v>0</v>
      </c>
      <c r="CA5" s="4">
        <v>0</v>
      </c>
      <c r="CB5" s="4">
        <f t="shared" si="11"/>
        <v>9399450.02</v>
      </c>
      <c r="CC5" s="4">
        <f t="shared" si="12"/>
        <v>0</v>
      </c>
      <c r="CD5" s="74">
        <f t="shared" si="13"/>
        <v>102242.3</v>
      </c>
      <c r="CE5" s="76">
        <f t="shared" si="14"/>
        <v>102242.3</v>
      </c>
      <c r="CF5" s="76">
        <f t="shared" si="15"/>
        <v>382686</v>
      </c>
      <c r="CG5" s="76">
        <f t="shared" si="16"/>
        <v>1694638.9500000002</v>
      </c>
      <c r="CH5" s="76">
        <f t="shared" si="17"/>
        <v>184465</v>
      </c>
      <c r="CI5" s="37">
        <f t="shared" si="18"/>
        <v>389528</v>
      </c>
      <c r="CJ5" s="59">
        <f t="shared" si="35"/>
        <v>0.2671702126547614</v>
      </c>
      <c r="CK5" s="59">
        <f t="shared" si="36"/>
        <v>0.2671702126547614</v>
      </c>
      <c r="CL5" s="141">
        <f t="shared" si="37"/>
        <v>0.06033279242165418</v>
      </c>
      <c r="CM5" s="141">
        <f t="shared" si="38"/>
        <v>0.06033279242165418</v>
      </c>
      <c r="CN5" s="141">
        <f t="shared" si="39"/>
        <v>0.10885209501410315</v>
      </c>
      <c r="CO5" s="141">
        <f t="shared" si="40"/>
        <v>0.22985899149786446</v>
      </c>
      <c r="CP5" s="141">
        <f t="shared" si="41"/>
        <v>0.13391094125391534</v>
      </c>
      <c r="CQ5" s="141">
        <f t="shared" si="42"/>
        <v>0.13391094125391534</v>
      </c>
      <c r="CR5" s="142">
        <f t="shared" si="43"/>
        <v>-19.64681379429062</v>
      </c>
      <c r="CS5" s="76">
        <f t="shared" si="44"/>
        <v>-2008735.4299999997</v>
      </c>
      <c r="CT5" s="80">
        <f t="shared" si="45"/>
        <v>1709572.5999999996</v>
      </c>
      <c r="CU5" s="80">
        <f t="shared" si="19"/>
        <v>1811814.9000000001</v>
      </c>
      <c r="CV5" s="80">
        <f t="shared" si="20"/>
        <v>102242.30000000051</v>
      </c>
      <c r="CW5" s="80">
        <f t="shared" si="21"/>
        <v>0</v>
      </c>
      <c r="CX5" s="80">
        <f t="shared" si="22"/>
        <v>102242.30000000051</v>
      </c>
      <c r="CY5" s="80">
        <f t="shared" si="23"/>
        <v>-102820.69999999949</v>
      </c>
      <c r="CZ5" s="80">
        <f t="shared" si="24"/>
        <v>382686</v>
      </c>
      <c r="DA5" s="80">
        <f t="shared" si="25"/>
        <v>205063</v>
      </c>
      <c r="DB5" s="80">
        <f t="shared" si="26"/>
        <v>-280443.6999999995</v>
      </c>
      <c r="DC5" s="80">
        <f t="shared" si="27"/>
        <v>-233176</v>
      </c>
      <c r="DD5" s="80">
        <f t="shared" si="28"/>
        <v>-102820.69999999949</v>
      </c>
      <c r="DE5" s="80">
        <f t="shared" si="29"/>
        <v>612619.0000000001</v>
      </c>
      <c r="DF5" s="80">
        <f t="shared" si="30"/>
        <v>-4338.521447084233</v>
      </c>
      <c r="DG5" s="80">
        <f t="shared" si="31"/>
        <v>398.4125269978402</v>
      </c>
      <c r="DH5" s="80">
        <f t="shared" si="32"/>
        <v>1323.1511879049679</v>
      </c>
      <c r="DI5" s="81">
        <f t="shared" si="33"/>
        <v>826.535637149028</v>
      </c>
      <c r="DJ5" s="76">
        <f t="shared" si="34"/>
        <v>-605.7099352051824</v>
      </c>
      <c r="DK5" s="147">
        <f aca="true" t="shared" si="46" ref="DK5:DK31">CA5-BW5-BU5</f>
        <v>-2008735.43</v>
      </c>
      <c r="DL5" s="64"/>
      <c r="DM5" s="64"/>
      <c r="DN5" s="65"/>
    </row>
    <row r="6" spans="1:118" ht="12.75">
      <c r="A6" s="51" t="s">
        <v>1</v>
      </c>
      <c r="B6" s="46">
        <v>267</v>
      </c>
      <c r="C6" s="38">
        <v>693729</v>
      </c>
      <c r="D6" s="66">
        <v>2598.23</v>
      </c>
      <c r="E6" s="66">
        <v>75.35</v>
      </c>
      <c r="F6" s="128">
        <v>10</v>
      </c>
      <c r="G6" s="134">
        <v>578549.45</v>
      </c>
      <c r="H6" s="42">
        <v>531788.75</v>
      </c>
      <c r="I6" s="42">
        <v>36708.8</v>
      </c>
      <c r="J6" s="42">
        <v>0</v>
      </c>
      <c r="K6" s="42">
        <v>65737</v>
      </c>
      <c r="L6" s="42">
        <v>259732.95</v>
      </c>
      <c r="M6" s="43">
        <f t="shared" si="0"/>
        <v>325469.95</v>
      </c>
      <c r="N6" s="42">
        <v>155269</v>
      </c>
      <c r="O6" s="42">
        <v>143017.1</v>
      </c>
      <c r="P6" s="42">
        <v>336813.25</v>
      </c>
      <c r="Q6" s="42">
        <v>877.2</v>
      </c>
      <c r="R6" s="42">
        <v>1100</v>
      </c>
      <c r="S6" s="42">
        <v>0</v>
      </c>
      <c r="T6" s="42">
        <v>0</v>
      </c>
      <c r="U6" s="42">
        <v>0</v>
      </c>
      <c r="V6" s="42">
        <v>0</v>
      </c>
      <c r="W6" s="43">
        <f t="shared" si="1"/>
        <v>1100</v>
      </c>
      <c r="X6" s="42">
        <v>167446.05</v>
      </c>
      <c r="Y6" s="43">
        <f t="shared" si="2"/>
        <v>2277039.55</v>
      </c>
      <c r="Z6" s="42">
        <v>150782.2</v>
      </c>
      <c r="AA6" s="42">
        <v>7510.85</v>
      </c>
      <c r="AB6" s="42">
        <v>10498.3</v>
      </c>
      <c r="AC6" s="42">
        <v>0</v>
      </c>
      <c r="AD6" s="42">
        <v>450</v>
      </c>
      <c r="AE6" s="43">
        <f t="shared" si="3"/>
        <v>169241.35</v>
      </c>
      <c r="AF6" s="42">
        <v>0</v>
      </c>
      <c r="AG6" s="42">
        <v>74836.85</v>
      </c>
      <c r="AH6" s="42">
        <v>0</v>
      </c>
      <c r="AI6" s="42">
        <v>199679.4</v>
      </c>
      <c r="AJ6" s="42">
        <v>604925.85</v>
      </c>
      <c r="AK6" s="42">
        <v>136147.45</v>
      </c>
      <c r="AL6" s="42">
        <v>930726.45</v>
      </c>
      <c r="AM6" s="42">
        <v>0</v>
      </c>
      <c r="AN6" s="38">
        <v>1100</v>
      </c>
      <c r="AO6" s="38">
        <v>0</v>
      </c>
      <c r="AP6" s="38">
        <v>0</v>
      </c>
      <c r="AQ6" s="38">
        <v>0</v>
      </c>
      <c r="AR6" s="38">
        <v>0</v>
      </c>
      <c r="AS6" s="4">
        <f t="shared" si="4"/>
        <v>1100</v>
      </c>
      <c r="AT6" s="38">
        <v>162232.55</v>
      </c>
      <c r="AU6" s="4">
        <f t="shared" si="5"/>
        <v>2278889.9</v>
      </c>
      <c r="AV6" s="38">
        <v>1850.35</v>
      </c>
      <c r="AW6" s="38">
        <v>0</v>
      </c>
      <c r="AX6" s="4">
        <f t="shared" si="6"/>
        <v>-9.322320693172514E-11</v>
      </c>
      <c r="AY6" s="42">
        <v>11099.75</v>
      </c>
      <c r="AZ6" s="42">
        <v>13482.35</v>
      </c>
      <c r="BA6" s="42">
        <v>0</v>
      </c>
      <c r="BB6" s="42">
        <v>0</v>
      </c>
      <c r="BC6" s="42">
        <v>0</v>
      </c>
      <c r="BD6" s="42">
        <v>0</v>
      </c>
      <c r="BE6" s="42">
        <v>11587.6</v>
      </c>
      <c r="BF6" s="43">
        <f t="shared" si="7"/>
        <v>25069.95</v>
      </c>
      <c r="BG6" s="42">
        <v>0</v>
      </c>
      <c r="BH6" s="42">
        <v>0</v>
      </c>
      <c r="BI6" s="42">
        <v>0</v>
      </c>
      <c r="BJ6" s="42">
        <v>0</v>
      </c>
      <c r="BK6" s="42">
        <v>0</v>
      </c>
      <c r="BL6" s="42">
        <v>0</v>
      </c>
      <c r="BM6" s="42">
        <v>0</v>
      </c>
      <c r="BN6" s="42">
        <v>0</v>
      </c>
      <c r="BO6" s="43">
        <f t="shared" si="8"/>
        <v>0</v>
      </c>
      <c r="BP6" s="42">
        <v>0</v>
      </c>
      <c r="BQ6" s="42">
        <v>0</v>
      </c>
      <c r="BR6" s="42">
        <v>25069.95</v>
      </c>
      <c r="BS6" s="43">
        <f t="shared" si="9"/>
        <v>0</v>
      </c>
      <c r="BT6" s="38">
        <v>2255279.08</v>
      </c>
      <c r="BU6" s="38">
        <v>645597.8</v>
      </c>
      <c r="BV6" s="38">
        <v>0</v>
      </c>
      <c r="BW6" s="38">
        <v>0</v>
      </c>
      <c r="BX6" s="4">
        <f t="shared" si="10"/>
        <v>2900876.88</v>
      </c>
      <c r="BY6" s="38">
        <v>1397239.27</v>
      </c>
      <c r="BZ6" s="38">
        <v>465298</v>
      </c>
      <c r="CA6" s="38">
        <v>1038339.61</v>
      </c>
      <c r="CB6" s="4">
        <f t="shared" si="11"/>
        <v>2900876.88</v>
      </c>
      <c r="CC6" s="4">
        <f t="shared" si="12"/>
        <v>0</v>
      </c>
      <c r="CD6" s="74">
        <f t="shared" si="13"/>
        <v>327320.3</v>
      </c>
      <c r="CE6" s="76">
        <f t="shared" si="14"/>
        <v>327320.3</v>
      </c>
      <c r="CF6" s="76">
        <f t="shared" si="15"/>
        <v>25069.95</v>
      </c>
      <c r="CG6" s="76">
        <f t="shared" si="16"/>
        <v>2115557.35</v>
      </c>
      <c r="CH6" s="76">
        <f t="shared" si="17"/>
        <v>-27028.300000000003</v>
      </c>
      <c r="CI6" s="37">
        <f t="shared" si="18"/>
        <v>38708.7</v>
      </c>
      <c r="CJ6" s="59">
        <f t="shared" si="35"/>
        <v>13.056280527085216</v>
      </c>
      <c r="CK6" s="59">
        <f t="shared" si="36"/>
        <v>13.056280527085216</v>
      </c>
      <c r="CL6" s="141">
        <f t="shared" si="37"/>
        <v>0.15472059880579458</v>
      </c>
      <c r="CM6" s="141">
        <f t="shared" si="38"/>
        <v>0.15472059880579458</v>
      </c>
      <c r="CN6" s="141">
        <f t="shared" si="39"/>
        <v>-0.012775971306095767</v>
      </c>
      <c r="CO6" s="141">
        <f t="shared" si="40"/>
        <v>0.01829716410193276</v>
      </c>
      <c r="CP6" s="141">
        <f t="shared" si="41"/>
        <v>0.3351670879812454</v>
      </c>
      <c r="CQ6" s="141">
        <f t="shared" si="42"/>
        <v>0.06769558560666854</v>
      </c>
      <c r="CR6" s="142">
        <f t="shared" si="43"/>
        <v>2.6214072576616854</v>
      </c>
      <c r="CS6" s="76">
        <f t="shared" si="44"/>
        <v>858039.81</v>
      </c>
      <c r="CT6" s="80">
        <f t="shared" si="45"/>
        <v>1951569.5999999999</v>
      </c>
      <c r="CU6" s="80">
        <f t="shared" si="19"/>
        <v>2278889.9</v>
      </c>
      <c r="CV6" s="80">
        <f t="shared" si="20"/>
        <v>327320.30000000005</v>
      </c>
      <c r="CW6" s="80">
        <f t="shared" si="21"/>
        <v>0</v>
      </c>
      <c r="CX6" s="80">
        <f t="shared" si="22"/>
        <v>327320.30000000005</v>
      </c>
      <c r="CY6" s="80">
        <f t="shared" si="23"/>
        <v>1850.350000000035</v>
      </c>
      <c r="CZ6" s="80">
        <f t="shared" si="24"/>
        <v>25069.95</v>
      </c>
      <c r="DA6" s="80">
        <f t="shared" si="25"/>
        <v>325469.95</v>
      </c>
      <c r="DB6" s="80">
        <f t="shared" si="26"/>
        <v>302250.35000000003</v>
      </c>
      <c r="DC6" s="80">
        <f t="shared" si="27"/>
        <v>-325469.95</v>
      </c>
      <c r="DD6" s="80">
        <f t="shared" si="28"/>
        <v>1850.350000000024</v>
      </c>
      <c r="DE6" s="80">
        <f t="shared" si="29"/>
        <v>168791.35</v>
      </c>
      <c r="DF6" s="80">
        <f t="shared" si="30"/>
        <v>3213.6322471910116</v>
      </c>
      <c r="DG6" s="80">
        <f t="shared" si="31"/>
        <v>-101.22958801498129</v>
      </c>
      <c r="DH6" s="80">
        <f t="shared" si="32"/>
        <v>632.1773408239701</v>
      </c>
      <c r="DI6" s="81">
        <f t="shared" si="33"/>
        <v>93.89494382022473</v>
      </c>
      <c r="DJ6" s="76">
        <f t="shared" si="34"/>
        <v>1132.0237827715357</v>
      </c>
      <c r="DK6" s="147">
        <f t="shared" si="46"/>
        <v>392741.80999999994</v>
      </c>
      <c r="DL6" s="67"/>
      <c r="DM6" s="67"/>
      <c r="DN6" s="68"/>
    </row>
    <row r="7" spans="1:118" ht="12.75">
      <c r="A7" s="52" t="s">
        <v>2</v>
      </c>
      <c r="B7" s="41">
        <v>778</v>
      </c>
      <c r="C7" s="4">
        <v>2520132</v>
      </c>
      <c r="D7" s="69">
        <v>3239.24</v>
      </c>
      <c r="E7" s="69">
        <v>93.94</v>
      </c>
      <c r="F7" s="8">
        <v>8</v>
      </c>
      <c r="G7" s="133">
        <v>857983</v>
      </c>
      <c r="H7" s="43">
        <v>761141.6</v>
      </c>
      <c r="I7" s="43">
        <v>20292.95</v>
      </c>
      <c r="J7" s="43">
        <v>0</v>
      </c>
      <c r="K7" s="43">
        <v>66467.1</v>
      </c>
      <c r="L7" s="43">
        <v>408598.05</v>
      </c>
      <c r="M7" s="43">
        <f t="shared" si="0"/>
        <v>475065.15</v>
      </c>
      <c r="N7" s="43">
        <v>0</v>
      </c>
      <c r="O7" s="43">
        <v>120529</v>
      </c>
      <c r="P7" s="43">
        <v>213642.8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0</v>
      </c>
      <c r="W7" s="43">
        <f t="shared" si="1"/>
        <v>0</v>
      </c>
      <c r="X7" s="43">
        <v>294356.5</v>
      </c>
      <c r="Y7" s="43">
        <f t="shared" si="2"/>
        <v>2743011</v>
      </c>
      <c r="Z7" s="43">
        <v>628975.15</v>
      </c>
      <c r="AA7" s="43">
        <v>202029.35</v>
      </c>
      <c r="AB7" s="43">
        <v>4638.4</v>
      </c>
      <c r="AC7" s="43">
        <v>0</v>
      </c>
      <c r="AD7" s="43">
        <v>0</v>
      </c>
      <c r="AE7" s="43">
        <f t="shared" si="3"/>
        <v>835642.9</v>
      </c>
      <c r="AF7" s="43">
        <v>126813.7</v>
      </c>
      <c r="AG7" s="43">
        <v>290798.35</v>
      </c>
      <c r="AH7" s="43">
        <v>0</v>
      </c>
      <c r="AI7" s="43">
        <v>634724.8</v>
      </c>
      <c r="AJ7" s="43">
        <v>74293.25</v>
      </c>
      <c r="AK7" s="43">
        <v>37960.3</v>
      </c>
      <c r="AL7" s="43">
        <v>383514.45</v>
      </c>
      <c r="AM7" s="43">
        <v>0</v>
      </c>
      <c r="AN7" s="4">
        <v>13000</v>
      </c>
      <c r="AO7" s="4">
        <v>0</v>
      </c>
      <c r="AP7" s="4">
        <v>0</v>
      </c>
      <c r="AQ7" s="4">
        <v>2000</v>
      </c>
      <c r="AR7" s="4">
        <v>0</v>
      </c>
      <c r="AS7" s="4">
        <f t="shared" si="4"/>
        <v>15000</v>
      </c>
      <c r="AT7" s="4">
        <v>422955.05</v>
      </c>
      <c r="AU7" s="4">
        <f t="shared" si="5"/>
        <v>2821702.8000000003</v>
      </c>
      <c r="AV7" s="4">
        <v>78691.8</v>
      </c>
      <c r="AW7" s="4">
        <v>0</v>
      </c>
      <c r="AX7" s="4">
        <f t="shared" si="6"/>
        <v>-2.764863893389702E-10</v>
      </c>
      <c r="AY7" s="43">
        <v>0</v>
      </c>
      <c r="AZ7" s="43">
        <v>1626268.85</v>
      </c>
      <c r="BA7" s="43">
        <v>0</v>
      </c>
      <c r="BB7" s="43">
        <v>0</v>
      </c>
      <c r="BC7" s="43">
        <v>0</v>
      </c>
      <c r="BD7" s="43">
        <v>0</v>
      </c>
      <c r="BE7" s="43">
        <v>0</v>
      </c>
      <c r="BF7" s="43">
        <f t="shared" si="7"/>
        <v>1626268.85</v>
      </c>
      <c r="BG7" s="43">
        <v>0</v>
      </c>
      <c r="BH7" s="43">
        <v>0</v>
      </c>
      <c r="BI7" s="43">
        <v>0</v>
      </c>
      <c r="BJ7" s="43">
        <v>0</v>
      </c>
      <c r="BK7" s="43">
        <v>0</v>
      </c>
      <c r="BL7" s="43">
        <v>209728.4</v>
      </c>
      <c r="BM7" s="43">
        <v>967313.9</v>
      </c>
      <c r="BN7" s="43">
        <v>0</v>
      </c>
      <c r="BO7" s="43">
        <f t="shared" si="8"/>
        <v>1177042.3</v>
      </c>
      <c r="BP7" s="43">
        <f>1177042.3-62696.2</f>
        <v>1114346.1</v>
      </c>
      <c r="BQ7" s="43">
        <v>62696.2</v>
      </c>
      <c r="BR7" s="43">
        <v>1626268.85</v>
      </c>
      <c r="BS7" s="43">
        <f t="shared" si="9"/>
        <v>0</v>
      </c>
      <c r="BT7" s="4">
        <v>5726285</v>
      </c>
      <c r="BU7" s="4">
        <v>189857</v>
      </c>
      <c r="BV7" s="4">
        <v>0</v>
      </c>
      <c r="BW7" s="4">
        <v>0</v>
      </c>
      <c r="BX7" s="4">
        <f t="shared" si="10"/>
        <v>5916142</v>
      </c>
      <c r="BY7" s="4">
        <v>3041606</v>
      </c>
      <c r="BZ7" s="4">
        <v>1490177</v>
      </c>
      <c r="CA7" s="4">
        <v>1384359</v>
      </c>
      <c r="CB7" s="4">
        <f t="shared" si="11"/>
        <v>5916142</v>
      </c>
      <c r="CC7" s="4">
        <f t="shared" si="12"/>
        <v>0</v>
      </c>
      <c r="CD7" s="74">
        <f t="shared" si="13"/>
        <v>553756.9500000001</v>
      </c>
      <c r="CE7" s="76">
        <f t="shared" si="14"/>
        <v>538756.9500000001</v>
      </c>
      <c r="CF7" s="76">
        <f t="shared" si="15"/>
        <v>511922.75</v>
      </c>
      <c r="CG7" s="76">
        <f t="shared" si="16"/>
        <v>2383747.7500000005</v>
      </c>
      <c r="CH7" s="76">
        <f t="shared" si="17"/>
        <v>-207809.19999999995</v>
      </c>
      <c r="CI7" s="37">
        <f t="shared" si="18"/>
        <v>-141342.09999999995</v>
      </c>
      <c r="CJ7" s="59">
        <f t="shared" si="35"/>
        <v>1.0817197516617498</v>
      </c>
      <c r="CK7" s="59">
        <f t="shared" si="36"/>
        <v>1.0524184557142655</v>
      </c>
      <c r="CL7" s="141">
        <f t="shared" si="37"/>
        <v>0.23230517994196323</v>
      </c>
      <c r="CM7" s="141">
        <f t="shared" si="38"/>
        <v>0.2260125678146943</v>
      </c>
      <c r="CN7" s="141">
        <f t="shared" si="39"/>
        <v>-0.08717751280520344</v>
      </c>
      <c r="CO7" s="141">
        <f t="shared" si="40"/>
        <v>-0.059294067503577054</v>
      </c>
      <c r="CP7" s="141">
        <f t="shared" si="41"/>
        <v>0.7144673252349918</v>
      </c>
      <c r="CQ7" s="141">
        <f t="shared" si="42"/>
        <v>0.09996222866090414</v>
      </c>
      <c r="CR7" s="142">
        <f t="shared" si="43"/>
        <v>4.983098593902129</v>
      </c>
      <c r="CS7" s="76">
        <f t="shared" si="44"/>
        <v>2684679</v>
      </c>
      <c r="CT7" s="80">
        <f t="shared" si="45"/>
        <v>2267945.85</v>
      </c>
      <c r="CU7" s="80">
        <f t="shared" si="19"/>
        <v>2821702.8000000003</v>
      </c>
      <c r="CV7" s="80">
        <f t="shared" si="20"/>
        <v>553756.9500000002</v>
      </c>
      <c r="CW7" s="80">
        <f t="shared" si="21"/>
        <v>0</v>
      </c>
      <c r="CX7" s="80">
        <f t="shared" si="22"/>
        <v>553756.9500000002</v>
      </c>
      <c r="CY7" s="80">
        <f t="shared" si="23"/>
        <v>78691.80000000022</v>
      </c>
      <c r="CZ7" s="80">
        <f t="shared" si="24"/>
        <v>511922.75</v>
      </c>
      <c r="DA7" s="80">
        <f t="shared" si="25"/>
        <v>475065.15</v>
      </c>
      <c r="DB7" s="80">
        <f t="shared" si="26"/>
        <v>41834.200000000244</v>
      </c>
      <c r="DC7" s="80">
        <f t="shared" si="27"/>
        <v>-1589411.25</v>
      </c>
      <c r="DD7" s="80">
        <f t="shared" si="28"/>
        <v>78691.80000000028</v>
      </c>
      <c r="DE7" s="80">
        <f t="shared" si="29"/>
        <v>835642.9</v>
      </c>
      <c r="DF7" s="80">
        <f t="shared" si="30"/>
        <v>3450.7442159383036</v>
      </c>
      <c r="DG7" s="80">
        <f t="shared" si="31"/>
        <v>-267.10694087403596</v>
      </c>
      <c r="DH7" s="80">
        <f t="shared" si="32"/>
        <v>1074.0911311053985</v>
      </c>
      <c r="DI7" s="81">
        <f t="shared" si="33"/>
        <v>657.9983933161953</v>
      </c>
      <c r="DJ7" s="76">
        <f t="shared" si="34"/>
        <v>53.771465295630136</v>
      </c>
      <c r="DK7" s="147">
        <f t="shared" si="46"/>
        <v>1194502</v>
      </c>
      <c r="DL7" s="64"/>
      <c r="DM7" s="64"/>
      <c r="DN7" s="65"/>
    </row>
    <row r="8" spans="1:118" ht="12.75">
      <c r="A8" s="51" t="s">
        <v>3</v>
      </c>
      <c r="B8" s="46">
        <v>683</v>
      </c>
      <c r="C8" s="38">
        <v>1784997</v>
      </c>
      <c r="D8" s="66">
        <v>2613.47</v>
      </c>
      <c r="E8" s="66">
        <v>75.8</v>
      </c>
      <c r="F8" s="128">
        <v>8</v>
      </c>
      <c r="G8" s="134">
        <v>648419.8</v>
      </c>
      <c r="H8" s="42">
        <v>752543.95</v>
      </c>
      <c r="I8" s="42">
        <v>29409.4</v>
      </c>
      <c r="J8" s="42">
        <v>0</v>
      </c>
      <c r="K8" s="42">
        <v>116320.8</v>
      </c>
      <c r="L8" s="42">
        <v>193900</v>
      </c>
      <c r="M8" s="43">
        <f t="shared" si="0"/>
        <v>310220.8</v>
      </c>
      <c r="N8" s="42">
        <v>0</v>
      </c>
      <c r="O8" s="42">
        <v>85659.45</v>
      </c>
      <c r="P8" s="42">
        <v>208060.4</v>
      </c>
      <c r="Q8" s="42">
        <v>0</v>
      </c>
      <c r="R8" s="42">
        <v>29169</v>
      </c>
      <c r="S8" s="42">
        <v>0</v>
      </c>
      <c r="T8" s="42">
        <v>0</v>
      </c>
      <c r="U8" s="42">
        <v>0</v>
      </c>
      <c r="V8" s="42">
        <v>0</v>
      </c>
      <c r="W8" s="43">
        <f t="shared" si="1"/>
        <v>29169</v>
      </c>
      <c r="X8" s="42">
        <v>664648.85</v>
      </c>
      <c r="Y8" s="43">
        <f t="shared" si="2"/>
        <v>2728131.6500000004</v>
      </c>
      <c r="Z8" s="42">
        <v>610007.75</v>
      </c>
      <c r="AA8" s="42">
        <v>78536.4</v>
      </c>
      <c r="AB8" s="42">
        <v>4571.2</v>
      </c>
      <c r="AC8" s="42">
        <v>0</v>
      </c>
      <c r="AD8" s="42">
        <v>5000</v>
      </c>
      <c r="AE8" s="43">
        <f t="shared" si="3"/>
        <v>698115.35</v>
      </c>
      <c r="AF8" s="42">
        <v>0</v>
      </c>
      <c r="AG8" s="42">
        <v>80268.75</v>
      </c>
      <c r="AH8" s="42">
        <v>0</v>
      </c>
      <c r="AI8" s="42">
        <v>451890.65</v>
      </c>
      <c r="AJ8" s="42">
        <v>70629.45</v>
      </c>
      <c r="AK8" s="42">
        <v>21536.6</v>
      </c>
      <c r="AL8" s="42">
        <v>728705.75</v>
      </c>
      <c r="AM8" s="42">
        <v>0</v>
      </c>
      <c r="AN8" s="38">
        <v>20783.05</v>
      </c>
      <c r="AO8" s="38">
        <v>0</v>
      </c>
      <c r="AP8" s="38">
        <v>0</v>
      </c>
      <c r="AQ8" s="38">
        <v>0</v>
      </c>
      <c r="AR8" s="38">
        <v>0</v>
      </c>
      <c r="AS8" s="4">
        <f t="shared" si="4"/>
        <v>20783.05</v>
      </c>
      <c r="AT8" s="38">
        <v>666127.85</v>
      </c>
      <c r="AU8" s="4">
        <f t="shared" si="5"/>
        <v>2738057.45</v>
      </c>
      <c r="AV8" s="38">
        <v>9925.8</v>
      </c>
      <c r="AW8" s="38">
        <v>0</v>
      </c>
      <c r="AX8" s="4">
        <f t="shared" si="6"/>
        <v>1.8553691916167736E-10</v>
      </c>
      <c r="AY8" s="42">
        <v>5985.75</v>
      </c>
      <c r="AZ8" s="42">
        <v>896234.25</v>
      </c>
      <c r="BA8" s="42">
        <v>0</v>
      </c>
      <c r="BB8" s="42">
        <v>0</v>
      </c>
      <c r="BC8" s="42">
        <v>18519.45</v>
      </c>
      <c r="BD8" s="42">
        <v>0</v>
      </c>
      <c r="BE8" s="42">
        <v>0</v>
      </c>
      <c r="BF8" s="43">
        <f t="shared" si="7"/>
        <v>914753.7</v>
      </c>
      <c r="BG8" s="42">
        <v>0</v>
      </c>
      <c r="BH8" s="42">
        <v>14942</v>
      </c>
      <c r="BI8" s="42">
        <v>0</v>
      </c>
      <c r="BJ8" s="42">
        <v>0</v>
      </c>
      <c r="BK8" s="42">
        <v>0</v>
      </c>
      <c r="BL8" s="42">
        <v>0</v>
      </c>
      <c r="BM8" s="42">
        <v>295260.3</v>
      </c>
      <c r="BN8" s="42">
        <v>0</v>
      </c>
      <c r="BO8" s="43">
        <f t="shared" si="8"/>
        <v>310202.3</v>
      </c>
      <c r="BP8" s="42">
        <v>310202.3</v>
      </c>
      <c r="BQ8" s="42">
        <v>0</v>
      </c>
      <c r="BR8" s="42">
        <v>914753.7</v>
      </c>
      <c r="BS8" s="43">
        <f t="shared" si="9"/>
        <v>0</v>
      </c>
      <c r="BT8" s="38">
        <v>1612008.05</v>
      </c>
      <c r="BU8" s="38">
        <v>664909</v>
      </c>
      <c r="BV8" s="38">
        <v>54736.5</v>
      </c>
      <c r="BW8" s="38">
        <v>104590.85</v>
      </c>
      <c r="BX8" s="4">
        <f t="shared" si="10"/>
        <v>2436244.4</v>
      </c>
      <c r="BY8" s="38">
        <v>1564229.15</v>
      </c>
      <c r="BZ8" s="38">
        <v>872015.25</v>
      </c>
      <c r="CA8" s="38">
        <v>0</v>
      </c>
      <c r="CB8" s="4">
        <f t="shared" si="11"/>
        <v>2436244.4</v>
      </c>
      <c r="CC8" s="4">
        <f t="shared" si="12"/>
        <v>0</v>
      </c>
      <c r="CD8" s="74">
        <f t="shared" si="13"/>
        <v>320146.6</v>
      </c>
      <c r="CE8" s="76">
        <f t="shared" si="14"/>
        <v>328532.55</v>
      </c>
      <c r="CF8" s="76">
        <f t="shared" si="15"/>
        <v>604551.3999999999</v>
      </c>
      <c r="CG8" s="76">
        <f t="shared" si="16"/>
        <v>2051146.55</v>
      </c>
      <c r="CH8" s="76">
        <f t="shared" si="17"/>
        <v>-44873.6</v>
      </c>
      <c r="CI8" s="37">
        <f t="shared" si="18"/>
        <v>71447.20000000001</v>
      </c>
      <c r="CJ8" s="59">
        <f t="shared" si="35"/>
        <v>0.5295605965018029</v>
      </c>
      <c r="CK8" s="59">
        <f t="shared" si="36"/>
        <v>0.5434319563233169</v>
      </c>
      <c r="CL8" s="141">
        <f t="shared" si="37"/>
        <v>0.1560817777744842</v>
      </c>
      <c r="CM8" s="141">
        <f t="shared" si="38"/>
        <v>0.1601701984677789</v>
      </c>
      <c r="CN8" s="141">
        <f t="shared" si="39"/>
        <v>-0.021877325147732617</v>
      </c>
      <c r="CO8" s="141">
        <f t="shared" si="40"/>
        <v>0.03483281094663861</v>
      </c>
      <c r="CP8" s="141">
        <f t="shared" si="41"/>
        <v>0.31813282703492396</v>
      </c>
      <c r="CQ8" s="141">
        <f t="shared" si="42"/>
        <v>0.11928750408407168</v>
      </c>
      <c r="CR8" s="142">
        <f t="shared" si="43"/>
        <v>0.1454312517892067</v>
      </c>
      <c r="CS8" s="76">
        <f t="shared" si="44"/>
        <v>47778.90000000014</v>
      </c>
      <c r="CT8" s="80">
        <f t="shared" si="45"/>
        <v>2417910.8500000006</v>
      </c>
      <c r="CU8" s="80">
        <f t="shared" si="19"/>
        <v>2738057.45</v>
      </c>
      <c r="CV8" s="80">
        <f t="shared" si="20"/>
        <v>320146.5999999996</v>
      </c>
      <c r="CW8" s="80">
        <f t="shared" si="21"/>
        <v>0</v>
      </c>
      <c r="CX8" s="80">
        <f t="shared" si="22"/>
        <v>320146.5999999996</v>
      </c>
      <c r="CY8" s="80">
        <f t="shared" si="23"/>
        <v>9925.79999999964</v>
      </c>
      <c r="CZ8" s="80">
        <f t="shared" si="24"/>
        <v>604551.3999999999</v>
      </c>
      <c r="DA8" s="80">
        <f t="shared" si="25"/>
        <v>310220.8</v>
      </c>
      <c r="DB8" s="80">
        <f t="shared" si="26"/>
        <v>-284404.8000000003</v>
      </c>
      <c r="DC8" s="80">
        <f t="shared" si="27"/>
        <v>-620423.1</v>
      </c>
      <c r="DD8" s="80">
        <f t="shared" si="28"/>
        <v>9925.799999999697</v>
      </c>
      <c r="DE8" s="80">
        <f t="shared" si="29"/>
        <v>693115.35</v>
      </c>
      <c r="DF8" s="80">
        <f t="shared" si="30"/>
        <v>69.95446559297238</v>
      </c>
      <c r="DG8" s="80">
        <f t="shared" si="31"/>
        <v>-65.70073206442167</v>
      </c>
      <c r="DH8" s="80">
        <f t="shared" si="32"/>
        <v>1014.8101756954611</v>
      </c>
      <c r="DI8" s="81">
        <f t="shared" si="33"/>
        <v>885.1411420204977</v>
      </c>
      <c r="DJ8" s="76">
        <f t="shared" si="34"/>
        <v>-416.40527086383645</v>
      </c>
      <c r="DK8" s="147">
        <f t="shared" si="46"/>
        <v>-769499.85</v>
      </c>
      <c r="DL8" s="67"/>
      <c r="DM8" s="67"/>
      <c r="DN8" s="68"/>
    </row>
    <row r="9" spans="1:118" ht="12.75">
      <c r="A9" s="52" t="s">
        <v>4</v>
      </c>
      <c r="B9" s="41">
        <v>2817</v>
      </c>
      <c r="C9" s="4">
        <v>10355660</v>
      </c>
      <c r="D9" s="69">
        <v>3676.13</v>
      </c>
      <c r="E9" s="69">
        <v>106.61</v>
      </c>
      <c r="F9" s="8">
        <v>4</v>
      </c>
      <c r="G9" s="133">
        <v>1875616.15</v>
      </c>
      <c r="H9" s="43">
        <v>1600926.4</v>
      </c>
      <c r="I9" s="43">
        <v>338517.5</v>
      </c>
      <c r="J9" s="43">
        <v>267132.25</v>
      </c>
      <c r="K9" s="43">
        <v>133593.45</v>
      </c>
      <c r="L9" s="43">
        <v>354995.7</v>
      </c>
      <c r="M9" s="43">
        <f t="shared" si="0"/>
        <v>488589.15</v>
      </c>
      <c r="N9" s="43">
        <v>0</v>
      </c>
      <c r="O9" s="43">
        <v>197704.95</v>
      </c>
      <c r="P9" s="43">
        <v>577327.95</v>
      </c>
      <c r="Q9" s="43">
        <v>0</v>
      </c>
      <c r="R9" s="43">
        <v>200766.75</v>
      </c>
      <c r="S9" s="43">
        <v>0</v>
      </c>
      <c r="T9" s="43">
        <v>232484.5</v>
      </c>
      <c r="U9" s="43">
        <v>0</v>
      </c>
      <c r="V9" s="43">
        <v>0</v>
      </c>
      <c r="W9" s="43">
        <f t="shared" si="1"/>
        <v>433251.25</v>
      </c>
      <c r="X9" s="43">
        <v>1209975.1</v>
      </c>
      <c r="Y9" s="43">
        <f t="shared" si="2"/>
        <v>6989040.700000001</v>
      </c>
      <c r="Z9" s="43">
        <v>3095653.95</v>
      </c>
      <c r="AA9" s="43">
        <v>55373.75</v>
      </c>
      <c r="AB9" s="43">
        <v>81614.1</v>
      </c>
      <c r="AC9" s="43">
        <v>0</v>
      </c>
      <c r="AD9" s="43">
        <v>8602</v>
      </c>
      <c r="AE9" s="43">
        <f t="shared" si="3"/>
        <v>3241243.8000000003</v>
      </c>
      <c r="AF9" s="43">
        <v>24140.2</v>
      </c>
      <c r="AG9" s="43">
        <v>749597.5</v>
      </c>
      <c r="AH9" s="43">
        <v>47800</v>
      </c>
      <c r="AI9" s="43">
        <v>1167218.15</v>
      </c>
      <c r="AJ9" s="43">
        <v>39806.9</v>
      </c>
      <c r="AK9" s="43">
        <v>172912.4</v>
      </c>
      <c r="AL9" s="43">
        <v>381362.5</v>
      </c>
      <c r="AM9" s="43">
        <v>0</v>
      </c>
      <c r="AN9" s="4">
        <v>0</v>
      </c>
      <c r="AO9" s="4">
        <v>28974.15</v>
      </c>
      <c r="AP9" s="4">
        <v>7887.9</v>
      </c>
      <c r="AQ9" s="4">
        <v>0</v>
      </c>
      <c r="AR9" s="4">
        <v>0</v>
      </c>
      <c r="AS9" s="4">
        <f t="shared" si="4"/>
        <v>36862.05</v>
      </c>
      <c r="AT9" s="4">
        <v>1209975.1</v>
      </c>
      <c r="AU9" s="4">
        <f t="shared" si="5"/>
        <v>7023118.600000002</v>
      </c>
      <c r="AV9" s="4">
        <v>34077.9</v>
      </c>
      <c r="AW9" s="4">
        <v>0</v>
      </c>
      <c r="AX9" s="4">
        <f t="shared" si="6"/>
        <v>-1.3023964129388332E-09</v>
      </c>
      <c r="AY9" s="43">
        <f>1097284.2</f>
        <v>1097284.2</v>
      </c>
      <c r="AZ9" s="43">
        <v>1203351.1</v>
      </c>
      <c r="BA9" s="43">
        <v>0</v>
      </c>
      <c r="BB9" s="43">
        <v>9806</v>
      </c>
      <c r="BC9" s="43">
        <v>0</v>
      </c>
      <c r="BD9" s="43">
        <v>0</v>
      </c>
      <c r="BE9" s="43">
        <v>20500</v>
      </c>
      <c r="BF9" s="43">
        <f t="shared" si="7"/>
        <v>1233657.1</v>
      </c>
      <c r="BG9" s="43">
        <v>0</v>
      </c>
      <c r="BH9" s="43">
        <v>34955.25</v>
      </c>
      <c r="BI9" s="43">
        <v>0</v>
      </c>
      <c r="BJ9" s="43">
        <v>0</v>
      </c>
      <c r="BK9" s="43">
        <v>0</v>
      </c>
      <c r="BL9" s="43">
        <v>160520.25</v>
      </c>
      <c r="BM9" s="43">
        <v>296972.4</v>
      </c>
      <c r="BN9" s="43">
        <v>0</v>
      </c>
      <c r="BO9" s="43">
        <f t="shared" si="8"/>
        <v>492447.9</v>
      </c>
      <c r="BP9" s="43">
        <v>192398.65</v>
      </c>
      <c r="BQ9" s="43">
        <v>0</v>
      </c>
      <c r="BR9" s="43">
        <v>933607.85</v>
      </c>
      <c r="BS9" s="43">
        <f t="shared" si="9"/>
        <v>0</v>
      </c>
      <c r="BT9" s="4">
        <v>17130883.4</v>
      </c>
      <c r="BU9" s="4">
        <v>911131.15</v>
      </c>
      <c r="BV9" s="4">
        <v>624415.5</v>
      </c>
      <c r="BW9" s="4">
        <v>0</v>
      </c>
      <c r="BX9" s="4">
        <f t="shared" si="10"/>
        <v>18666430.049999997</v>
      </c>
      <c r="BY9" s="4">
        <v>9494316.3</v>
      </c>
      <c r="BZ9" s="4">
        <v>2843150.55</v>
      </c>
      <c r="CA9" s="4">
        <v>6328963.2</v>
      </c>
      <c r="CB9" s="4">
        <f t="shared" si="11"/>
        <v>18666430.05</v>
      </c>
      <c r="CC9" s="4">
        <f t="shared" si="12"/>
        <v>0</v>
      </c>
      <c r="CD9" s="74">
        <f t="shared" si="13"/>
        <v>522667.05000000005</v>
      </c>
      <c r="CE9" s="76">
        <f t="shared" si="14"/>
        <v>919056.25</v>
      </c>
      <c r="CF9" s="76">
        <f t="shared" si="15"/>
        <v>741209.2</v>
      </c>
      <c r="CG9" s="76">
        <f t="shared" si="16"/>
        <v>5776281.450000002</v>
      </c>
      <c r="CH9" s="76">
        <f t="shared" si="17"/>
        <v>734004.2</v>
      </c>
      <c r="CI9" s="37">
        <f>CH9+K9</f>
        <v>867597.6499999999</v>
      </c>
      <c r="CJ9" s="59">
        <f t="shared" si="35"/>
        <v>0.705154563650856</v>
      </c>
      <c r="CK9" s="59">
        <f t="shared" si="36"/>
        <v>1.2399417735235883</v>
      </c>
      <c r="CL9" s="141">
        <f t="shared" si="37"/>
        <v>0.09048503860558939</v>
      </c>
      <c r="CM9" s="141">
        <f t="shared" si="38"/>
        <v>0.1591086338080011</v>
      </c>
      <c r="CN9" s="141">
        <f t="shared" si="39"/>
        <v>0.12707209756892987</v>
      </c>
      <c r="CO9" s="141">
        <f t="shared" si="40"/>
        <v>0.15020003050578493</v>
      </c>
      <c r="CP9" s="141">
        <f t="shared" si="41"/>
        <v>0.34906198759852236</v>
      </c>
      <c r="CQ9" s="141">
        <f t="shared" si="42"/>
        <v>0.09544296099727925</v>
      </c>
      <c r="CR9" s="142">
        <f t="shared" si="43"/>
        <v>8.309140055355694</v>
      </c>
      <c r="CS9" s="76">
        <f t="shared" si="44"/>
        <v>7636567.099999998</v>
      </c>
      <c r="CT9" s="80">
        <f t="shared" si="45"/>
        <v>6500451.550000001</v>
      </c>
      <c r="CU9" s="80">
        <f t="shared" si="19"/>
        <v>7023118.600000002</v>
      </c>
      <c r="CV9" s="80">
        <f t="shared" si="20"/>
        <v>522667.0500000017</v>
      </c>
      <c r="CW9" s="80">
        <f t="shared" si="21"/>
        <v>0</v>
      </c>
      <c r="CX9" s="80">
        <f t="shared" si="22"/>
        <v>522667.0500000017</v>
      </c>
      <c r="CY9" s="80">
        <f t="shared" si="23"/>
        <v>34077.90000000165</v>
      </c>
      <c r="CZ9" s="80">
        <f t="shared" si="24"/>
        <v>741209.2</v>
      </c>
      <c r="DA9" s="80">
        <f t="shared" si="25"/>
        <v>488589.15</v>
      </c>
      <c r="DB9" s="80">
        <f t="shared" si="26"/>
        <v>-218542.14999999828</v>
      </c>
      <c r="DC9" s="80">
        <f t="shared" si="27"/>
        <v>-680987.8</v>
      </c>
      <c r="DD9" s="80">
        <f t="shared" si="28"/>
        <v>34077.90000000165</v>
      </c>
      <c r="DE9" s="80">
        <f t="shared" si="29"/>
        <v>3232641.8000000003</v>
      </c>
      <c r="DF9" s="80">
        <f t="shared" si="30"/>
        <v>2710.8864394746174</v>
      </c>
      <c r="DG9" s="80">
        <f t="shared" si="31"/>
        <v>260.5623713170039</v>
      </c>
      <c r="DH9" s="80">
        <f t="shared" si="32"/>
        <v>1147.547674831381</v>
      </c>
      <c r="DI9" s="81">
        <f t="shared" si="33"/>
        <v>263.12005679801206</v>
      </c>
      <c r="DJ9" s="76">
        <f t="shared" si="34"/>
        <v>-77.57974795882083</v>
      </c>
      <c r="DK9" s="147">
        <f t="shared" si="46"/>
        <v>5417832.05</v>
      </c>
      <c r="DL9" s="64"/>
      <c r="DM9" s="64"/>
      <c r="DN9" s="65"/>
    </row>
    <row r="10" spans="1:118" ht="12.75">
      <c r="A10" s="51" t="s">
        <v>5</v>
      </c>
      <c r="B10" s="46">
        <v>532</v>
      </c>
      <c r="C10" s="38">
        <v>1085712</v>
      </c>
      <c r="D10" s="66">
        <v>2040.81</v>
      </c>
      <c r="E10" s="66">
        <v>59.19</v>
      </c>
      <c r="F10" s="128">
        <v>8</v>
      </c>
      <c r="G10" s="134">
        <v>481141.65</v>
      </c>
      <c r="H10" s="42">
        <v>257652.5</v>
      </c>
      <c r="I10" s="42">
        <v>20682.1</v>
      </c>
      <c r="J10" s="42">
        <v>4700</v>
      </c>
      <c r="K10" s="42">
        <v>38595</v>
      </c>
      <c r="L10" s="42">
        <v>157476.8</v>
      </c>
      <c r="M10" s="43">
        <f t="shared" si="0"/>
        <v>196071.8</v>
      </c>
      <c r="N10" s="42">
        <v>0</v>
      </c>
      <c r="O10" s="42">
        <v>78475.25</v>
      </c>
      <c r="P10" s="42">
        <v>168812.95</v>
      </c>
      <c r="Q10" s="42">
        <v>11506.15</v>
      </c>
      <c r="R10" s="42">
        <v>45050.95</v>
      </c>
      <c r="S10" s="42">
        <v>80417.65</v>
      </c>
      <c r="T10" s="42">
        <v>100000</v>
      </c>
      <c r="U10" s="42">
        <v>0</v>
      </c>
      <c r="V10" s="42">
        <v>0</v>
      </c>
      <c r="W10" s="43">
        <f t="shared" si="1"/>
        <v>225468.59999999998</v>
      </c>
      <c r="X10" s="42">
        <v>146074.05</v>
      </c>
      <c r="Y10" s="43">
        <f t="shared" si="2"/>
        <v>1590585.0499999998</v>
      </c>
      <c r="Z10" s="42">
        <v>412296.3</v>
      </c>
      <c r="AA10" s="42">
        <v>53643.3</v>
      </c>
      <c r="AB10" s="42">
        <v>8736</v>
      </c>
      <c r="AC10" s="42">
        <v>0</v>
      </c>
      <c r="AD10" s="42">
        <v>51276.3</v>
      </c>
      <c r="AE10" s="43">
        <f t="shared" si="3"/>
        <v>525951.9</v>
      </c>
      <c r="AF10" s="42">
        <v>79.2</v>
      </c>
      <c r="AG10" s="42">
        <v>81552.25</v>
      </c>
      <c r="AH10" s="42">
        <v>0</v>
      </c>
      <c r="AI10" s="42">
        <v>624058.75</v>
      </c>
      <c r="AJ10" s="42">
        <v>52678.45</v>
      </c>
      <c r="AK10" s="42">
        <v>17273.8</v>
      </c>
      <c r="AL10" s="42">
        <v>125887.3</v>
      </c>
      <c r="AM10" s="42">
        <v>11506.15</v>
      </c>
      <c r="AN10" s="38">
        <v>31592.05</v>
      </c>
      <c r="AO10" s="38">
        <v>13729.5</v>
      </c>
      <c r="AP10" s="38">
        <v>9702.95</v>
      </c>
      <c r="AQ10" s="38">
        <v>0</v>
      </c>
      <c r="AR10" s="38">
        <v>0</v>
      </c>
      <c r="AS10" s="4">
        <f t="shared" si="4"/>
        <v>55024.5</v>
      </c>
      <c r="AT10" s="38">
        <v>146074.05</v>
      </c>
      <c r="AU10" s="4">
        <f t="shared" si="5"/>
        <v>1640086.35</v>
      </c>
      <c r="AV10" s="38">
        <v>49501.3</v>
      </c>
      <c r="AW10" s="38">
        <v>0</v>
      </c>
      <c r="AX10" s="4">
        <f t="shared" si="6"/>
        <v>-2.764863893389702E-10</v>
      </c>
      <c r="AY10" s="42">
        <v>294.75</v>
      </c>
      <c r="AZ10" s="42">
        <v>44147.25</v>
      </c>
      <c r="BA10" s="42">
        <v>0</v>
      </c>
      <c r="BB10" s="42">
        <v>0</v>
      </c>
      <c r="BC10" s="42">
        <v>0</v>
      </c>
      <c r="BD10" s="42">
        <v>0</v>
      </c>
      <c r="BE10" s="42">
        <v>2257.5</v>
      </c>
      <c r="BF10" s="43">
        <f t="shared" si="7"/>
        <v>46404.75</v>
      </c>
      <c r="BG10" s="42">
        <v>0</v>
      </c>
      <c r="BH10" s="42">
        <v>0</v>
      </c>
      <c r="BI10" s="42">
        <v>0</v>
      </c>
      <c r="BJ10" s="42">
        <v>0</v>
      </c>
      <c r="BK10" s="42">
        <v>0</v>
      </c>
      <c r="BL10" s="42">
        <v>55825</v>
      </c>
      <c r="BM10" s="42">
        <v>6500</v>
      </c>
      <c r="BN10" s="42">
        <v>0</v>
      </c>
      <c r="BO10" s="43">
        <f t="shared" si="8"/>
        <v>62325</v>
      </c>
      <c r="BP10" s="42">
        <v>18603.35</v>
      </c>
      <c r="BQ10" s="42">
        <v>43721.65</v>
      </c>
      <c r="BR10" s="42">
        <v>46404.75</v>
      </c>
      <c r="BS10" s="43">
        <f t="shared" si="9"/>
        <v>0</v>
      </c>
      <c r="BT10" s="38">
        <v>2934012.45</v>
      </c>
      <c r="BU10" s="38">
        <v>197304.9</v>
      </c>
      <c r="BV10" s="38">
        <v>13299.85</v>
      </c>
      <c r="BW10" s="38">
        <v>0</v>
      </c>
      <c r="BX10" s="4">
        <f t="shared" si="10"/>
        <v>3144617.2</v>
      </c>
      <c r="BY10" s="38">
        <v>1469685.6</v>
      </c>
      <c r="BZ10" s="38">
        <v>1159946.2</v>
      </c>
      <c r="CA10" s="38">
        <v>514985.4</v>
      </c>
      <c r="CB10" s="4">
        <f t="shared" si="11"/>
        <v>3144617.1999999997</v>
      </c>
      <c r="CC10" s="4">
        <f t="shared" si="12"/>
        <v>0</v>
      </c>
      <c r="CD10" s="74">
        <f t="shared" si="13"/>
        <v>245573.09999999998</v>
      </c>
      <c r="CE10" s="76">
        <f t="shared" si="14"/>
        <v>416017.19999999995</v>
      </c>
      <c r="CF10" s="76">
        <f t="shared" si="15"/>
        <v>27801.4</v>
      </c>
      <c r="CG10" s="76">
        <f t="shared" si="16"/>
        <v>1427481.6500000001</v>
      </c>
      <c r="CH10" s="76">
        <f t="shared" si="17"/>
        <v>-16853.75</v>
      </c>
      <c r="CI10" s="37">
        <f t="shared" si="18"/>
        <v>21741.25</v>
      </c>
      <c r="CJ10" s="59">
        <f t="shared" si="35"/>
        <v>8.833119914824431</v>
      </c>
      <c r="CK10" s="59">
        <f t="shared" si="36"/>
        <v>14.963893904623506</v>
      </c>
      <c r="CL10" s="141">
        <f t="shared" si="37"/>
        <v>0.17203240405927456</v>
      </c>
      <c r="CM10" s="141">
        <f t="shared" si="38"/>
        <v>0.29143435924377725</v>
      </c>
      <c r="CN10" s="141">
        <f t="shared" si="39"/>
        <v>-0.011806631629905714</v>
      </c>
      <c r="CO10" s="141">
        <f t="shared" si="40"/>
        <v>0.015230493505818444</v>
      </c>
      <c r="CP10" s="141">
        <f t="shared" si="41"/>
        <v>0.49843267280446457</v>
      </c>
      <c r="CQ10" s="141">
        <f t="shared" si="42"/>
        <v>0.09811206408513774</v>
      </c>
      <c r="CR10" s="142">
        <f t="shared" si="43"/>
        <v>3.5198709332210307</v>
      </c>
      <c r="CS10" s="76">
        <f t="shared" si="44"/>
        <v>1464326.85</v>
      </c>
      <c r="CT10" s="80">
        <f t="shared" si="45"/>
        <v>1394513.2499999998</v>
      </c>
      <c r="CU10" s="80">
        <f t="shared" si="19"/>
        <v>1640086.35</v>
      </c>
      <c r="CV10" s="80">
        <f t="shared" si="20"/>
        <v>245573.10000000033</v>
      </c>
      <c r="CW10" s="80">
        <f t="shared" si="21"/>
        <v>0</v>
      </c>
      <c r="CX10" s="80">
        <f t="shared" si="22"/>
        <v>245573.10000000033</v>
      </c>
      <c r="CY10" s="80">
        <f t="shared" si="23"/>
        <v>49501.30000000034</v>
      </c>
      <c r="CZ10" s="80">
        <f t="shared" si="24"/>
        <v>27801.4</v>
      </c>
      <c r="DA10" s="80">
        <f t="shared" si="25"/>
        <v>196071.8</v>
      </c>
      <c r="DB10" s="80">
        <f t="shared" si="26"/>
        <v>217771.70000000033</v>
      </c>
      <c r="DC10" s="80">
        <f t="shared" si="27"/>
        <v>-214675.15</v>
      </c>
      <c r="DD10" s="80">
        <f t="shared" si="28"/>
        <v>49501.30000000034</v>
      </c>
      <c r="DE10" s="80">
        <f t="shared" si="29"/>
        <v>474675.6</v>
      </c>
      <c r="DF10" s="80">
        <f t="shared" si="30"/>
        <v>2752.4940789473685</v>
      </c>
      <c r="DG10" s="80">
        <f t="shared" si="31"/>
        <v>-31.679981203007518</v>
      </c>
      <c r="DH10" s="80">
        <f t="shared" si="32"/>
        <v>892.2473684210526</v>
      </c>
      <c r="DI10" s="81">
        <f t="shared" si="33"/>
        <v>52.25827067669173</v>
      </c>
      <c r="DJ10" s="76">
        <f t="shared" si="34"/>
        <v>409.3453007518803</v>
      </c>
      <c r="DK10" s="147">
        <f t="shared" si="46"/>
        <v>317680.5</v>
      </c>
      <c r="DL10" s="67"/>
      <c r="DM10" s="67"/>
      <c r="DN10" s="68"/>
    </row>
    <row r="11" spans="1:118" ht="12.75">
      <c r="A11" s="52" t="s">
        <v>6</v>
      </c>
      <c r="B11" s="41">
        <v>5636</v>
      </c>
      <c r="C11" s="4">
        <v>22193324</v>
      </c>
      <c r="D11" s="69">
        <v>3937.78</v>
      </c>
      <c r="E11" s="69">
        <v>114.2</v>
      </c>
      <c r="F11" s="8">
        <v>4</v>
      </c>
      <c r="G11" s="133">
        <v>4498744.15</v>
      </c>
      <c r="H11" s="43">
        <v>2404065.75</v>
      </c>
      <c r="I11" s="43">
        <v>888503.05</v>
      </c>
      <c r="J11" s="43">
        <v>263899</v>
      </c>
      <c r="K11" s="43">
        <v>1997323.75</v>
      </c>
      <c r="L11" s="43">
        <v>31347.1</v>
      </c>
      <c r="M11" s="43">
        <f t="shared" si="0"/>
        <v>2028670.85</v>
      </c>
      <c r="N11" s="43">
        <v>0</v>
      </c>
      <c r="O11" s="43">
        <v>490692.65</v>
      </c>
      <c r="P11" s="43">
        <v>1524728.85</v>
      </c>
      <c r="Q11" s="43">
        <v>56870.4</v>
      </c>
      <c r="R11" s="43">
        <v>95177.35</v>
      </c>
      <c r="S11" s="43">
        <v>0</v>
      </c>
      <c r="T11" s="43">
        <v>680000</v>
      </c>
      <c r="U11" s="43">
        <v>0</v>
      </c>
      <c r="V11" s="43">
        <v>0</v>
      </c>
      <c r="W11" s="43">
        <f t="shared" si="1"/>
        <v>775177.35</v>
      </c>
      <c r="X11" s="43">
        <v>1826633.3</v>
      </c>
      <c r="Y11" s="43">
        <f t="shared" si="2"/>
        <v>14757985.349999998</v>
      </c>
      <c r="Z11" s="43">
        <v>6200397.1</v>
      </c>
      <c r="AA11" s="43">
        <v>438816.9</v>
      </c>
      <c r="AB11" s="43">
        <v>66039.1</v>
      </c>
      <c r="AC11" s="43">
        <v>0</v>
      </c>
      <c r="AD11" s="43">
        <v>22749.5</v>
      </c>
      <c r="AE11" s="43">
        <f t="shared" si="3"/>
        <v>6728002.6</v>
      </c>
      <c r="AF11" s="43">
        <v>41099</v>
      </c>
      <c r="AG11" s="43">
        <v>1093982.4</v>
      </c>
      <c r="AH11" s="43">
        <v>0</v>
      </c>
      <c r="AI11" s="43">
        <v>3062844.1</v>
      </c>
      <c r="AJ11" s="43">
        <v>66813.3</v>
      </c>
      <c r="AK11" s="43">
        <v>464409.45</v>
      </c>
      <c r="AL11" s="43">
        <v>485769.25</v>
      </c>
      <c r="AM11" s="43">
        <v>0</v>
      </c>
      <c r="AN11" s="4">
        <v>0</v>
      </c>
      <c r="AO11" s="4">
        <v>0</v>
      </c>
      <c r="AP11" s="4">
        <v>1014323.55</v>
      </c>
      <c r="AQ11" s="4">
        <v>0</v>
      </c>
      <c r="AR11" s="4">
        <v>0</v>
      </c>
      <c r="AS11" s="4">
        <f t="shared" si="4"/>
        <v>1014323.55</v>
      </c>
      <c r="AT11" s="4">
        <v>1824548.3</v>
      </c>
      <c r="AU11" s="4">
        <f t="shared" si="5"/>
        <v>14781791.950000001</v>
      </c>
      <c r="AV11" s="4">
        <v>23806.6</v>
      </c>
      <c r="AW11" s="4">
        <v>0</v>
      </c>
      <c r="AX11" s="4">
        <f t="shared" si="6"/>
        <v>-3.3542164601385593E-09</v>
      </c>
      <c r="AY11" s="43">
        <v>384095.25</v>
      </c>
      <c r="AZ11" s="43">
        <v>1691778.7</v>
      </c>
      <c r="BA11" s="43">
        <v>0</v>
      </c>
      <c r="BB11" s="43">
        <v>0</v>
      </c>
      <c r="BC11" s="43">
        <v>0</v>
      </c>
      <c r="BD11" s="43">
        <v>0</v>
      </c>
      <c r="BE11" s="43">
        <v>431316.5</v>
      </c>
      <c r="BF11" s="43">
        <f t="shared" si="7"/>
        <v>2123095.2</v>
      </c>
      <c r="BG11" s="43">
        <v>0</v>
      </c>
      <c r="BH11" s="43">
        <v>0</v>
      </c>
      <c r="BI11" s="43">
        <v>0</v>
      </c>
      <c r="BJ11" s="43">
        <v>0</v>
      </c>
      <c r="BK11" s="43">
        <v>0</v>
      </c>
      <c r="BL11" s="43">
        <v>0</v>
      </c>
      <c r="BM11" s="43">
        <v>1714510.25</v>
      </c>
      <c r="BN11" s="43">
        <v>0</v>
      </c>
      <c r="BO11" s="43">
        <f t="shared" si="8"/>
        <v>1714510.25</v>
      </c>
      <c r="BP11" s="43">
        <v>1714510.25</v>
      </c>
      <c r="BQ11" s="43">
        <v>0</v>
      </c>
      <c r="BR11" s="43">
        <v>2123095.2</v>
      </c>
      <c r="BS11" s="43">
        <f t="shared" si="9"/>
        <v>0</v>
      </c>
      <c r="BT11" s="4">
        <v>10062317.05</v>
      </c>
      <c r="BU11" s="4">
        <v>32607745.5</v>
      </c>
      <c r="BV11" s="4">
        <v>0</v>
      </c>
      <c r="BW11" s="4">
        <v>0</v>
      </c>
      <c r="BX11" s="4">
        <f t="shared" si="10"/>
        <v>42670062.55</v>
      </c>
      <c r="BY11" s="4">
        <v>26731405.37</v>
      </c>
      <c r="BZ11" s="4">
        <v>10082984.55</v>
      </c>
      <c r="CA11" s="4">
        <v>5855672.63</v>
      </c>
      <c r="CB11" s="4">
        <f t="shared" si="11"/>
        <v>42670062.550000004</v>
      </c>
      <c r="CC11" s="4">
        <f t="shared" si="12"/>
        <v>0</v>
      </c>
      <c r="CD11" s="74">
        <f t="shared" si="13"/>
        <v>2052477.4500000002</v>
      </c>
      <c r="CE11" s="76">
        <f t="shared" si="14"/>
        <v>1813331.2500000002</v>
      </c>
      <c r="CF11" s="76">
        <f t="shared" si="15"/>
        <v>408584.9500000002</v>
      </c>
      <c r="CG11" s="76">
        <f>AU11-AM11-AT11-AS11</f>
        <v>11942920.1</v>
      </c>
      <c r="CH11" s="76">
        <f t="shared" si="17"/>
        <v>178615.90000000014</v>
      </c>
      <c r="CI11" s="37">
        <f t="shared" si="18"/>
        <v>2175939.6500000004</v>
      </c>
      <c r="CJ11" s="59">
        <f t="shared" si="35"/>
        <v>5.023379960519836</v>
      </c>
      <c r="CK11" s="59">
        <f t="shared" si="36"/>
        <v>4.43807646365829</v>
      </c>
      <c r="CL11" s="141">
        <f t="shared" si="37"/>
        <v>0.17185725373813732</v>
      </c>
      <c r="CM11" s="141">
        <f t="shared" si="38"/>
        <v>0.15183315594650929</v>
      </c>
      <c r="CN11" s="141">
        <f t="shared" si="39"/>
        <v>0.014955797954304337</v>
      </c>
      <c r="CO11" s="141">
        <f t="shared" si="40"/>
        <v>0.18219494326182425</v>
      </c>
      <c r="CP11" s="141">
        <f t="shared" si="41"/>
        <v>0.05857046033574429</v>
      </c>
      <c r="CQ11" s="141">
        <f t="shared" si="42"/>
        <v>0.05766542732992641</v>
      </c>
      <c r="CR11" s="142">
        <f t="shared" si="43"/>
        <v>-9.192522502438536</v>
      </c>
      <c r="CS11" s="76">
        <f t="shared" si="44"/>
        <v>-16669088.32</v>
      </c>
      <c r="CT11" s="80">
        <f t="shared" si="45"/>
        <v>12729314.499999998</v>
      </c>
      <c r="CU11" s="80">
        <f t="shared" si="19"/>
        <v>14781791.950000001</v>
      </c>
      <c r="CV11" s="80">
        <f t="shared" si="20"/>
        <v>2052477.450000003</v>
      </c>
      <c r="CW11" s="80">
        <f t="shared" si="21"/>
        <v>0</v>
      </c>
      <c r="CX11" s="80">
        <f t="shared" si="22"/>
        <v>2052477.450000003</v>
      </c>
      <c r="CY11" s="80">
        <f t="shared" si="23"/>
        <v>23806.60000000298</v>
      </c>
      <c r="CZ11" s="80">
        <f t="shared" si="24"/>
        <v>408584.9500000002</v>
      </c>
      <c r="DA11" s="80">
        <f t="shared" si="25"/>
        <v>2028670.85</v>
      </c>
      <c r="DB11" s="80">
        <f t="shared" si="26"/>
        <v>1643892.5000000028</v>
      </c>
      <c r="DC11" s="80">
        <f t="shared" si="27"/>
        <v>-3743181.1</v>
      </c>
      <c r="DD11" s="80">
        <f t="shared" si="28"/>
        <v>23806.600000002887</v>
      </c>
      <c r="DE11" s="80">
        <f t="shared" si="29"/>
        <v>6705253.1</v>
      </c>
      <c r="DF11" s="80">
        <f t="shared" si="30"/>
        <v>-2957.609709013485</v>
      </c>
      <c r="DG11" s="80">
        <f t="shared" si="31"/>
        <v>31.691962384670003</v>
      </c>
      <c r="DH11" s="80">
        <f t="shared" si="32"/>
        <v>1189.7184350603263</v>
      </c>
      <c r="DI11" s="81">
        <f t="shared" si="33"/>
        <v>72.49555535841026</v>
      </c>
      <c r="DJ11" s="76">
        <f t="shared" si="34"/>
        <v>291.67716465578474</v>
      </c>
      <c r="DK11" s="147">
        <f t="shared" si="46"/>
        <v>-26752072.87</v>
      </c>
      <c r="DL11" s="64"/>
      <c r="DM11" s="64"/>
      <c r="DN11" s="65"/>
    </row>
    <row r="12" spans="1:118" ht="12.75">
      <c r="A12" s="51" t="s">
        <v>7</v>
      </c>
      <c r="B12" s="46">
        <v>652</v>
      </c>
      <c r="C12" s="38">
        <v>1582384</v>
      </c>
      <c r="D12" s="66">
        <v>2426.97</v>
      </c>
      <c r="E12" s="66">
        <v>70.39</v>
      </c>
      <c r="F12" s="128">
        <v>8</v>
      </c>
      <c r="G12" s="134">
        <v>478759.1</v>
      </c>
      <c r="H12" s="42">
        <v>962985.9</v>
      </c>
      <c r="I12" s="42">
        <v>19949.35</v>
      </c>
      <c r="J12" s="42">
        <v>0</v>
      </c>
      <c r="K12" s="42">
        <v>94690.2</v>
      </c>
      <c r="L12" s="42">
        <f>324446.35</f>
        <v>324446.35</v>
      </c>
      <c r="M12" s="43">
        <f t="shared" si="0"/>
        <v>419136.55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3">
        <f t="shared" si="1"/>
        <v>0</v>
      </c>
      <c r="X12" s="42">
        <v>0</v>
      </c>
      <c r="Y12" s="43">
        <f t="shared" si="2"/>
        <v>1880830.8999999997</v>
      </c>
      <c r="Z12" s="42">
        <f>118920.35+3345.85+25208+79784.45+401804.2</f>
        <v>629062.8500000001</v>
      </c>
      <c r="AA12" s="42">
        <f>1923.45+1950.4</f>
        <v>3873.8500000000004</v>
      </c>
      <c r="AB12" s="42">
        <f>4396.8</f>
        <v>4396.8</v>
      </c>
      <c r="AC12" s="42">
        <v>0</v>
      </c>
      <c r="AD12" s="42">
        <v>0</v>
      </c>
      <c r="AE12" s="43">
        <f t="shared" si="3"/>
        <v>637333.5000000001</v>
      </c>
      <c r="AF12" s="42">
        <v>0</v>
      </c>
      <c r="AG12" s="42">
        <f>93029</f>
        <v>93029</v>
      </c>
      <c r="AH12" s="42">
        <v>0</v>
      </c>
      <c r="AI12" s="42">
        <f>1122726.5-30000</f>
        <v>1092726.5</v>
      </c>
      <c r="AJ12" s="42">
        <f>57769</f>
        <v>57769</v>
      </c>
      <c r="AK12" s="42">
        <v>0</v>
      </c>
      <c r="AL12" s="42">
        <v>0</v>
      </c>
      <c r="AM12" s="42">
        <v>0</v>
      </c>
      <c r="AN12" s="38">
        <v>0</v>
      </c>
      <c r="AO12" s="38">
        <v>0</v>
      </c>
      <c r="AP12" s="38">
        <v>0</v>
      </c>
      <c r="AQ12" s="38">
        <v>0</v>
      </c>
      <c r="AR12" s="38">
        <v>0</v>
      </c>
      <c r="AS12" s="4">
        <f t="shared" si="4"/>
        <v>0</v>
      </c>
      <c r="AT12" s="38">
        <v>0</v>
      </c>
      <c r="AU12" s="144">
        <f t="shared" si="5"/>
        <v>1880858</v>
      </c>
      <c r="AV12" s="38">
        <f>26.7</f>
        <v>26.7</v>
      </c>
      <c r="AW12" s="38">
        <v>0</v>
      </c>
      <c r="AX12" s="4">
        <f t="shared" si="6"/>
        <v>-0.4000000003259636</v>
      </c>
      <c r="AY12" s="42">
        <v>0</v>
      </c>
      <c r="AZ12" s="42">
        <f>24800+17250+78800.7+560775.3+28218.05+4547.55+8100+83780.6+344141.2+8000+64968.75</f>
        <v>1223382.1500000001</v>
      </c>
      <c r="BA12" s="42">
        <v>0</v>
      </c>
      <c r="BB12" s="42">
        <v>0</v>
      </c>
      <c r="BC12" s="42">
        <f>9530.2</f>
        <v>9530.2</v>
      </c>
      <c r="BD12" s="42">
        <v>0</v>
      </c>
      <c r="BE12" s="42">
        <v>0</v>
      </c>
      <c r="BF12" s="43">
        <f t="shared" si="7"/>
        <v>1232912.35</v>
      </c>
      <c r="BG12" s="42">
        <v>0</v>
      </c>
      <c r="BH12" s="42">
        <v>0</v>
      </c>
      <c r="BI12" s="42">
        <v>0</v>
      </c>
      <c r="BJ12" s="42">
        <v>0</v>
      </c>
      <c r="BK12" s="42">
        <v>0</v>
      </c>
      <c r="BL12" s="42">
        <v>0</v>
      </c>
      <c r="BM12" s="42">
        <f>35000+50000+91000+97600+1955.55+135000+111766.65+244360+16988.65+33981.45</f>
        <v>817652.2999999999</v>
      </c>
      <c r="BN12" s="42">
        <v>0</v>
      </c>
      <c r="BO12" s="43">
        <f t="shared" si="8"/>
        <v>817652.2999999999</v>
      </c>
      <c r="BP12" s="42">
        <f>817652.3</f>
        <v>817652.3</v>
      </c>
      <c r="BQ12" s="42">
        <v>0</v>
      </c>
      <c r="BR12" s="42">
        <f>1232912.35</f>
        <v>1232912.35</v>
      </c>
      <c r="BS12" s="143">
        <f t="shared" si="9"/>
        <v>0</v>
      </c>
      <c r="BT12" s="38">
        <v>1873825.63</v>
      </c>
      <c r="BU12" s="38">
        <v>965750.2</v>
      </c>
      <c r="BV12" s="38">
        <v>0</v>
      </c>
      <c r="BW12" s="38">
        <v>0</v>
      </c>
      <c r="BX12" s="4">
        <f t="shared" si="10"/>
        <v>2839575.83</v>
      </c>
      <c r="BY12" s="38">
        <v>2693017.15</v>
      </c>
      <c r="BZ12" s="38">
        <v>139738.6</v>
      </c>
      <c r="CA12" s="38">
        <v>6820.08</v>
      </c>
      <c r="CB12" s="4">
        <f t="shared" si="11"/>
        <v>2839575.83</v>
      </c>
      <c r="CC12" s="4">
        <f t="shared" si="12"/>
        <v>0</v>
      </c>
      <c r="CD12" s="74">
        <f t="shared" si="13"/>
        <v>419163.25</v>
      </c>
      <c r="CE12" s="76">
        <f t="shared" si="14"/>
        <v>419163.25</v>
      </c>
      <c r="CF12" s="76">
        <f t="shared" si="15"/>
        <v>415260.05000000005</v>
      </c>
      <c r="CG12" s="76">
        <f aca="true" t="shared" si="47" ref="CG12:CG31">AU12-AM12-AT12-AS12</f>
        <v>1880858</v>
      </c>
      <c r="CH12" s="76">
        <f t="shared" si="17"/>
        <v>-73079.65</v>
      </c>
      <c r="CI12" s="37">
        <f t="shared" si="18"/>
        <v>21610.550000000003</v>
      </c>
      <c r="CJ12" s="59">
        <f t="shared" si="35"/>
        <v>1.0093994112845672</v>
      </c>
      <c r="CK12" s="59">
        <f t="shared" si="36"/>
        <v>1.0093994112845672</v>
      </c>
      <c r="CL12" s="141">
        <f t="shared" si="37"/>
        <v>0.2228574671772138</v>
      </c>
      <c r="CM12" s="141">
        <f t="shared" si="38"/>
        <v>0.2228574671772138</v>
      </c>
      <c r="CN12" s="141">
        <f t="shared" si="39"/>
        <v>-0.038854421758580386</v>
      </c>
      <c r="CO12" s="141">
        <f t="shared" si="40"/>
        <v>0.011489729687195952</v>
      </c>
      <c r="CP12" s="141">
        <f t="shared" si="41"/>
        <v>0.30265041527763914</v>
      </c>
      <c r="CQ12" s="141">
        <f t="shared" si="42"/>
        <v>0.06837396631890658</v>
      </c>
      <c r="CR12" s="142">
        <f t="shared" si="43"/>
        <v>-1.9543495762092693</v>
      </c>
      <c r="CS12" s="76">
        <f t="shared" si="44"/>
        <v>-819191.52</v>
      </c>
      <c r="CT12" s="80">
        <f t="shared" si="45"/>
        <v>1461694.3499999996</v>
      </c>
      <c r="CU12" s="80">
        <f t="shared" si="19"/>
        <v>1880858</v>
      </c>
      <c r="CV12" s="80">
        <f t="shared" si="20"/>
        <v>419163.6500000004</v>
      </c>
      <c r="CW12" s="80">
        <f t="shared" si="21"/>
        <v>0</v>
      </c>
      <c r="CX12" s="80">
        <f t="shared" si="22"/>
        <v>419163.6500000004</v>
      </c>
      <c r="CY12" s="80">
        <f t="shared" si="23"/>
        <v>27.10000000038417</v>
      </c>
      <c r="CZ12" s="80">
        <f t="shared" si="24"/>
        <v>415260.05000000005</v>
      </c>
      <c r="DA12" s="80">
        <f t="shared" si="25"/>
        <v>419136.55</v>
      </c>
      <c r="DB12" s="80">
        <f t="shared" si="26"/>
        <v>3903.600000000326</v>
      </c>
      <c r="DC12" s="80">
        <f t="shared" si="27"/>
        <v>-1236788.85</v>
      </c>
      <c r="DD12" s="80">
        <f t="shared" si="28"/>
        <v>27.100000000325963</v>
      </c>
      <c r="DE12" s="80">
        <f t="shared" si="29"/>
        <v>637333.5000000001</v>
      </c>
      <c r="DF12" s="80">
        <f t="shared" si="30"/>
        <v>-1256.4287116564417</v>
      </c>
      <c r="DG12" s="80">
        <f t="shared" si="31"/>
        <v>-112.08535276073619</v>
      </c>
      <c r="DH12" s="80">
        <f t="shared" si="32"/>
        <v>977.5053680981597</v>
      </c>
      <c r="DI12" s="81">
        <f t="shared" si="33"/>
        <v>636.9019171779141</v>
      </c>
      <c r="DJ12" s="76">
        <f t="shared" si="34"/>
        <v>5.987116564417678</v>
      </c>
      <c r="DK12" s="147">
        <f t="shared" si="46"/>
        <v>-958930.12</v>
      </c>
      <c r="DL12" s="67"/>
      <c r="DM12" s="67"/>
      <c r="DN12" s="68"/>
    </row>
    <row r="13" spans="1:118" ht="12.75">
      <c r="A13" s="52" t="s">
        <v>8</v>
      </c>
      <c r="B13" s="41">
        <v>345</v>
      </c>
      <c r="C13" s="4">
        <v>717733</v>
      </c>
      <c r="D13" s="69">
        <v>2080.38</v>
      </c>
      <c r="E13" s="69">
        <v>60.33</v>
      </c>
      <c r="F13" s="8">
        <v>5</v>
      </c>
      <c r="G13" s="133">
        <v>193497.75</v>
      </c>
      <c r="H13" s="43">
        <v>144494.9</v>
      </c>
      <c r="I13" s="43">
        <v>11208.55</v>
      </c>
      <c r="J13" s="43">
        <v>0</v>
      </c>
      <c r="K13" s="43">
        <v>7000</v>
      </c>
      <c r="L13" s="43">
        <v>0</v>
      </c>
      <c r="M13" s="43">
        <f t="shared" si="0"/>
        <v>7000</v>
      </c>
      <c r="N13" s="43">
        <v>0</v>
      </c>
      <c r="O13" s="43">
        <v>72696.15</v>
      </c>
      <c r="P13" s="43">
        <v>109797.95</v>
      </c>
      <c r="Q13" s="43">
        <v>0</v>
      </c>
      <c r="R13" s="43">
        <v>30000</v>
      </c>
      <c r="S13" s="43">
        <v>0</v>
      </c>
      <c r="T13" s="43">
        <v>0</v>
      </c>
      <c r="U13" s="43">
        <v>0</v>
      </c>
      <c r="V13" s="43">
        <v>0</v>
      </c>
      <c r="W13" s="43">
        <f t="shared" si="1"/>
        <v>30000</v>
      </c>
      <c r="X13" s="43">
        <v>82444.2</v>
      </c>
      <c r="Y13" s="43">
        <f t="shared" si="2"/>
        <v>651139.4999999999</v>
      </c>
      <c r="Z13" s="43">
        <v>61559.1</v>
      </c>
      <c r="AA13" s="43">
        <v>13195.4</v>
      </c>
      <c r="AB13" s="43">
        <v>9927</v>
      </c>
      <c r="AC13" s="43">
        <v>0</v>
      </c>
      <c r="AD13" s="43">
        <v>6419.1</v>
      </c>
      <c r="AE13" s="43">
        <f t="shared" si="3"/>
        <v>91100.6</v>
      </c>
      <c r="AF13" s="43">
        <v>0</v>
      </c>
      <c r="AG13" s="43">
        <v>30761.7</v>
      </c>
      <c r="AH13" s="43">
        <v>0</v>
      </c>
      <c r="AI13" s="43">
        <v>131855.2</v>
      </c>
      <c r="AJ13" s="43">
        <v>284093.9</v>
      </c>
      <c r="AK13" s="43">
        <v>9208.7</v>
      </c>
      <c r="AL13" s="43">
        <v>24594.65</v>
      </c>
      <c r="AM13" s="43">
        <v>0</v>
      </c>
      <c r="AN13" s="4">
        <v>3000</v>
      </c>
      <c r="AO13" s="4">
        <v>0</v>
      </c>
      <c r="AP13" s="4">
        <v>0</v>
      </c>
      <c r="AQ13" s="4">
        <v>0</v>
      </c>
      <c r="AR13" s="4">
        <v>0</v>
      </c>
      <c r="AS13" s="4">
        <f t="shared" si="4"/>
        <v>3000</v>
      </c>
      <c r="AT13" s="4">
        <v>109206.25</v>
      </c>
      <c r="AU13" s="4">
        <f t="shared" si="5"/>
        <v>683821</v>
      </c>
      <c r="AV13" s="4">
        <v>32681.5</v>
      </c>
      <c r="AW13" s="4">
        <v>0</v>
      </c>
      <c r="AX13" s="4">
        <f t="shared" si="6"/>
        <v>-1.1641532182693481E-10</v>
      </c>
      <c r="AY13" s="43">
        <v>0</v>
      </c>
      <c r="AZ13" s="43">
        <v>232402.8</v>
      </c>
      <c r="BA13" s="43">
        <v>0</v>
      </c>
      <c r="BB13" s="43">
        <v>0</v>
      </c>
      <c r="BC13" s="43">
        <v>3639</v>
      </c>
      <c r="BD13" s="43">
        <v>0</v>
      </c>
      <c r="BE13" s="43">
        <v>3659</v>
      </c>
      <c r="BF13" s="43">
        <f t="shared" si="7"/>
        <v>239700.8</v>
      </c>
      <c r="BG13" s="43">
        <v>0</v>
      </c>
      <c r="BH13" s="43">
        <v>0</v>
      </c>
      <c r="BI13" s="43">
        <v>0</v>
      </c>
      <c r="BJ13" s="43">
        <v>0</v>
      </c>
      <c r="BK13" s="43">
        <v>0</v>
      </c>
      <c r="BL13" s="43">
        <v>0</v>
      </c>
      <c r="BM13" s="43">
        <v>96749.7</v>
      </c>
      <c r="BN13" s="43">
        <v>25000</v>
      </c>
      <c r="BO13" s="43">
        <f t="shared" si="8"/>
        <v>121749.7</v>
      </c>
      <c r="BP13" s="43">
        <v>121749.7</v>
      </c>
      <c r="BQ13" s="43">
        <v>0</v>
      </c>
      <c r="BR13" s="43">
        <v>239700.8</v>
      </c>
      <c r="BS13" s="43">
        <f t="shared" si="9"/>
        <v>0</v>
      </c>
      <c r="BT13" s="4">
        <v>1967016.79</v>
      </c>
      <c r="BU13" s="4">
        <v>63007</v>
      </c>
      <c r="BV13" s="4">
        <v>100000</v>
      </c>
      <c r="BW13" s="4">
        <v>0</v>
      </c>
      <c r="BX13" s="4">
        <f t="shared" si="10"/>
        <v>2130023.79</v>
      </c>
      <c r="BY13" s="4">
        <v>1061648.75</v>
      </c>
      <c r="BZ13" s="4">
        <v>531739.75</v>
      </c>
      <c r="CA13" s="4">
        <v>536635.29</v>
      </c>
      <c r="CB13" s="4">
        <f t="shared" si="11"/>
        <v>2130023.79</v>
      </c>
      <c r="CC13" s="4">
        <f t="shared" si="12"/>
        <v>0</v>
      </c>
      <c r="CD13" s="74">
        <f t="shared" si="13"/>
        <v>39681.5</v>
      </c>
      <c r="CE13" s="76">
        <f t="shared" si="14"/>
        <v>66681.5</v>
      </c>
      <c r="CF13" s="76">
        <f t="shared" si="15"/>
        <v>117951.09999999999</v>
      </c>
      <c r="CG13" s="76">
        <f t="shared" si="47"/>
        <v>571614.75</v>
      </c>
      <c r="CH13" s="76">
        <f t="shared" si="17"/>
        <v>-19553.15</v>
      </c>
      <c r="CI13" s="37">
        <f t="shared" si="18"/>
        <v>-12553.150000000001</v>
      </c>
      <c r="CJ13" s="59">
        <f t="shared" si="35"/>
        <v>0.33642331440741124</v>
      </c>
      <c r="CK13" s="59">
        <f t="shared" si="36"/>
        <v>0.5653317349308316</v>
      </c>
      <c r="CL13" s="141">
        <f t="shared" si="37"/>
        <v>0.06942000709393871</v>
      </c>
      <c r="CM13" s="141">
        <f t="shared" si="38"/>
        <v>0.11665461746744639</v>
      </c>
      <c r="CN13" s="141">
        <f t="shared" si="39"/>
        <v>-0.034206867474990806</v>
      </c>
      <c r="CO13" s="141">
        <f t="shared" si="40"/>
        <v>-0.021960857378155483</v>
      </c>
      <c r="CP13" s="141">
        <f t="shared" si="41"/>
        <v>0.0999900009999</v>
      </c>
      <c r="CQ13" s="141">
        <f t="shared" si="42"/>
        <v>0.0999900009999</v>
      </c>
      <c r="CR13" s="142">
        <f t="shared" si="43"/>
        <v>13.577499606337591</v>
      </c>
      <c r="CS13" s="76">
        <f t="shared" si="44"/>
        <v>905368.04</v>
      </c>
      <c r="CT13" s="80">
        <f t="shared" si="45"/>
        <v>644139.4999999999</v>
      </c>
      <c r="CU13" s="80">
        <f t="shared" si="19"/>
        <v>683821</v>
      </c>
      <c r="CV13" s="80">
        <f t="shared" si="20"/>
        <v>39681.50000000012</v>
      </c>
      <c r="CW13" s="80">
        <f t="shared" si="21"/>
        <v>0</v>
      </c>
      <c r="CX13" s="80">
        <f t="shared" si="22"/>
        <v>39681.50000000012</v>
      </c>
      <c r="CY13" s="80">
        <f t="shared" si="23"/>
        <v>32681.500000000116</v>
      </c>
      <c r="CZ13" s="80">
        <f t="shared" si="24"/>
        <v>117951.09999999999</v>
      </c>
      <c r="DA13" s="80">
        <f t="shared" si="25"/>
        <v>7000</v>
      </c>
      <c r="DB13" s="80">
        <f t="shared" si="26"/>
        <v>-78269.59999999987</v>
      </c>
      <c r="DC13" s="80">
        <f t="shared" si="27"/>
        <v>-128749.7</v>
      </c>
      <c r="DD13" s="80">
        <f t="shared" si="28"/>
        <v>32681.500000000116</v>
      </c>
      <c r="DE13" s="80">
        <f t="shared" si="29"/>
        <v>84681.5</v>
      </c>
      <c r="DF13" s="80">
        <f t="shared" si="30"/>
        <v>2624.255188405797</v>
      </c>
      <c r="DG13" s="80">
        <f t="shared" si="31"/>
        <v>-56.67579710144928</v>
      </c>
      <c r="DH13" s="80">
        <f t="shared" si="32"/>
        <v>245.4536231884058</v>
      </c>
      <c r="DI13" s="81">
        <f t="shared" si="33"/>
        <v>341.88724637681156</v>
      </c>
      <c r="DJ13" s="76">
        <f t="shared" si="34"/>
        <v>-226.86840579710108</v>
      </c>
      <c r="DK13" s="147">
        <f t="shared" si="46"/>
        <v>473628.29000000004</v>
      </c>
      <c r="DL13" s="64"/>
      <c r="DM13" s="64"/>
      <c r="DN13" s="65"/>
    </row>
    <row r="14" spans="1:118" ht="12.75">
      <c r="A14" s="51" t="s">
        <v>33</v>
      </c>
      <c r="B14" s="46">
        <v>182</v>
      </c>
      <c r="C14" s="38">
        <v>493098</v>
      </c>
      <c r="D14" s="66">
        <v>2709.33</v>
      </c>
      <c r="E14" s="66">
        <v>78.58</v>
      </c>
      <c r="F14" s="128">
        <v>6</v>
      </c>
      <c r="G14" s="134">
        <f>74683.8-3045.15</f>
        <v>71638.65000000001</v>
      </c>
      <c r="H14" s="42">
        <f>71271.25-760</f>
        <v>70511.25</v>
      </c>
      <c r="I14" s="42">
        <v>13411.3</v>
      </c>
      <c r="J14" s="42">
        <v>0</v>
      </c>
      <c r="K14" s="42">
        <f>19099.65</f>
        <v>19099.65</v>
      </c>
      <c r="L14" s="42">
        <f>1600</f>
        <v>1600</v>
      </c>
      <c r="M14" s="43">
        <f t="shared" si="0"/>
        <v>20699.65</v>
      </c>
      <c r="N14" s="42">
        <v>0</v>
      </c>
      <c r="O14" s="42">
        <f>62446.4-4780.85</f>
        <v>57665.55</v>
      </c>
      <c r="P14" s="42">
        <f>54038.45</f>
        <v>54038.45</v>
      </c>
      <c r="Q14" s="42">
        <v>0</v>
      </c>
      <c r="R14" s="42">
        <f>1674.4</f>
        <v>1674.4</v>
      </c>
      <c r="S14" s="42">
        <f>1926</f>
        <v>1926</v>
      </c>
      <c r="T14" s="42">
        <v>0</v>
      </c>
      <c r="U14" s="42">
        <v>0</v>
      </c>
      <c r="V14" s="42">
        <v>0</v>
      </c>
      <c r="W14" s="43">
        <f t="shared" si="1"/>
        <v>3600.4</v>
      </c>
      <c r="X14" s="42">
        <v>5700</v>
      </c>
      <c r="Y14" s="43">
        <f t="shared" si="2"/>
        <v>297265.25</v>
      </c>
      <c r="Z14" s="42">
        <f>142691.8</f>
        <v>142691.8</v>
      </c>
      <c r="AA14" s="42">
        <f>38421.7</f>
        <v>38421.7</v>
      </c>
      <c r="AB14" s="42">
        <v>0</v>
      </c>
      <c r="AC14" s="42">
        <v>0</v>
      </c>
      <c r="AD14" s="42">
        <f>3410</f>
        <v>3410</v>
      </c>
      <c r="AE14" s="43">
        <f t="shared" si="3"/>
        <v>184523.5</v>
      </c>
      <c r="AF14" s="42">
        <f>495</f>
        <v>495</v>
      </c>
      <c r="AG14" s="42">
        <f>13163.45</f>
        <v>13163.45</v>
      </c>
      <c r="AH14" s="42">
        <v>0</v>
      </c>
      <c r="AI14" s="42">
        <f>46253.85</f>
        <v>46253.85</v>
      </c>
      <c r="AJ14" s="42">
        <f>6781.1</f>
        <v>6781.1</v>
      </c>
      <c r="AK14" s="42">
        <f>5902.5</f>
        <v>5902.5</v>
      </c>
      <c r="AL14" s="42">
        <f>11912.85</f>
        <v>11912.85</v>
      </c>
      <c r="AM14" s="42">
        <v>0</v>
      </c>
      <c r="AN14" s="38">
        <f>21521.9</f>
        <v>21521.9</v>
      </c>
      <c r="AO14" s="38">
        <v>0</v>
      </c>
      <c r="AP14" s="38">
        <v>0</v>
      </c>
      <c r="AQ14" s="38">
        <v>0</v>
      </c>
      <c r="AR14" s="38">
        <v>0</v>
      </c>
      <c r="AS14" s="4">
        <f t="shared" si="4"/>
        <v>21521.9</v>
      </c>
      <c r="AT14" s="38">
        <f>7160</f>
        <v>7160</v>
      </c>
      <c r="AU14" s="4">
        <f t="shared" si="5"/>
        <v>297714.14999999997</v>
      </c>
      <c r="AV14" s="38">
        <f>448.9</f>
        <v>448.9</v>
      </c>
      <c r="AW14" s="38">
        <v>0</v>
      </c>
      <c r="AX14" s="4">
        <f t="shared" si="6"/>
        <v>3.490185918053612E-11</v>
      </c>
      <c r="AY14" s="42">
        <v>0</v>
      </c>
      <c r="AZ14" s="42">
        <f>23027.85-3000+25838.4+10383.4</f>
        <v>56249.65</v>
      </c>
      <c r="BA14" s="42">
        <v>0</v>
      </c>
      <c r="BB14" s="42">
        <v>0</v>
      </c>
      <c r="BC14" s="42">
        <v>0</v>
      </c>
      <c r="BD14" s="42">
        <v>0</v>
      </c>
      <c r="BE14" s="42">
        <v>0</v>
      </c>
      <c r="BF14" s="43">
        <f t="shared" si="7"/>
        <v>56249.65</v>
      </c>
      <c r="BG14" s="42">
        <v>0</v>
      </c>
      <c r="BH14" s="42">
        <f>1300+5800</f>
        <v>7100</v>
      </c>
      <c r="BI14" s="42">
        <v>0</v>
      </c>
      <c r="BJ14" s="42">
        <v>0</v>
      </c>
      <c r="BK14" s="42">
        <v>0</v>
      </c>
      <c r="BL14" s="42">
        <v>0</v>
      </c>
      <c r="BM14" s="42">
        <v>8550</v>
      </c>
      <c r="BN14" s="42">
        <v>0</v>
      </c>
      <c r="BO14" s="43">
        <f t="shared" si="8"/>
        <v>15650</v>
      </c>
      <c r="BP14" s="42">
        <f>15650</f>
        <v>15650</v>
      </c>
      <c r="BQ14" s="42">
        <v>0</v>
      </c>
      <c r="BR14" s="42">
        <f>56249.65</f>
        <v>56249.65</v>
      </c>
      <c r="BS14" s="43">
        <f t="shared" si="9"/>
        <v>0</v>
      </c>
      <c r="BT14" s="38">
        <v>977221.3</v>
      </c>
      <c r="BU14" s="38">
        <v>27007</v>
      </c>
      <c r="BV14" s="38">
        <v>0</v>
      </c>
      <c r="BW14" s="38">
        <v>0</v>
      </c>
      <c r="BX14" s="4">
        <f t="shared" si="10"/>
        <v>1004228.3</v>
      </c>
      <c r="BY14" s="38">
        <v>688325.95</v>
      </c>
      <c r="BZ14" s="38">
        <v>314759.25</v>
      </c>
      <c r="CA14" s="38">
        <f>1143.1</f>
        <v>1143.1</v>
      </c>
      <c r="CB14" s="4">
        <f t="shared" si="11"/>
        <v>1004228.2999999999</v>
      </c>
      <c r="CC14" s="4">
        <f t="shared" si="12"/>
        <v>0</v>
      </c>
      <c r="CD14" s="74">
        <f t="shared" si="13"/>
        <v>21148.550000000003</v>
      </c>
      <c r="CE14" s="76">
        <f t="shared" si="14"/>
        <v>3227.050000000003</v>
      </c>
      <c r="CF14" s="76">
        <f t="shared" si="15"/>
        <v>40599.65</v>
      </c>
      <c r="CG14" s="76">
        <f t="shared" si="47"/>
        <v>269032.24999999994</v>
      </c>
      <c r="CH14" s="76">
        <f t="shared" si="17"/>
        <v>247.84999999999854</v>
      </c>
      <c r="CI14" s="37">
        <f t="shared" si="18"/>
        <v>19347.5</v>
      </c>
      <c r="CJ14" s="59">
        <f t="shared" si="35"/>
        <v>0.5209047368634951</v>
      </c>
      <c r="CK14" s="59">
        <f t="shared" si="36"/>
        <v>0.07948467536050194</v>
      </c>
      <c r="CL14" s="141">
        <f t="shared" si="37"/>
        <v>0.07860972058182618</v>
      </c>
      <c r="CM14" s="141">
        <f t="shared" si="38"/>
        <v>0.011995030335582458</v>
      </c>
      <c r="CN14" s="141">
        <f t="shared" si="39"/>
        <v>0.0009212650156254449</v>
      </c>
      <c r="CO14" s="141">
        <f t="shared" si="40"/>
        <v>0.07191517002143796</v>
      </c>
      <c r="CP14" s="141">
        <f t="shared" si="41"/>
        <v>0.4338944361006275</v>
      </c>
      <c r="CQ14" s="141">
        <f t="shared" si="42"/>
        <v>0.40035613483654797</v>
      </c>
      <c r="CR14" s="142">
        <f t="shared" si="43"/>
        <v>89.52304736524064</v>
      </c>
      <c r="CS14" s="76">
        <f t="shared" si="44"/>
        <v>288895.3500000001</v>
      </c>
      <c r="CT14" s="80">
        <f t="shared" si="45"/>
        <v>276565.6</v>
      </c>
      <c r="CU14" s="80">
        <f t="shared" si="19"/>
        <v>297714.14999999997</v>
      </c>
      <c r="CV14" s="80">
        <f t="shared" si="20"/>
        <v>21148.54999999999</v>
      </c>
      <c r="CW14" s="80">
        <f t="shared" si="21"/>
        <v>0</v>
      </c>
      <c r="CX14" s="80">
        <f t="shared" si="22"/>
        <v>21148.54999999999</v>
      </c>
      <c r="CY14" s="80">
        <f t="shared" si="23"/>
        <v>448.8999999999869</v>
      </c>
      <c r="CZ14" s="80">
        <f t="shared" si="24"/>
        <v>40599.65</v>
      </c>
      <c r="DA14" s="80">
        <f t="shared" si="25"/>
        <v>20699.65</v>
      </c>
      <c r="DB14" s="80">
        <f t="shared" si="26"/>
        <v>-19451.100000000013</v>
      </c>
      <c r="DC14" s="80">
        <f t="shared" si="27"/>
        <v>-36349.65</v>
      </c>
      <c r="DD14" s="80">
        <f t="shared" si="28"/>
        <v>448.8999999999869</v>
      </c>
      <c r="DE14" s="80">
        <f t="shared" si="29"/>
        <v>181113.5</v>
      </c>
      <c r="DF14" s="80">
        <f t="shared" si="30"/>
        <v>1587.3370879120885</v>
      </c>
      <c r="DG14" s="80">
        <f t="shared" si="31"/>
        <v>1.3618131868131789</v>
      </c>
      <c r="DH14" s="80">
        <f t="shared" si="32"/>
        <v>995.1291208791209</v>
      </c>
      <c r="DI14" s="81">
        <f t="shared" si="33"/>
        <v>223.07500000000002</v>
      </c>
      <c r="DJ14" s="76">
        <f t="shared" si="34"/>
        <v>-106.8741758241759</v>
      </c>
      <c r="DK14" s="147">
        <f t="shared" si="46"/>
        <v>-25863.9</v>
      </c>
      <c r="DL14" s="67"/>
      <c r="DM14" s="67"/>
      <c r="DN14" s="68"/>
    </row>
    <row r="15" spans="1:118" ht="12.75">
      <c r="A15" s="52" t="s">
        <v>9</v>
      </c>
      <c r="B15" s="41">
        <v>1250</v>
      </c>
      <c r="C15" s="4">
        <v>3326691</v>
      </c>
      <c r="D15" s="69">
        <v>2661.35</v>
      </c>
      <c r="E15" s="69">
        <v>77.18</v>
      </c>
      <c r="F15" s="8">
        <v>6</v>
      </c>
      <c r="G15" s="133">
        <v>746290.7</v>
      </c>
      <c r="H15" s="43">
        <v>938579.75</v>
      </c>
      <c r="I15" s="43">
        <v>156563.6</v>
      </c>
      <c r="J15" s="43">
        <v>124987.3</v>
      </c>
      <c r="K15" s="43">
        <v>216814.4</v>
      </c>
      <c r="L15" s="43">
        <v>292998</v>
      </c>
      <c r="M15" s="43">
        <f t="shared" si="0"/>
        <v>509812.4</v>
      </c>
      <c r="N15" s="43">
        <v>20700</v>
      </c>
      <c r="O15" s="43">
        <v>129434.9</v>
      </c>
      <c r="P15" s="43">
        <v>279072.6</v>
      </c>
      <c r="Q15" s="43">
        <v>0</v>
      </c>
      <c r="R15" s="43">
        <v>83434.5</v>
      </c>
      <c r="S15" s="43">
        <v>16144</v>
      </c>
      <c r="T15" s="43">
        <v>0</v>
      </c>
      <c r="U15" s="43">
        <v>0</v>
      </c>
      <c r="V15" s="43">
        <v>0</v>
      </c>
      <c r="W15" s="43">
        <f>SUM(R15:V15)</f>
        <v>99578.5</v>
      </c>
      <c r="X15" s="43">
        <v>483099.95</v>
      </c>
      <c r="Y15" s="43">
        <f>SUM(G15:X15)-M15-W15</f>
        <v>3488119.7</v>
      </c>
      <c r="Z15" s="43">
        <v>988603.65</v>
      </c>
      <c r="AA15" s="43">
        <v>212580.55</v>
      </c>
      <c r="AB15" s="43">
        <v>1112.8</v>
      </c>
      <c r="AC15" s="43">
        <v>0</v>
      </c>
      <c r="AD15" s="43">
        <v>3450</v>
      </c>
      <c r="AE15" s="43">
        <f>SUM(Z15:AD15)</f>
        <v>1205747</v>
      </c>
      <c r="AF15" s="43">
        <v>323865.75</v>
      </c>
      <c r="AG15" s="43">
        <v>110759.45</v>
      </c>
      <c r="AH15" s="43">
        <v>0</v>
      </c>
      <c r="AI15" s="43">
        <v>779045.1</v>
      </c>
      <c r="AJ15" s="43">
        <v>16144</v>
      </c>
      <c r="AK15" s="43">
        <v>96779.4</v>
      </c>
      <c r="AL15" s="43">
        <v>157807.25</v>
      </c>
      <c r="AM15" s="43">
        <v>0</v>
      </c>
      <c r="AN15" s="4">
        <v>0</v>
      </c>
      <c r="AO15" s="4">
        <v>0</v>
      </c>
      <c r="AP15" s="4">
        <v>7534.45</v>
      </c>
      <c r="AQ15" s="4">
        <v>0</v>
      </c>
      <c r="AR15" s="4">
        <v>69030.45</v>
      </c>
      <c r="AS15" s="4">
        <f>SUM(AN15:AR15)</f>
        <v>76564.9</v>
      </c>
      <c r="AT15" s="4">
        <v>483099.95</v>
      </c>
      <c r="AU15" s="4">
        <f>SUM(Z15:AT15)-AE15-AH15-AS15</f>
        <v>3249812.8000000003</v>
      </c>
      <c r="AV15" s="4">
        <v>0</v>
      </c>
      <c r="AW15" s="4">
        <v>238306.9</v>
      </c>
      <c r="AX15" s="4">
        <f>Y15-AU15+AV15-AW15</f>
        <v>0</v>
      </c>
      <c r="AY15" s="43">
        <v>515452.8</v>
      </c>
      <c r="AZ15" s="43">
        <v>422904.05</v>
      </c>
      <c r="BA15" s="43">
        <v>0</v>
      </c>
      <c r="BB15" s="43">
        <v>0</v>
      </c>
      <c r="BC15" s="43">
        <v>31433.35</v>
      </c>
      <c r="BD15" s="43">
        <v>0</v>
      </c>
      <c r="BE15" s="43">
        <v>66000</v>
      </c>
      <c r="BF15" s="43">
        <f>SUM(AZ15:BE15)</f>
        <v>520337.39999999997</v>
      </c>
      <c r="BG15" s="43">
        <v>1</v>
      </c>
      <c r="BH15" s="43">
        <v>96410</v>
      </c>
      <c r="BI15" s="43">
        <v>0</v>
      </c>
      <c r="BJ15" s="43">
        <v>0</v>
      </c>
      <c r="BK15" s="43">
        <v>0</v>
      </c>
      <c r="BL15" s="43">
        <v>0</v>
      </c>
      <c r="BM15" s="43">
        <v>420270</v>
      </c>
      <c r="BN15" s="43">
        <v>0</v>
      </c>
      <c r="BO15" s="43">
        <f>SUM(BG15:BN15)</f>
        <v>516681</v>
      </c>
      <c r="BP15" s="43">
        <v>495223</v>
      </c>
      <c r="BQ15" s="43">
        <v>21458</v>
      </c>
      <c r="BR15" s="43">
        <v>520337.4</v>
      </c>
      <c r="BS15" s="43">
        <f>+BF15-BO15+BP15+BQ15-BR15</f>
        <v>0</v>
      </c>
      <c r="BT15" s="4">
        <v>5363954.61</v>
      </c>
      <c r="BU15" s="4">
        <v>1086532</v>
      </c>
      <c r="BV15" s="4">
        <v>169632.1</v>
      </c>
      <c r="BW15" s="4">
        <v>0</v>
      </c>
      <c r="BX15" s="4">
        <f>SUM(BT15:BW15)</f>
        <v>6620118.71</v>
      </c>
      <c r="BY15" s="4">
        <v>6218701.55</v>
      </c>
      <c r="BZ15" s="4">
        <v>344458.6</v>
      </c>
      <c r="CA15" s="4">
        <v>56958.56</v>
      </c>
      <c r="CB15" s="4">
        <f>SUM(BY15:CA15)</f>
        <v>6620118.709999999</v>
      </c>
      <c r="CC15" s="4">
        <f>BX15-CB15</f>
        <v>0</v>
      </c>
      <c r="CD15" s="74">
        <f>K15+L15+AV15-AW15</f>
        <v>271505.5</v>
      </c>
      <c r="CE15" s="76">
        <f>CD15+W15-AS15</f>
        <v>294519.1</v>
      </c>
      <c r="CF15" s="76">
        <f>BR15-BP15</f>
        <v>25114.400000000023</v>
      </c>
      <c r="CG15" s="76">
        <f t="shared" si="47"/>
        <v>2690147.95</v>
      </c>
      <c r="CH15" s="76">
        <f>I15-AG15+AY15+AH15+BQ15</f>
        <v>582714.95</v>
      </c>
      <c r="CI15" s="37">
        <f>CH15+K15</f>
        <v>799529.35</v>
      </c>
      <c r="CJ15" s="59">
        <f t="shared" si="35"/>
        <v>10.810750007963549</v>
      </c>
      <c r="CK15" s="59">
        <f t="shared" si="36"/>
        <v>11.727100786799593</v>
      </c>
      <c r="CL15" s="141">
        <f t="shared" si="37"/>
        <v>0.10092586171701076</v>
      </c>
      <c r="CM15" s="141">
        <f t="shared" si="38"/>
        <v>0.10948063284028671</v>
      </c>
      <c r="CN15" s="141">
        <f t="shared" si="39"/>
        <v>0.21661074440162292</v>
      </c>
      <c r="CO15" s="141">
        <f t="shared" si="40"/>
        <v>0.2972064603361313</v>
      </c>
      <c r="CP15" s="141">
        <f t="shared" si="41"/>
        <v>0.31936241327372716</v>
      </c>
      <c r="CQ15" s="141">
        <f t="shared" si="42"/>
        <v>0.13581931317577836</v>
      </c>
      <c r="CR15" s="142">
        <f t="shared" si="43"/>
        <v>-2.9021782967556247</v>
      </c>
      <c r="CS15" s="76">
        <f t="shared" si="44"/>
        <v>-854746.9399999995</v>
      </c>
      <c r="CT15" s="80">
        <f>Y15-K15-L15-V15</f>
        <v>2978307.3000000003</v>
      </c>
      <c r="CU15" s="80">
        <f>AU15-AR15</f>
        <v>3180782.35</v>
      </c>
      <c r="CV15" s="80">
        <f>CU15-CT15</f>
        <v>202475.0499999998</v>
      </c>
      <c r="CW15" s="80">
        <f>-V15+AR15</f>
        <v>69030.45</v>
      </c>
      <c r="CX15" s="80">
        <f>CV15+CW15</f>
        <v>271505.4999999998</v>
      </c>
      <c r="CY15" s="80">
        <f>CX15-K15-L15</f>
        <v>-238306.90000000017</v>
      </c>
      <c r="CZ15" s="80">
        <f>BR15-BP15</f>
        <v>25114.400000000023</v>
      </c>
      <c r="DA15" s="80">
        <f>K15+L15</f>
        <v>509812.4</v>
      </c>
      <c r="DB15" s="80">
        <f>-CZ15+DA15+CY15</f>
        <v>246391.09999999983</v>
      </c>
      <c r="DC15" s="80">
        <f>-BP15-DA15</f>
        <v>-1005035.4</v>
      </c>
      <c r="DD15" s="80">
        <f>DB15+DC15+BR15</f>
        <v>-238306.90000000014</v>
      </c>
      <c r="DE15" s="80">
        <f>Z15+AA15+AB15</f>
        <v>1202297</v>
      </c>
      <c r="DF15" s="80">
        <f>CS15/B15</f>
        <v>-683.7975519999995</v>
      </c>
      <c r="DG15" s="80">
        <f>CH15/B15</f>
        <v>466.17195999999996</v>
      </c>
      <c r="DH15" s="80">
        <f>DE15/B15</f>
        <v>961.8376</v>
      </c>
      <c r="DI15" s="81">
        <f>CZ15/B15</f>
        <v>20.091520000000017</v>
      </c>
      <c r="DJ15" s="76">
        <f>DB15/B15</f>
        <v>197.11287999999988</v>
      </c>
      <c r="DK15" s="147">
        <f t="shared" si="46"/>
        <v>-1029573.44</v>
      </c>
      <c r="DL15" s="64"/>
      <c r="DM15" s="64"/>
      <c r="DN15" s="65"/>
    </row>
    <row r="16" spans="1:118" ht="12.75">
      <c r="A16" s="51" t="s">
        <v>34</v>
      </c>
      <c r="B16" s="46">
        <v>577</v>
      </c>
      <c r="C16" s="38">
        <v>1149434</v>
      </c>
      <c r="D16" s="66">
        <v>1992.09</v>
      </c>
      <c r="E16" s="73">
        <v>57.77</v>
      </c>
      <c r="F16" s="128">
        <v>8</v>
      </c>
      <c r="G16" s="134">
        <v>443491.85</v>
      </c>
      <c r="H16" s="42">
        <v>426837.15</v>
      </c>
      <c r="I16" s="42">
        <v>37295</v>
      </c>
      <c r="J16" s="42">
        <v>1431.2</v>
      </c>
      <c r="K16" s="42">
        <v>75836.45</v>
      </c>
      <c r="L16" s="42">
        <v>22545.1</v>
      </c>
      <c r="M16" s="43">
        <f t="shared" si="0"/>
        <v>98381.54999999999</v>
      </c>
      <c r="N16" s="42">
        <v>0</v>
      </c>
      <c r="O16" s="42">
        <v>31983.4</v>
      </c>
      <c r="P16" s="42">
        <v>242787.4</v>
      </c>
      <c r="Q16" s="42">
        <v>2133.7</v>
      </c>
      <c r="R16" s="42">
        <v>88186.25</v>
      </c>
      <c r="S16" s="42">
        <v>0</v>
      </c>
      <c r="T16" s="42">
        <v>0</v>
      </c>
      <c r="U16" s="42">
        <v>0</v>
      </c>
      <c r="V16" s="42">
        <v>0</v>
      </c>
      <c r="W16" s="43">
        <f aca="true" t="shared" si="48" ref="W16:W31">SUM(R16:V16)</f>
        <v>88186.25</v>
      </c>
      <c r="X16" s="42">
        <v>17748.3</v>
      </c>
      <c r="Y16" s="43">
        <f aca="true" t="shared" si="49" ref="Y16:Y31">SUM(G16:X16)-M16-W16</f>
        <v>1390275.7999999996</v>
      </c>
      <c r="Z16" s="42">
        <f>98511.4+1040</f>
        <v>99551.4</v>
      </c>
      <c r="AA16" s="42">
        <v>1795.85</v>
      </c>
      <c r="AB16" s="42">
        <v>0</v>
      </c>
      <c r="AC16" s="42">
        <v>0</v>
      </c>
      <c r="AD16" s="42">
        <v>6456.5</v>
      </c>
      <c r="AE16" s="43">
        <f aca="true" t="shared" si="50" ref="AE16:AE31">SUM(Z16:AD16)</f>
        <v>107803.75</v>
      </c>
      <c r="AF16" s="42">
        <v>2764.4</v>
      </c>
      <c r="AG16" s="42">
        <v>89652.65</v>
      </c>
      <c r="AH16" s="42">
        <v>0</v>
      </c>
      <c r="AI16" s="42">
        <v>364560</v>
      </c>
      <c r="AJ16" s="42">
        <v>474395.15</v>
      </c>
      <c r="AK16" s="42">
        <v>137475.9</v>
      </c>
      <c r="AL16" s="42">
        <v>146745.2</v>
      </c>
      <c r="AM16" s="42">
        <v>0</v>
      </c>
      <c r="AN16" s="38">
        <v>9145.1</v>
      </c>
      <c r="AO16" s="38">
        <v>0</v>
      </c>
      <c r="AP16" s="38">
        <v>0</v>
      </c>
      <c r="AQ16" s="38">
        <v>12950.75</v>
      </c>
      <c r="AR16" s="38">
        <v>0</v>
      </c>
      <c r="AS16" s="4">
        <f aca="true" t="shared" si="51" ref="AS16:AS31">SUM(AN16:AR16)</f>
        <v>22095.85</v>
      </c>
      <c r="AT16" s="38">
        <v>96111.15</v>
      </c>
      <c r="AU16" s="144">
        <f aca="true" t="shared" si="52" ref="AU16:AU31">SUM(Z16:AT16)-AE16-AH16-AS16</f>
        <v>1441604.05</v>
      </c>
      <c r="AV16" s="38">
        <v>51328.25</v>
      </c>
      <c r="AW16" s="38">
        <v>0</v>
      </c>
      <c r="AX16" s="4">
        <f aca="true" t="shared" si="53" ref="AX16:AX31">Y16-AU16+AV16-AW16</f>
        <v>-4.656612873077393E-10</v>
      </c>
      <c r="AY16" s="42">
        <f>19821.5+28504.75+3725.8</f>
        <v>52052.05</v>
      </c>
      <c r="AZ16" s="42">
        <f>5144.8+12900+28661.85</f>
        <v>46706.649999999994</v>
      </c>
      <c r="BA16" s="42">
        <v>0</v>
      </c>
      <c r="BB16" s="42">
        <v>0</v>
      </c>
      <c r="BC16" s="42">
        <f>10467.75</f>
        <v>10467.75</v>
      </c>
      <c r="BD16" s="42">
        <v>0</v>
      </c>
      <c r="BE16" s="42">
        <v>0</v>
      </c>
      <c r="BF16" s="43">
        <f aca="true" t="shared" si="54" ref="BF16:BF31">SUM(AZ16:BE16)</f>
        <v>57174.399999999994</v>
      </c>
      <c r="BG16" s="42">
        <v>0</v>
      </c>
      <c r="BH16" s="42">
        <v>0</v>
      </c>
      <c r="BI16" s="42">
        <v>0</v>
      </c>
      <c r="BJ16" s="42">
        <v>0</v>
      </c>
      <c r="BK16" s="42">
        <v>0</v>
      </c>
      <c r="BL16" s="42">
        <f>28661.85</f>
        <v>28661.85</v>
      </c>
      <c r="BM16" s="42">
        <f>29017</f>
        <v>29017</v>
      </c>
      <c r="BN16" s="42">
        <v>0</v>
      </c>
      <c r="BO16" s="43">
        <f aca="true" t="shared" si="55" ref="BO16:BO31">SUM(BG16:BN16)</f>
        <v>57678.85</v>
      </c>
      <c r="BP16" s="42">
        <f>57678.85</f>
        <v>57678.85</v>
      </c>
      <c r="BQ16" s="42">
        <v>0</v>
      </c>
      <c r="BR16" s="42">
        <v>57174.4</v>
      </c>
      <c r="BS16" s="43">
        <f aca="true" t="shared" si="56" ref="BS16:BS31">+BF16-BO16+BP16+BQ16-BR16</f>
        <v>0</v>
      </c>
      <c r="BT16" s="38">
        <f>2912132.85</f>
        <v>2912132.85</v>
      </c>
      <c r="BU16" s="38">
        <v>558471.55</v>
      </c>
      <c r="BV16" s="38">
        <v>0</v>
      </c>
      <c r="BW16" s="38">
        <v>616802.05</v>
      </c>
      <c r="BX16" s="4">
        <f aca="true" t="shared" si="57" ref="BX16:BX31">SUM(BT16:BW16)</f>
        <v>4087406.45</v>
      </c>
      <c r="BY16" s="38">
        <v>2713096.3</v>
      </c>
      <c r="BZ16" s="38">
        <v>1374310.15</v>
      </c>
      <c r="CA16" s="38">
        <v>0</v>
      </c>
      <c r="CB16" s="4">
        <f aca="true" t="shared" si="58" ref="CB16:CB31">SUM(BY16:CA16)</f>
        <v>4087406.4499999997</v>
      </c>
      <c r="CC16" s="4">
        <f aca="true" t="shared" si="59" ref="CC16:CC31">BX16-CB16</f>
        <v>0</v>
      </c>
      <c r="CD16" s="74">
        <f aca="true" t="shared" si="60" ref="CD16:CD31">K16+L16+AV16-AW16</f>
        <v>149709.8</v>
      </c>
      <c r="CE16" s="76">
        <f aca="true" t="shared" si="61" ref="CE16:CE31">CD16+W16-AS16</f>
        <v>215800.19999999998</v>
      </c>
      <c r="CF16" s="76">
        <f aca="true" t="shared" si="62" ref="CF16:CF31">BR16-BP16</f>
        <v>-504.4499999999971</v>
      </c>
      <c r="CG16" s="76">
        <f t="shared" si="47"/>
        <v>1323397.05</v>
      </c>
      <c r="CH16" s="76">
        <f aca="true" t="shared" si="63" ref="CH16:CH31">I16-AG16+AY16+AH16+BQ16</f>
        <v>-305.59999999999127</v>
      </c>
      <c r="CI16" s="37">
        <f aca="true" t="shared" si="64" ref="CI16:CI31">CH16+K16</f>
        <v>75530.85</v>
      </c>
      <c r="CJ16" s="59">
        <f t="shared" si="35"/>
        <v>-296.77827336703507</v>
      </c>
      <c r="CK16" s="59">
        <f t="shared" si="36"/>
        <v>-427.79304192685345</v>
      </c>
      <c r="CL16" s="141">
        <f t="shared" si="37"/>
        <v>0.1131253844037207</v>
      </c>
      <c r="CM16" s="141">
        <f t="shared" si="38"/>
        <v>0.16306534762186448</v>
      </c>
      <c r="CN16" s="141">
        <f t="shared" si="39"/>
        <v>-0.00023092087140438408</v>
      </c>
      <c r="CO16" s="141">
        <f t="shared" si="40"/>
        <v>0.05707346105992907</v>
      </c>
      <c r="CP16" s="141">
        <f t="shared" si="41"/>
        <v>0.1497770962792137</v>
      </c>
      <c r="CQ16" s="141">
        <f t="shared" si="42"/>
        <v>0.11545420125139091</v>
      </c>
      <c r="CR16" s="142">
        <f t="shared" si="43"/>
        <v>0.9223186540142237</v>
      </c>
      <c r="CS16" s="76">
        <f t="shared" si="44"/>
        <v>199036.55000000028</v>
      </c>
      <c r="CT16" s="80">
        <f aca="true" t="shared" si="65" ref="CT16:CT31">Y16-K16-L16-V16</f>
        <v>1291894.2499999995</v>
      </c>
      <c r="CU16" s="80">
        <f aca="true" t="shared" si="66" ref="CU16:CU31">AU16-AR16</f>
        <v>1441604.05</v>
      </c>
      <c r="CV16" s="80">
        <f aca="true" t="shared" si="67" ref="CV16:CV31">CU16-CT16</f>
        <v>149709.8000000005</v>
      </c>
      <c r="CW16" s="80">
        <f aca="true" t="shared" si="68" ref="CW16:CW31">-V16+AR16</f>
        <v>0</v>
      </c>
      <c r="CX16" s="80">
        <f aca="true" t="shared" si="69" ref="CX16:CX31">CV16+CW16</f>
        <v>149709.8000000005</v>
      </c>
      <c r="CY16" s="80">
        <f aca="true" t="shared" si="70" ref="CY16:CY31">CX16-K16-L16</f>
        <v>51328.25000000052</v>
      </c>
      <c r="CZ16" s="80">
        <f aca="true" t="shared" si="71" ref="CZ16:CZ31">BR16-BP16</f>
        <v>-504.4499999999971</v>
      </c>
      <c r="DA16" s="80">
        <f aca="true" t="shared" si="72" ref="DA16:DA31">K16+L16</f>
        <v>98381.54999999999</v>
      </c>
      <c r="DB16" s="80">
        <f aca="true" t="shared" si="73" ref="DB16:DB31">-CZ16+DA16+CY16</f>
        <v>150214.2500000005</v>
      </c>
      <c r="DC16" s="80">
        <f aca="true" t="shared" si="74" ref="DC16:DC31">-BP16-DA16</f>
        <v>-156060.4</v>
      </c>
      <c r="DD16" s="80">
        <f aca="true" t="shared" si="75" ref="DD16:DD31">DB16+DC16+BR16</f>
        <v>51328.2500000005</v>
      </c>
      <c r="DE16" s="80">
        <f aca="true" t="shared" si="76" ref="DE16:DE31">Z16+AA16+AB16</f>
        <v>101347.25</v>
      </c>
      <c r="DF16" s="80">
        <f aca="true" t="shared" si="77" ref="DF16:DF31">CS16/B16</f>
        <v>344.95069324090167</v>
      </c>
      <c r="DG16" s="80">
        <f aca="true" t="shared" si="78" ref="DG16:DG31">CH16/B16</f>
        <v>-0.529636048526848</v>
      </c>
      <c r="DH16" s="80">
        <f aca="true" t="shared" si="79" ref="DH16:DH31">DE16/B16</f>
        <v>175.6451473136915</v>
      </c>
      <c r="DI16" s="81">
        <f aca="true" t="shared" si="80" ref="DI16:DI31">CZ16/B16</f>
        <v>-0.874263431542456</v>
      </c>
      <c r="DJ16" s="76">
        <f aca="true" t="shared" si="81" ref="DJ16:DJ31">DB16/B16</f>
        <v>260.3366551126525</v>
      </c>
      <c r="DK16" s="147">
        <f t="shared" si="46"/>
        <v>-1175273.6</v>
      </c>
      <c r="DL16" s="67"/>
      <c r="DM16" s="67"/>
      <c r="DN16" s="68"/>
    </row>
    <row r="17" spans="1:118" ht="12.75">
      <c r="A17" s="52" t="s">
        <v>10</v>
      </c>
      <c r="B17" s="41">
        <v>396</v>
      </c>
      <c r="C17" s="4">
        <v>1002149</v>
      </c>
      <c r="D17" s="69">
        <v>2530.68</v>
      </c>
      <c r="E17" s="69">
        <v>73.39</v>
      </c>
      <c r="F17" s="8">
        <v>8</v>
      </c>
      <c r="G17" s="133">
        <v>648242.1</v>
      </c>
      <c r="H17" s="43">
        <v>272627.6</v>
      </c>
      <c r="I17" s="43">
        <v>124283.6</v>
      </c>
      <c r="J17" s="43">
        <v>8941.3</v>
      </c>
      <c r="K17" s="43">
        <v>84115.6</v>
      </c>
      <c r="L17" s="43">
        <v>0</v>
      </c>
      <c r="M17" s="43">
        <f t="shared" si="0"/>
        <v>84115.6</v>
      </c>
      <c r="N17" s="43">
        <v>0</v>
      </c>
      <c r="O17" s="43">
        <v>65501.1</v>
      </c>
      <c r="P17" s="43">
        <v>126216.6</v>
      </c>
      <c r="Q17" s="43">
        <v>295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f t="shared" si="48"/>
        <v>0</v>
      </c>
      <c r="X17" s="43">
        <v>309123</v>
      </c>
      <c r="Y17" s="43">
        <f t="shared" si="49"/>
        <v>1639345.9000000001</v>
      </c>
      <c r="Z17" s="43">
        <v>356160</v>
      </c>
      <c r="AA17" s="43">
        <v>36890.7</v>
      </c>
      <c r="AB17" s="43">
        <v>4651.85</v>
      </c>
      <c r="AC17" s="43">
        <v>0</v>
      </c>
      <c r="AD17" s="43">
        <v>1995.85</v>
      </c>
      <c r="AE17" s="43">
        <f t="shared" si="50"/>
        <v>399698.39999999997</v>
      </c>
      <c r="AF17" s="43">
        <v>22775.1</v>
      </c>
      <c r="AG17" s="43">
        <v>191189.35</v>
      </c>
      <c r="AH17" s="43">
        <v>0</v>
      </c>
      <c r="AI17" s="43">
        <v>285734.45</v>
      </c>
      <c r="AJ17" s="43">
        <v>45975.75</v>
      </c>
      <c r="AK17" s="43">
        <v>139336.9</v>
      </c>
      <c r="AL17" s="43">
        <v>220040.6</v>
      </c>
      <c r="AM17" s="43">
        <v>298.6</v>
      </c>
      <c r="AN17" s="4">
        <v>0</v>
      </c>
      <c r="AO17" s="4">
        <v>0</v>
      </c>
      <c r="AP17" s="4">
        <v>26200</v>
      </c>
      <c r="AQ17" s="4">
        <v>0</v>
      </c>
      <c r="AR17" s="4">
        <v>0</v>
      </c>
      <c r="AS17" s="4">
        <f t="shared" si="51"/>
        <v>26200</v>
      </c>
      <c r="AT17" s="4">
        <v>309123</v>
      </c>
      <c r="AU17" s="4">
        <f t="shared" si="52"/>
        <v>1640372.1500000001</v>
      </c>
      <c r="AV17" s="4">
        <v>1026.25</v>
      </c>
      <c r="AW17" s="4">
        <v>0</v>
      </c>
      <c r="AX17" s="4">
        <f t="shared" si="53"/>
        <v>0</v>
      </c>
      <c r="AY17" s="43">
        <v>28567.3</v>
      </c>
      <c r="AZ17" s="43">
        <v>590745.2</v>
      </c>
      <c r="BA17" s="43">
        <v>0</v>
      </c>
      <c r="BB17" s="43">
        <v>0</v>
      </c>
      <c r="BC17" s="43">
        <v>0</v>
      </c>
      <c r="BD17" s="43">
        <v>0</v>
      </c>
      <c r="BE17" s="43">
        <v>15299.95</v>
      </c>
      <c r="BF17" s="43">
        <f t="shared" si="54"/>
        <v>606045.1499999999</v>
      </c>
      <c r="BG17" s="43">
        <v>41042.1</v>
      </c>
      <c r="BH17" s="43">
        <v>0</v>
      </c>
      <c r="BI17" s="43">
        <v>0</v>
      </c>
      <c r="BJ17" s="43">
        <v>0</v>
      </c>
      <c r="BK17" s="43">
        <v>0</v>
      </c>
      <c r="BL17" s="43">
        <v>0</v>
      </c>
      <c r="BM17" s="43">
        <v>555903.7</v>
      </c>
      <c r="BN17" s="43">
        <v>0</v>
      </c>
      <c r="BO17" s="43">
        <f t="shared" si="55"/>
        <v>596945.7999999999</v>
      </c>
      <c r="BP17" s="43">
        <v>596945.8</v>
      </c>
      <c r="BQ17" s="43">
        <v>0</v>
      </c>
      <c r="BR17" s="43">
        <v>606045.1</v>
      </c>
      <c r="BS17" s="43">
        <f t="shared" si="56"/>
        <v>0.05000000004656613</v>
      </c>
      <c r="BT17" s="4">
        <v>3205488.05</v>
      </c>
      <c r="BU17" s="4">
        <v>662184.75</v>
      </c>
      <c r="BV17" s="4">
        <v>0</v>
      </c>
      <c r="BW17" s="4">
        <v>447586.45</v>
      </c>
      <c r="BX17" s="4">
        <f t="shared" si="57"/>
        <v>4315259.25</v>
      </c>
      <c r="BY17" s="4">
        <v>3865934.95</v>
      </c>
      <c r="BZ17" s="4">
        <v>449324.3</v>
      </c>
      <c r="CA17" s="4">
        <v>0</v>
      </c>
      <c r="CB17" s="4">
        <f t="shared" si="58"/>
        <v>4315259.25</v>
      </c>
      <c r="CC17" s="4">
        <f t="shared" si="59"/>
        <v>0</v>
      </c>
      <c r="CD17" s="74">
        <f t="shared" si="60"/>
        <v>85141.85</v>
      </c>
      <c r="CE17" s="76">
        <f t="shared" si="61"/>
        <v>58941.850000000006</v>
      </c>
      <c r="CF17" s="76">
        <f t="shared" si="62"/>
        <v>9099.29999999993</v>
      </c>
      <c r="CG17" s="76">
        <f t="shared" si="47"/>
        <v>1304750.55</v>
      </c>
      <c r="CH17" s="76">
        <f t="shared" si="63"/>
        <v>-38338.45</v>
      </c>
      <c r="CI17" s="37">
        <f t="shared" si="64"/>
        <v>45777.15000000001</v>
      </c>
      <c r="CJ17" s="59">
        <f t="shared" si="35"/>
        <v>9.356967019441129</v>
      </c>
      <c r="CK17" s="59">
        <f t="shared" si="36"/>
        <v>6.477624652445843</v>
      </c>
      <c r="CL17" s="141">
        <f t="shared" si="37"/>
        <v>0.06525527044230792</v>
      </c>
      <c r="CM17" s="141">
        <f t="shared" si="38"/>
        <v>0.045174803720144055</v>
      </c>
      <c r="CN17" s="141">
        <f t="shared" si="39"/>
        <v>-0.029383739290242104</v>
      </c>
      <c r="CO17" s="141">
        <f t="shared" si="40"/>
        <v>0.03508498233627877</v>
      </c>
      <c r="CP17" s="141">
        <f t="shared" si="41"/>
        <v>0.1127101173140278</v>
      </c>
      <c r="CQ17" s="141">
        <f t="shared" si="42"/>
        <v>0.1127101173140278</v>
      </c>
      <c r="CR17" s="142">
        <f t="shared" si="43"/>
        <v>-11.205058884307165</v>
      </c>
      <c r="CS17" s="76">
        <f t="shared" si="44"/>
        <v>-660446.9000000004</v>
      </c>
      <c r="CT17" s="80">
        <f t="shared" si="65"/>
        <v>1555230.3</v>
      </c>
      <c r="CU17" s="80">
        <f t="shared" si="66"/>
        <v>1640372.1500000001</v>
      </c>
      <c r="CV17" s="80">
        <f t="shared" si="67"/>
        <v>85141.8500000001</v>
      </c>
      <c r="CW17" s="80">
        <f t="shared" si="68"/>
        <v>0</v>
      </c>
      <c r="CX17" s="80">
        <f t="shared" si="69"/>
        <v>85141.8500000001</v>
      </c>
      <c r="CY17" s="80">
        <f t="shared" si="70"/>
        <v>1026.2500000000873</v>
      </c>
      <c r="CZ17" s="80">
        <f t="shared" si="71"/>
        <v>9099.29999999993</v>
      </c>
      <c r="DA17" s="80">
        <f t="shared" si="72"/>
        <v>84115.6</v>
      </c>
      <c r="DB17" s="80">
        <f t="shared" si="73"/>
        <v>76042.55000000016</v>
      </c>
      <c r="DC17" s="80">
        <f t="shared" si="74"/>
        <v>-681061.4</v>
      </c>
      <c r="DD17" s="80">
        <f t="shared" si="75"/>
        <v>1026.2500000001164</v>
      </c>
      <c r="DE17" s="80">
        <f t="shared" si="76"/>
        <v>397702.55</v>
      </c>
      <c r="DF17" s="80">
        <f t="shared" si="77"/>
        <v>-1667.7952020202029</v>
      </c>
      <c r="DG17" s="80">
        <f t="shared" si="78"/>
        <v>-96.81426767676767</v>
      </c>
      <c r="DH17" s="80">
        <f t="shared" si="79"/>
        <v>1004.2993686868687</v>
      </c>
      <c r="DI17" s="81">
        <f t="shared" si="80"/>
        <v>22.978030303030128</v>
      </c>
      <c r="DJ17" s="76">
        <f t="shared" si="81"/>
        <v>192.02664141414184</v>
      </c>
      <c r="DK17" s="147">
        <f t="shared" si="46"/>
        <v>-1109771.2</v>
      </c>
      <c r="DL17" s="64"/>
      <c r="DM17" s="64"/>
      <c r="DN17" s="65"/>
    </row>
    <row r="18" spans="1:118" ht="12.75">
      <c r="A18" s="51" t="s">
        <v>11</v>
      </c>
      <c r="B18" s="46">
        <v>1057</v>
      </c>
      <c r="C18" s="38">
        <v>7415796</v>
      </c>
      <c r="D18" s="66">
        <v>7015.89</v>
      </c>
      <c r="E18" s="66">
        <v>203.47</v>
      </c>
      <c r="F18" s="128">
        <v>2</v>
      </c>
      <c r="G18" s="134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3">
        <f t="shared" si="0"/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3">
        <f t="shared" si="48"/>
        <v>0</v>
      </c>
      <c r="X18" s="42">
        <v>0</v>
      </c>
      <c r="Y18" s="43">
        <f t="shared" si="49"/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3">
        <f t="shared" si="50"/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38">
        <v>0</v>
      </c>
      <c r="AO18" s="38">
        <v>0</v>
      </c>
      <c r="AP18" s="38">
        <v>0</v>
      </c>
      <c r="AQ18" s="38">
        <v>0</v>
      </c>
      <c r="AR18" s="38">
        <v>0</v>
      </c>
      <c r="AS18" s="4">
        <f t="shared" si="51"/>
        <v>0</v>
      </c>
      <c r="AT18" s="38">
        <v>0</v>
      </c>
      <c r="AU18" s="4">
        <f t="shared" si="52"/>
        <v>0</v>
      </c>
      <c r="AV18" s="38">
        <v>0</v>
      </c>
      <c r="AW18" s="38">
        <v>0</v>
      </c>
      <c r="AX18" s="4">
        <f t="shared" si="53"/>
        <v>0</v>
      </c>
      <c r="AY18" s="42">
        <v>0</v>
      </c>
      <c r="AZ18" s="42">
        <v>3042700.5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3">
        <f t="shared" si="54"/>
        <v>3042700.5</v>
      </c>
      <c r="BG18" s="42">
        <v>0</v>
      </c>
      <c r="BH18" s="42">
        <v>58949.55</v>
      </c>
      <c r="BI18" s="42">
        <v>0</v>
      </c>
      <c r="BJ18" s="42">
        <v>0</v>
      </c>
      <c r="BK18" s="42">
        <v>0</v>
      </c>
      <c r="BL18" s="42">
        <v>0</v>
      </c>
      <c r="BM18" s="42">
        <v>76467.35</v>
      </c>
      <c r="BN18" s="42">
        <v>0</v>
      </c>
      <c r="BO18" s="43">
        <f t="shared" si="55"/>
        <v>135416.90000000002</v>
      </c>
      <c r="BP18" s="42">
        <v>135416.9</v>
      </c>
      <c r="BQ18" s="42">
        <v>0</v>
      </c>
      <c r="BR18" s="42">
        <v>3042700.5</v>
      </c>
      <c r="BS18" s="43">
        <f t="shared" si="56"/>
        <v>0</v>
      </c>
      <c r="BT18" s="38">
        <v>9152443.06</v>
      </c>
      <c r="BU18" s="38">
        <v>2881760.35</v>
      </c>
      <c r="BV18" s="38">
        <v>0</v>
      </c>
      <c r="BW18" s="38">
        <v>0</v>
      </c>
      <c r="BX18" s="4">
        <f t="shared" si="57"/>
        <v>12034203.41</v>
      </c>
      <c r="BY18" s="38">
        <v>8797557.6</v>
      </c>
      <c r="BZ18" s="38">
        <v>2539307.5</v>
      </c>
      <c r="CA18" s="38">
        <v>697338.31</v>
      </c>
      <c r="CB18" s="4">
        <f t="shared" si="58"/>
        <v>12034203.41</v>
      </c>
      <c r="CC18" s="4">
        <f t="shared" si="59"/>
        <v>0</v>
      </c>
      <c r="CD18" s="74">
        <f t="shared" si="60"/>
        <v>0</v>
      </c>
      <c r="CE18" s="76">
        <f t="shared" si="61"/>
        <v>0</v>
      </c>
      <c r="CF18" s="76">
        <f t="shared" si="62"/>
        <v>2907283.6</v>
      </c>
      <c r="CG18" s="76">
        <f t="shared" si="47"/>
        <v>0</v>
      </c>
      <c r="CH18" s="76">
        <f t="shared" si="63"/>
        <v>0</v>
      </c>
      <c r="CI18" s="37">
        <f t="shared" si="64"/>
        <v>0</v>
      </c>
      <c r="CJ18" s="59">
        <f t="shared" si="35"/>
        <v>0</v>
      </c>
      <c r="CK18" s="59">
        <f t="shared" si="36"/>
        <v>0</v>
      </c>
      <c r="CL18" s="141" t="str">
        <f t="shared" si="37"/>
        <v>-</v>
      </c>
      <c r="CM18" s="141" t="str">
        <f t="shared" si="38"/>
        <v>-</v>
      </c>
      <c r="CN18" s="141" t="str">
        <f t="shared" si="39"/>
        <v>-</v>
      </c>
      <c r="CO18" s="141" t="str">
        <f t="shared" si="40"/>
        <v>-</v>
      </c>
      <c r="CP18" s="141">
        <f t="shared" si="41"/>
        <v>0</v>
      </c>
      <c r="CQ18" s="141">
        <f t="shared" si="42"/>
        <v>0</v>
      </c>
      <c r="CR18" s="142" t="str">
        <f t="shared" si="43"/>
        <v>-</v>
      </c>
      <c r="CS18" s="76">
        <f t="shared" si="44"/>
        <v>354885.4600000009</v>
      </c>
      <c r="CT18" s="80">
        <f t="shared" si="65"/>
        <v>0</v>
      </c>
      <c r="CU18" s="80">
        <f t="shared" si="66"/>
        <v>0</v>
      </c>
      <c r="CV18" s="80">
        <f t="shared" si="67"/>
        <v>0</v>
      </c>
      <c r="CW18" s="80">
        <f t="shared" si="68"/>
        <v>0</v>
      </c>
      <c r="CX18" s="80">
        <f t="shared" si="69"/>
        <v>0</v>
      </c>
      <c r="CY18" s="80">
        <f t="shared" si="70"/>
        <v>0</v>
      </c>
      <c r="CZ18" s="80">
        <f t="shared" si="71"/>
        <v>2907283.6</v>
      </c>
      <c r="DA18" s="80">
        <f t="shared" si="72"/>
        <v>0</v>
      </c>
      <c r="DB18" s="80">
        <f t="shared" si="73"/>
        <v>-2907283.6</v>
      </c>
      <c r="DC18" s="80">
        <f t="shared" si="74"/>
        <v>-135416.9</v>
      </c>
      <c r="DD18" s="80">
        <f t="shared" si="75"/>
        <v>0</v>
      </c>
      <c r="DE18" s="80">
        <f t="shared" si="76"/>
        <v>0</v>
      </c>
      <c r="DF18" s="80">
        <f t="shared" si="77"/>
        <v>335.7478334910131</v>
      </c>
      <c r="DG18" s="80">
        <f t="shared" si="78"/>
        <v>0</v>
      </c>
      <c r="DH18" s="80">
        <f t="shared" si="79"/>
        <v>0</v>
      </c>
      <c r="DI18" s="81">
        <f t="shared" si="80"/>
        <v>2750.504824976348</v>
      </c>
      <c r="DJ18" s="76">
        <f t="shared" si="81"/>
        <v>-2750.504824976348</v>
      </c>
      <c r="DK18" s="147">
        <f t="shared" si="46"/>
        <v>-2184422.04</v>
      </c>
      <c r="DL18" s="67"/>
      <c r="DM18" s="67"/>
      <c r="DN18" s="68"/>
    </row>
    <row r="19" spans="1:118" ht="12.75">
      <c r="A19" s="52" t="s">
        <v>35</v>
      </c>
      <c r="B19" s="41">
        <v>2879</v>
      </c>
      <c r="C19" s="4">
        <v>9157502</v>
      </c>
      <c r="D19" s="69">
        <v>3180.79</v>
      </c>
      <c r="E19" s="69">
        <v>92.25</v>
      </c>
      <c r="F19" s="8">
        <v>2</v>
      </c>
      <c r="G19" s="133">
        <v>1849408</v>
      </c>
      <c r="H19" s="43">
        <v>3657818</v>
      </c>
      <c r="I19" s="43">
        <v>75839.05</v>
      </c>
      <c r="J19" s="43">
        <v>13927.99</v>
      </c>
      <c r="K19" s="43">
        <v>548684</v>
      </c>
      <c r="L19" s="43">
        <v>144300</v>
      </c>
      <c r="M19" s="43">
        <f t="shared" si="0"/>
        <v>692984</v>
      </c>
      <c r="N19" s="43">
        <v>0</v>
      </c>
      <c r="O19" s="43">
        <v>256134.55</v>
      </c>
      <c r="P19" s="43">
        <v>631451.95</v>
      </c>
      <c r="Q19" s="43">
        <v>15589.25</v>
      </c>
      <c r="R19" s="43">
        <v>428719.03</v>
      </c>
      <c r="S19" s="43">
        <v>19038.15</v>
      </c>
      <c r="T19" s="43">
        <v>0</v>
      </c>
      <c r="U19" s="43">
        <v>0</v>
      </c>
      <c r="V19" s="43">
        <v>0</v>
      </c>
      <c r="W19" s="43">
        <f t="shared" si="48"/>
        <v>447757.18000000005</v>
      </c>
      <c r="X19" s="43">
        <v>1039519.55</v>
      </c>
      <c r="Y19" s="43">
        <f t="shared" si="49"/>
        <v>8680429.520000001</v>
      </c>
      <c r="Z19" s="43">
        <v>2503212.5</v>
      </c>
      <c r="AA19" s="43">
        <v>110431.6</v>
      </c>
      <c r="AB19" s="43">
        <v>83698.65</v>
      </c>
      <c r="AC19" s="43">
        <v>0</v>
      </c>
      <c r="AD19" s="43">
        <v>22296.6</v>
      </c>
      <c r="AE19" s="43">
        <f t="shared" si="50"/>
        <v>2719639.35</v>
      </c>
      <c r="AF19" s="43">
        <v>0</v>
      </c>
      <c r="AG19" s="43">
        <v>273652.2</v>
      </c>
      <c r="AH19" s="43">
        <v>21700</v>
      </c>
      <c r="AI19" s="43">
        <v>4631662.37</v>
      </c>
      <c r="AJ19" s="43">
        <v>39723.35</v>
      </c>
      <c r="AK19" s="43">
        <v>167178</v>
      </c>
      <c r="AL19" s="43">
        <v>121776.3</v>
      </c>
      <c r="AM19" s="43">
        <v>15589.25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f t="shared" si="51"/>
        <v>0</v>
      </c>
      <c r="AT19" s="4">
        <v>1039519.55</v>
      </c>
      <c r="AU19" s="4">
        <f t="shared" si="52"/>
        <v>9008740.370000001</v>
      </c>
      <c r="AV19" s="4">
        <v>328310.85</v>
      </c>
      <c r="AW19" s="4">
        <v>0</v>
      </c>
      <c r="AX19" s="4">
        <f t="shared" si="53"/>
        <v>3.4924596548080444E-10</v>
      </c>
      <c r="AY19" s="43">
        <v>13511.55</v>
      </c>
      <c r="AZ19" s="43">
        <v>1065534.9</v>
      </c>
      <c r="BA19" s="43">
        <v>24000</v>
      </c>
      <c r="BB19" s="43">
        <v>5232</v>
      </c>
      <c r="BC19" s="43">
        <v>60000</v>
      </c>
      <c r="BD19" s="43">
        <v>0</v>
      </c>
      <c r="BE19" s="43">
        <v>101538.85</v>
      </c>
      <c r="BF19" s="43">
        <f t="shared" si="54"/>
        <v>1256305.75</v>
      </c>
      <c r="BG19" s="43">
        <v>0</v>
      </c>
      <c r="BH19" s="43">
        <v>382257.75</v>
      </c>
      <c r="BI19" s="43">
        <v>0</v>
      </c>
      <c r="BJ19" s="43">
        <v>0</v>
      </c>
      <c r="BK19" s="43">
        <v>0</v>
      </c>
      <c r="BL19" s="43">
        <v>0</v>
      </c>
      <c r="BM19" s="43">
        <v>148115.2</v>
      </c>
      <c r="BN19" s="43">
        <v>0</v>
      </c>
      <c r="BO19" s="43">
        <f t="shared" si="55"/>
        <v>530372.95</v>
      </c>
      <c r="BP19" s="43">
        <v>422715.15</v>
      </c>
      <c r="BQ19" s="43">
        <v>102425.8</v>
      </c>
      <c r="BR19" s="43">
        <v>1251073.75</v>
      </c>
      <c r="BS19" s="43">
        <f t="shared" si="56"/>
        <v>0</v>
      </c>
      <c r="BT19" s="4">
        <v>11090807.55</v>
      </c>
      <c r="BU19" s="4">
        <v>5420675.24</v>
      </c>
      <c r="BV19" s="4">
        <v>0</v>
      </c>
      <c r="BW19" s="4">
        <v>0</v>
      </c>
      <c r="BX19" s="4">
        <f t="shared" si="57"/>
        <v>16511482.790000001</v>
      </c>
      <c r="BY19" s="4">
        <v>8211078.7</v>
      </c>
      <c r="BZ19" s="4">
        <v>5219478.68</v>
      </c>
      <c r="CA19" s="4">
        <v>3080925.41</v>
      </c>
      <c r="CB19" s="4">
        <f t="shared" si="58"/>
        <v>16511482.79</v>
      </c>
      <c r="CC19" s="4">
        <f t="shared" si="59"/>
        <v>0</v>
      </c>
      <c r="CD19" s="74">
        <f t="shared" si="60"/>
        <v>1021294.85</v>
      </c>
      <c r="CE19" s="76">
        <f t="shared" si="61"/>
        <v>1469052.03</v>
      </c>
      <c r="CF19" s="76">
        <f t="shared" si="62"/>
        <v>828358.6</v>
      </c>
      <c r="CG19" s="76">
        <f t="shared" si="47"/>
        <v>7953631.570000001</v>
      </c>
      <c r="CH19" s="76">
        <f t="shared" si="63"/>
        <v>-60175.80000000003</v>
      </c>
      <c r="CI19" s="37">
        <f t="shared" si="64"/>
        <v>488508.19999999995</v>
      </c>
      <c r="CJ19" s="59">
        <f t="shared" si="35"/>
        <v>1.232913921579374</v>
      </c>
      <c r="CK19" s="59">
        <f t="shared" si="36"/>
        <v>1.7734493611824638</v>
      </c>
      <c r="CL19" s="141">
        <f t="shared" si="37"/>
        <v>0.12840610493603738</v>
      </c>
      <c r="CM19" s="141">
        <f t="shared" si="38"/>
        <v>0.18470204674064375</v>
      </c>
      <c r="CN19" s="141">
        <f t="shared" si="39"/>
        <v>-0.007565826939605153</v>
      </c>
      <c r="CO19" s="141">
        <f t="shared" si="40"/>
        <v>0.06141951581496248</v>
      </c>
      <c r="CP19" s="141">
        <f t="shared" si="41"/>
        <v>0.1133501186107978</v>
      </c>
      <c r="CQ19" s="141">
        <f t="shared" si="42"/>
        <v>0.08974723295176654</v>
      </c>
      <c r="CR19" s="142">
        <f t="shared" si="43"/>
        <v>1.960263347513975</v>
      </c>
      <c r="CS19" s="76">
        <f t="shared" si="44"/>
        <v>2879728.8500000006</v>
      </c>
      <c r="CT19" s="80">
        <f t="shared" si="65"/>
        <v>7987445.520000001</v>
      </c>
      <c r="CU19" s="80">
        <f t="shared" si="66"/>
        <v>9008740.370000001</v>
      </c>
      <c r="CV19" s="80">
        <f t="shared" si="67"/>
        <v>1021294.8499999996</v>
      </c>
      <c r="CW19" s="80">
        <f t="shared" si="68"/>
        <v>0</v>
      </c>
      <c r="CX19" s="80">
        <f t="shared" si="69"/>
        <v>1021294.8499999996</v>
      </c>
      <c r="CY19" s="80">
        <f t="shared" si="70"/>
        <v>328310.8499999996</v>
      </c>
      <c r="CZ19" s="80">
        <f t="shared" si="71"/>
        <v>828358.6</v>
      </c>
      <c r="DA19" s="80">
        <f t="shared" si="72"/>
        <v>692984</v>
      </c>
      <c r="DB19" s="80">
        <f t="shared" si="73"/>
        <v>192936.24999999965</v>
      </c>
      <c r="DC19" s="80">
        <f t="shared" si="74"/>
        <v>-1115699.15</v>
      </c>
      <c r="DD19" s="80">
        <f t="shared" si="75"/>
        <v>328310.84999999974</v>
      </c>
      <c r="DE19" s="80">
        <f t="shared" si="76"/>
        <v>2697342.75</v>
      </c>
      <c r="DF19" s="80">
        <f t="shared" si="77"/>
        <v>1000.2531608197293</v>
      </c>
      <c r="DG19" s="80">
        <f t="shared" si="78"/>
        <v>-20.901632511288653</v>
      </c>
      <c r="DH19" s="80">
        <f t="shared" si="79"/>
        <v>936.9026571726293</v>
      </c>
      <c r="DI19" s="81">
        <f t="shared" si="80"/>
        <v>287.72441820076415</v>
      </c>
      <c r="DJ19" s="76">
        <f t="shared" si="81"/>
        <v>67.01502257728366</v>
      </c>
      <c r="DK19" s="147">
        <f t="shared" si="46"/>
        <v>-2339749.83</v>
      </c>
      <c r="DL19" s="64"/>
      <c r="DM19" s="64"/>
      <c r="DN19" s="65"/>
    </row>
    <row r="20" spans="1:118" ht="12.75">
      <c r="A20" s="51" t="s">
        <v>12</v>
      </c>
      <c r="B20" s="46">
        <v>468</v>
      </c>
      <c r="C20" s="38">
        <v>1159358</v>
      </c>
      <c r="D20" s="66">
        <v>2477.26</v>
      </c>
      <c r="E20" s="66">
        <v>71.85</v>
      </c>
      <c r="F20" s="128">
        <v>8</v>
      </c>
      <c r="G20" s="134">
        <v>479748.75</v>
      </c>
      <c r="H20" s="42">
        <v>670182.45</v>
      </c>
      <c r="I20" s="42">
        <v>82701.85</v>
      </c>
      <c r="J20" s="42">
        <v>0</v>
      </c>
      <c r="K20" s="42">
        <v>174866.7</v>
      </c>
      <c r="L20" s="42">
        <v>0</v>
      </c>
      <c r="M20" s="43">
        <f t="shared" si="0"/>
        <v>174866.7</v>
      </c>
      <c r="N20" s="42">
        <v>0</v>
      </c>
      <c r="O20" s="42">
        <v>76205.9</v>
      </c>
      <c r="P20" s="42">
        <v>104003.55</v>
      </c>
      <c r="Q20" s="42">
        <v>0</v>
      </c>
      <c r="R20" s="42">
        <v>6119.4</v>
      </c>
      <c r="S20" s="42">
        <v>0</v>
      </c>
      <c r="T20" s="42">
        <v>0</v>
      </c>
      <c r="U20" s="42">
        <v>0</v>
      </c>
      <c r="V20" s="42">
        <v>0</v>
      </c>
      <c r="W20" s="43">
        <f t="shared" si="48"/>
        <v>6119.4</v>
      </c>
      <c r="X20" s="42">
        <v>322474.85</v>
      </c>
      <c r="Y20" s="43">
        <f t="shared" si="49"/>
        <v>1916303.45</v>
      </c>
      <c r="Z20" s="42">
        <v>496945.65</v>
      </c>
      <c r="AA20" s="42">
        <v>19178.95</v>
      </c>
      <c r="AB20" s="42">
        <v>18592.4</v>
      </c>
      <c r="AC20" s="42">
        <v>0</v>
      </c>
      <c r="AD20" s="42">
        <v>2300</v>
      </c>
      <c r="AE20" s="43">
        <f t="shared" si="50"/>
        <v>537017</v>
      </c>
      <c r="AF20" s="42">
        <v>100</v>
      </c>
      <c r="AG20" s="42">
        <v>338180.4</v>
      </c>
      <c r="AH20" s="42">
        <v>0</v>
      </c>
      <c r="AI20" s="42">
        <v>444559.54</v>
      </c>
      <c r="AJ20" s="42">
        <v>9014.25</v>
      </c>
      <c r="AK20" s="42">
        <v>48394.55</v>
      </c>
      <c r="AL20" s="42">
        <v>137798.45</v>
      </c>
      <c r="AM20" s="42">
        <v>0</v>
      </c>
      <c r="AN20" s="38">
        <v>91984.85</v>
      </c>
      <c r="AO20" s="38">
        <v>0</v>
      </c>
      <c r="AP20" s="38">
        <v>0</v>
      </c>
      <c r="AQ20" s="38">
        <v>0</v>
      </c>
      <c r="AR20" s="38">
        <v>0</v>
      </c>
      <c r="AS20" s="4">
        <f t="shared" si="51"/>
        <v>91984.85</v>
      </c>
      <c r="AT20" s="38">
        <v>318344.05</v>
      </c>
      <c r="AU20" s="4">
        <f t="shared" si="52"/>
        <v>1925393.0899999999</v>
      </c>
      <c r="AV20" s="38">
        <v>9089.64</v>
      </c>
      <c r="AW20" s="38">
        <v>0</v>
      </c>
      <c r="AX20" s="4">
        <f t="shared" si="53"/>
        <v>1.0186340659856796E-10</v>
      </c>
      <c r="AY20" s="42">
        <v>2883.65</v>
      </c>
      <c r="AZ20" s="42">
        <v>87718.85</v>
      </c>
      <c r="BA20" s="42">
        <v>0</v>
      </c>
      <c r="BB20" s="42">
        <v>0</v>
      </c>
      <c r="BC20" s="42">
        <v>0</v>
      </c>
      <c r="BD20" s="42">
        <v>0</v>
      </c>
      <c r="BE20" s="42">
        <v>0</v>
      </c>
      <c r="BF20" s="43">
        <f t="shared" si="54"/>
        <v>87718.85</v>
      </c>
      <c r="BG20" s="42">
        <v>9724</v>
      </c>
      <c r="BH20" s="42">
        <v>4862</v>
      </c>
      <c r="BI20" s="42">
        <v>0</v>
      </c>
      <c r="BJ20" s="42">
        <v>49955.95</v>
      </c>
      <c r="BK20" s="42">
        <v>0</v>
      </c>
      <c r="BL20" s="42">
        <v>0</v>
      </c>
      <c r="BM20" s="42">
        <v>0</v>
      </c>
      <c r="BN20" s="42">
        <v>0</v>
      </c>
      <c r="BO20" s="43">
        <f t="shared" si="55"/>
        <v>64541.95</v>
      </c>
      <c r="BP20" s="42">
        <v>64541.95</v>
      </c>
      <c r="BQ20" s="42">
        <v>0</v>
      </c>
      <c r="BR20" s="42">
        <v>87718.85</v>
      </c>
      <c r="BS20" s="43">
        <f t="shared" si="56"/>
        <v>0</v>
      </c>
      <c r="BT20" s="38">
        <v>5147578.72</v>
      </c>
      <c r="BU20" s="38">
        <v>940676.2</v>
      </c>
      <c r="BV20" s="38">
        <v>0</v>
      </c>
      <c r="BW20" s="38">
        <v>0</v>
      </c>
      <c r="BX20" s="4">
        <f t="shared" si="57"/>
        <v>6088254.92</v>
      </c>
      <c r="BY20" s="38">
        <v>4695172</v>
      </c>
      <c r="BZ20" s="38">
        <v>697344.8</v>
      </c>
      <c r="CA20" s="38">
        <v>695738.12</v>
      </c>
      <c r="CB20" s="4">
        <f t="shared" si="58"/>
        <v>6088254.92</v>
      </c>
      <c r="CC20" s="4">
        <f t="shared" si="59"/>
        <v>0</v>
      </c>
      <c r="CD20" s="74">
        <f t="shared" si="60"/>
        <v>183956.34000000003</v>
      </c>
      <c r="CE20" s="76">
        <f t="shared" si="61"/>
        <v>98090.89000000001</v>
      </c>
      <c r="CF20" s="76">
        <f t="shared" si="62"/>
        <v>23176.90000000001</v>
      </c>
      <c r="CG20" s="76">
        <f t="shared" si="47"/>
        <v>1515064.1899999997</v>
      </c>
      <c r="CH20" s="76">
        <f t="shared" si="63"/>
        <v>-252594.90000000002</v>
      </c>
      <c r="CI20" s="37">
        <f t="shared" si="64"/>
        <v>-77728.20000000001</v>
      </c>
      <c r="CJ20" s="59">
        <f t="shared" si="35"/>
        <v>7.937055430191267</v>
      </c>
      <c r="CK20" s="59">
        <f t="shared" si="36"/>
        <v>4.232269630537301</v>
      </c>
      <c r="CL20" s="141">
        <f t="shared" si="37"/>
        <v>0.12141818228836895</v>
      </c>
      <c r="CM20" s="141">
        <f t="shared" si="38"/>
        <v>0.06474371887834009</v>
      </c>
      <c r="CN20" s="141">
        <f t="shared" si="39"/>
        <v>-0.16672224296978472</v>
      </c>
      <c r="CO20" s="141">
        <f t="shared" si="40"/>
        <v>-0.051303568860669876</v>
      </c>
      <c r="CP20" s="141">
        <f t="shared" si="41"/>
        <v>0.15675479625212085</v>
      </c>
      <c r="CQ20" s="141">
        <f t="shared" si="42"/>
        <v>0.15675479625212085</v>
      </c>
      <c r="CR20" s="142">
        <f t="shared" si="43"/>
        <v>4.6121175982805305</v>
      </c>
      <c r="CS20" s="76">
        <f t="shared" si="44"/>
        <v>452406.71999999974</v>
      </c>
      <c r="CT20" s="80">
        <f t="shared" si="65"/>
        <v>1741436.75</v>
      </c>
      <c r="CU20" s="80">
        <f t="shared" si="66"/>
        <v>1925393.0899999999</v>
      </c>
      <c r="CV20" s="80">
        <f t="shared" si="67"/>
        <v>183956.33999999985</v>
      </c>
      <c r="CW20" s="80">
        <f t="shared" si="68"/>
        <v>0</v>
      </c>
      <c r="CX20" s="80">
        <f t="shared" si="69"/>
        <v>183956.33999999985</v>
      </c>
      <c r="CY20" s="80">
        <f t="shared" si="70"/>
        <v>9089.63999999984</v>
      </c>
      <c r="CZ20" s="80">
        <f t="shared" si="71"/>
        <v>23176.90000000001</v>
      </c>
      <c r="DA20" s="80">
        <f t="shared" si="72"/>
        <v>174866.7</v>
      </c>
      <c r="DB20" s="80">
        <f t="shared" si="73"/>
        <v>160779.43999999983</v>
      </c>
      <c r="DC20" s="80">
        <f t="shared" si="74"/>
        <v>-239408.65000000002</v>
      </c>
      <c r="DD20" s="80">
        <f t="shared" si="75"/>
        <v>9089.63999999981</v>
      </c>
      <c r="DE20" s="80">
        <f t="shared" si="76"/>
        <v>534717</v>
      </c>
      <c r="DF20" s="80">
        <f t="shared" si="77"/>
        <v>966.681025641025</v>
      </c>
      <c r="DG20" s="80">
        <f t="shared" si="78"/>
        <v>-539.7326923076923</v>
      </c>
      <c r="DH20" s="80">
        <f t="shared" si="79"/>
        <v>1142.5576923076924</v>
      </c>
      <c r="DI20" s="81">
        <f t="shared" si="80"/>
        <v>49.523290598290615</v>
      </c>
      <c r="DJ20" s="76">
        <f t="shared" si="81"/>
        <v>343.5458119658116</v>
      </c>
      <c r="DK20" s="147">
        <f t="shared" si="46"/>
        <v>-244938.07999999996</v>
      </c>
      <c r="DL20" s="67"/>
      <c r="DM20" s="67"/>
      <c r="DN20" s="68"/>
    </row>
    <row r="21" spans="1:118" ht="12.75">
      <c r="A21" s="52" t="s">
        <v>13</v>
      </c>
      <c r="B21" s="41">
        <v>3948</v>
      </c>
      <c r="C21" s="4">
        <v>18979780</v>
      </c>
      <c r="D21" s="69">
        <v>4807.44</v>
      </c>
      <c r="E21" s="69">
        <v>139.42</v>
      </c>
      <c r="F21" s="8">
        <v>4</v>
      </c>
      <c r="G21" s="133">
        <v>2417385.05</v>
      </c>
      <c r="H21" s="43">
        <v>2292971.91</v>
      </c>
      <c r="I21" s="43">
        <v>322685.3</v>
      </c>
      <c r="J21" s="43">
        <v>8849.86</v>
      </c>
      <c r="K21" s="43">
        <v>953270.55</v>
      </c>
      <c r="L21" s="43">
        <v>1220543.9</v>
      </c>
      <c r="M21" s="43">
        <f t="shared" si="0"/>
        <v>2173814.45</v>
      </c>
      <c r="N21" s="43">
        <v>0</v>
      </c>
      <c r="O21" s="43">
        <v>343442.95</v>
      </c>
      <c r="P21" s="43">
        <v>1082069.1</v>
      </c>
      <c r="Q21" s="43">
        <v>76441.95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f t="shared" si="48"/>
        <v>0</v>
      </c>
      <c r="X21" s="43">
        <v>2223594.9</v>
      </c>
      <c r="Y21" s="43">
        <f t="shared" si="49"/>
        <v>10941255.469999999</v>
      </c>
      <c r="Z21" s="43">
        <v>3074375.15</v>
      </c>
      <c r="AA21" s="43">
        <v>1989814</v>
      </c>
      <c r="AB21" s="43">
        <v>93602.45</v>
      </c>
      <c r="AC21" s="43">
        <v>0</v>
      </c>
      <c r="AD21" s="43">
        <v>19720</v>
      </c>
      <c r="AE21" s="43">
        <f t="shared" si="50"/>
        <v>5177511.600000001</v>
      </c>
      <c r="AF21" s="43">
        <v>112859.35</v>
      </c>
      <c r="AG21" s="43">
        <v>540364.55</v>
      </c>
      <c r="AH21" s="43">
        <v>0</v>
      </c>
      <c r="AI21" s="43">
        <v>1913736.58</v>
      </c>
      <c r="AJ21" s="43">
        <v>63355.4</v>
      </c>
      <c r="AK21" s="43">
        <v>313408.6</v>
      </c>
      <c r="AL21" s="43">
        <v>532255.84</v>
      </c>
      <c r="AM21" s="43">
        <v>76441.95</v>
      </c>
      <c r="AN21" s="4">
        <v>34491.45</v>
      </c>
      <c r="AO21" s="4">
        <v>18438.9</v>
      </c>
      <c r="AP21" s="4">
        <v>0</v>
      </c>
      <c r="AQ21" s="4">
        <v>0</v>
      </c>
      <c r="AR21" s="4">
        <v>0</v>
      </c>
      <c r="AS21" s="4">
        <f t="shared" si="51"/>
        <v>52930.35</v>
      </c>
      <c r="AT21" s="4">
        <v>2223594.9</v>
      </c>
      <c r="AU21" s="4">
        <f t="shared" si="52"/>
        <v>11006459.12</v>
      </c>
      <c r="AV21" s="4">
        <v>65203.65</v>
      </c>
      <c r="AW21" s="4">
        <v>0</v>
      </c>
      <c r="AX21" s="4">
        <f t="shared" si="53"/>
        <v>-3.710738383233547E-10</v>
      </c>
      <c r="AY21" s="43">
        <v>311001.8</v>
      </c>
      <c r="AZ21" s="43">
        <v>2573570.23</v>
      </c>
      <c r="BA21" s="43">
        <v>0</v>
      </c>
      <c r="BB21" s="43">
        <v>0</v>
      </c>
      <c r="BC21" s="43">
        <v>0</v>
      </c>
      <c r="BD21" s="43">
        <v>0</v>
      </c>
      <c r="BE21" s="43">
        <v>0</v>
      </c>
      <c r="BF21" s="43">
        <f t="shared" si="54"/>
        <v>2573570.23</v>
      </c>
      <c r="BG21" s="43">
        <v>0</v>
      </c>
      <c r="BH21" s="43">
        <v>615557.05</v>
      </c>
      <c r="BI21" s="43">
        <v>0</v>
      </c>
      <c r="BJ21" s="43">
        <v>0</v>
      </c>
      <c r="BK21" s="43">
        <v>0</v>
      </c>
      <c r="BL21" s="43">
        <v>326601.05</v>
      </c>
      <c r="BM21" s="43">
        <v>62009.25</v>
      </c>
      <c r="BN21" s="43">
        <v>0</v>
      </c>
      <c r="BO21" s="43">
        <f t="shared" si="55"/>
        <v>1004167.3500000001</v>
      </c>
      <c r="BP21" s="43">
        <v>1004167.35</v>
      </c>
      <c r="BQ21" s="43">
        <v>0</v>
      </c>
      <c r="BR21" s="43">
        <v>2573570.23</v>
      </c>
      <c r="BS21" s="43">
        <f t="shared" si="56"/>
        <v>0</v>
      </c>
      <c r="BT21" s="4">
        <v>23695524.61</v>
      </c>
      <c r="BU21" s="4">
        <v>6770265.54</v>
      </c>
      <c r="BV21" s="4">
        <v>3040.9</v>
      </c>
      <c r="BW21" s="4">
        <v>0</v>
      </c>
      <c r="BX21" s="4">
        <f t="shared" si="57"/>
        <v>30468831.049999997</v>
      </c>
      <c r="BY21" s="4">
        <v>20125577.04</v>
      </c>
      <c r="BZ21" s="4">
        <v>3138809.02</v>
      </c>
      <c r="CA21" s="4">
        <v>7204444.99</v>
      </c>
      <c r="CB21" s="4">
        <f t="shared" si="58"/>
        <v>30468831.049999997</v>
      </c>
      <c r="CC21" s="4">
        <f t="shared" si="59"/>
        <v>0</v>
      </c>
      <c r="CD21" s="74">
        <f t="shared" si="60"/>
        <v>2239018.1</v>
      </c>
      <c r="CE21" s="76">
        <f t="shared" si="61"/>
        <v>2186087.75</v>
      </c>
      <c r="CF21" s="76">
        <f t="shared" si="62"/>
        <v>1569402.88</v>
      </c>
      <c r="CG21" s="76">
        <f t="shared" si="47"/>
        <v>8653491.92</v>
      </c>
      <c r="CH21" s="76">
        <f t="shared" si="63"/>
        <v>93322.54999999993</v>
      </c>
      <c r="CI21" s="37">
        <f t="shared" si="64"/>
        <v>1046593.1</v>
      </c>
      <c r="CJ21" s="59">
        <f t="shared" si="35"/>
        <v>1.4266687850094937</v>
      </c>
      <c r="CK21" s="59">
        <f t="shared" si="36"/>
        <v>1.3929423590709864</v>
      </c>
      <c r="CL21" s="141">
        <f t="shared" si="37"/>
        <v>0.2587415716914427</v>
      </c>
      <c r="CM21" s="141">
        <f t="shared" si="38"/>
        <v>0.25262492531454284</v>
      </c>
      <c r="CN21" s="141">
        <f t="shared" si="39"/>
        <v>0.010784380555589624</v>
      </c>
      <c r="CO21" s="141">
        <f t="shared" si="40"/>
        <v>0.12094459781965106</v>
      </c>
      <c r="CP21" s="141">
        <f t="shared" si="41"/>
        <v>0.24304505912631044</v>
      </c>
      <c r="CQ21" s="141">
        <f t="shared" si="42"/>
        <v>0.10658117448254172</v>
      </c>
      <c r="CR21" s="142">
        <f t="shared" si="43"/>
        <v>1.6330303163722502</v>
      </c>
      <c r="CS21" s="76">
        <f t="shared" si="44"/>
        <v>3569947.5700000003</v>
      </c>
      <c r="CT21" s="80">
        <f t="shared" si="65"/>
        <v>8767441.019999998</v>
      </c>
      <c r="CU21" s="80">
        <f t="shared" si="66"/>
        <v>11006459.12</v>
      </c>
      <c r="CV21" s="80">
        <f t="shared" si="67"/>
        <v>2239018.1000000015</v>
      </c>
      <c r="CW21" s="80">
        <f t="shared" si="68"/>
        <v>0</v>
      </c>
      <c r="CX21" s="80">
        <f t="shared" si="69"/>
        <v>2239018.1000000015</v>
      </c>
      <c r="CY21" s="80">
        <f t="shared" si="70"/>
        <v>65203.65000000154</v>
      </c>
      <c r="CZ21" s="80">
        <f t="shared" si="71"/>
        <v>1569402.88</v>
      </c>
      <c r="DA21" s="80">
        <f t="shared" si="72"/>
        <v>2173814.45</v>
      </c>
      <c r="DB21" s="80">
        <f t="shared" si="73"/>
        <v>669615.2200000018</v>
      </c>
      <c r="DC21" s="80">
        <f t="shared" si="74"/>
        <v>-3177981.8000000003</v>
      </c>
      <c r="DD21" s="80">
        <f t="shared" si="75"/>
        <v>65203.65000000177</v>
      </c>
      <c r="DE21" s="80">
        <f t="shared" si="76"/>
        <v>5157791.600000001</v>
      </c>
      <c r="DF21" s="80">
        <f t="shared" si="77"/>
        <v>904.2420390070923</v>
      </c>
      <c r="DG21" s="80">
        <f t="shared" si="78"/>
        <v>23.637930597771007</v>
      </c>
      <c r="DH21" s="80">
        <f t="shared" si="79"/>
        <v>1306.4315096251269</v>
      </c>
      <c r="DI21" s="81">
        <f t="shared" si="80"/>
        <v>397.5184599797365</v>
      </c>
      <c r="DJ21" s="76">
        <f t="shared" si="81"/>
        <v>169.60871833839965</v>
      </c>
      <c r="DK21" s="147">
        <f t="shared" si="46"/>
        <v>434179.4500000002</v>
      </c>
      <c r="DL21" s="64"/>
      <c r="DM21" s="64"/>
      <c r="DN21" s="65"/>
    </row>
    <row r="22" spans="1:118" ht="12.75">
      <c r="A22" s="51" t="s">
        <v>14</v>
      </c>
      <c r="B22" s="46">
        <v>2766</v>
      </c>
      <c r="C22" s="38">
        <v>9526953</v>
      </c>
      <c r="D22" s="66">
        <v>3444.31</v>
      </c>
      <c r="E22" s="66">
        <v>99.89</v>
      </c>
      <c r="F22" s="128">
        <v>4</v>
      </c>
      <c r="G22" s="134">
        <v>1861804.3</v>
      </c>
      <c r="H22" s="42">
        <v>5797175.2</v>
      </c>
      <c r="I22" s="42">
        <v>135864</v>
      </c>
      <c r="J22" s="42">
        <v>13786.65</v>
      </c>
      <c r="K22" s="42">
        <v>574207</v>
      </c>
      <c r="L22" s="42">
        <v>611478.3</v>
      </c>
      <c r="M22" s="43">
        <f t="shared" si="0"/>
        <v>1185685.3</v>
      </c>
      <c r="N22" s="42">
        <v>100000</v>
      </c>
      <c r="O22" s="42">
        <v>301354.2</v>
      </c>
      <c r="P22" s="42">
        <v>779563.2</v>
      </c>
      <c r="Q22" s="42">
        <v>10600.2</v>
      </c>
      <c r="R22" s="42">
        <v>354610.99</v>
      </c>
      <c r="S22" s="42">
        <v>21562.1</v>
      </c>
      <c r="T22" s="42">
        <v>102250</v>
      </c>
      <c r="U22" s="42">
        <v>0</v>
      </c>
      <c r="V22" s="42">
        <v>0</v>
      </c>
      <c r="W22" s="43">
        <f t="shared" si="48"/>
        <v>478423.08999999997</v>
      </c>
      <c r="X22" s="42">
        <v>965715.1</v>
      </c>
      <c r="Y22" s="43">
        <f t="shared" si="49"/>
        <v>11629971.239999998</v>
      </c>
      <c r="Z22" s="42">
        <v>2658418.95</v>
      </c>
      <c r="AA22" s="42">
        <v>270754.2</v>
      </c>
      <c r="AB22" s="42">
        <v>113602.15</v>
      </c>
      <c r="AC22" s="42">
        <v>0</v>
      </c>
      <c r="AD22" s="42">
        <v>10246</v>
      </c>
      <c r="AE22" s="43">
        <f t="shared" si="50"/>
        <v>3053021.3000000003</v>
      </c>
      <c r="AF22" s="42">
        <v>42398.6</v>
      </c>
      <c r="AG22" s="42">
        <v>453887</v>
      </c>
      <c r="AH22" s="42">
        <v>0</v>
      </c>
      <c r="AI22" s="42">
        <v>6802814.64</v>
      </c>
      <c r="AJ22" s="42">
        <v>38512</v>
      </c>
      <c r="AK22" s="42">
        <v>89924</v>
      </c>
      <c r="AL22" s="42">
        <v>149116.1</v>
      </c>
      <c r="AM22" s="42">
        <v>10479</v>
      </c>
      <c r="AN22" s="38">
        <v>0</v>
      </c>
      <c r="AO22" s="38">
        <v>40250</v>
      </c>
      <c r="AP22" s="38">
        <v>0</v>
      </c>
      <c r="AQ22" s="38">
        <v>0</v>
      </c>
      <c r="AR22" s="38">
        <v>0</v>
      </c>
      <c r="AS22" s="4">
        <f t="shared" si="51"/>
        <v>40250</v>
      </c>
      <c r="AT22" s="38">
        <v>965715.1</v>
      </c>
      <c r="AU22" s="4">
        <f t="shared" si="52"/>
        <v>11646117.739999998</v>
      </c>
      <c r="AV22" s="38">
        <v>16146.9</v>
      </c>
      <c r="AW22" s="38">
        <v>0</v>
      </c>
      <c r="AX22" s="4">
        <f t="shared" si="53"/>
        <v>0.3999999999996362</v>
      </c>
      <c r="AY22" s="42">
        <v>47228.15</v>
      </c>
      <c r="AZ22" s="42">
        <v>1738918.2</v>
      </c>
      <c r="BA22" s="42">
        <v>0</v>
      </c>
      <c r="BB22" s="42">
        <v>-6627</v>
      </c>
      <c r="BC22" s="42">
        <v>0</v>
      </c>
      <c r="BD22" s="42">
        <v>0</v>
      </c>
      <c r="BE22" s="42">
        <v>0</v>
      </c>
      <c r="BF22" s="43">
        <f t="shared" si="54"/>
        <v>1732291.2</v>
      </c>
      <c r="BG22" s="42">
        <v>0</v>
      </c>
      <c r="BH22" s="42">
        <v>60194.35</v>
      </c>
      <c r="BI22" s="42">
        <v>0</v>
      </c>
      <c r="BJ22" s="42">
        <v>0</v>
      </c>
      <c r="BK22" s="42">
        <v>0</v>
      </c>
      <c r="BL22" s="42">
        <v>356467.55</v>
      </c>
      <c r="BM22" s="42">
        <v>106785</v>
      </c>
      <c r="BN22" s="42">
        <v>0</v>
      </c>
      <c r="BO22" s="43">
        <f t="shared" si="55"/>
        <v>523446.89999999997</v>
      </c>
      <c r="BP22" s="42">
        <v>173606.35</v>
      </c>
      <c r="BQ22" s="42">
        <v>0</v>
      </c>
      <c r="BR22" s="42">
        <v>1382450.65</v>
      </c>
      <c r="BS22" s="43">
        <f t="shared" si="56"/>
        <v>0</v>
      </c>
      <c r="BT22" s="38">
        <v>13580885.21</v>
      </c>
      <c r="BU22" s="38">
        <v>4029294.1</v>
      </c>
      <c r="BV22" s="38">
        <v>0</v>
      </c>
      <c r="BW22" s="38">
        <v>0</v>
      </c>
      <c r="BX22" s="4">
        <f t="shared" si="57"/>
        <v>17610179.310000002</v>
      </c>
      <c r="BY22" s="38">
        <v>12189575.4</v>
      </c>
      <c r="BZ22" s="38">
        <v>1598923.61</v>
      </c>
      <c r="CA22" s="38">
        <v>3821680.3</v>
      </c>
      <c r="CB22" s="4">
        <f t="shared" si="58"/>
        <v>17610179.31</v>
      </c>
      <c r="CC22" s="4">
        <f t="shared" si="59"/>
        <v>0</v>
      </c>
      <c r="CD22" s="74">
        <f t="shared" si="60"/>
        <v>1201832.2</v>
      </c>
      <c r="CE22" s="76">
        <f t="shared" si="61"/>
        <v>1640005.29</v>
      </c>
      <c r="CF22" s="76">
        <f t="shared" si="62"/>
        <v>1208844.2999999998</v>
      </c>
      <c r="CG22" s="76">
        <f t="shared" si="47"/>
        <v>10629673.639999999</v>
      </c>
      <c r="CH22" s="76">
        <f t="shared" si="63"/>
        <v>-270794.85</v>
      </c>
      <c r="CI22" s="37">
        <f t="shared" si="64"/>
        <v>303412.15</v>
      </c>
      <c r="CJ22" s="59">
        <f t="shared" si="35"/>
        <v>0.9941993356795413</v>
      </c>
      <c r="CK22" s="59">
        <f t="shared" si="36"/>
        <v>1.356672062729667</v>
      </c>
      <c r="CL22" s="141">
        <f t="shared" si="37"/>
        <v>0.11306388518622479</v>
      </c>
      <c r="CM22" s="141">
        <f t="shared" si="38"/>
        <v>0.15428557315518862</v>
      </c>
      <c r="CN22" s="141">
        <f t="shared" si="39"/>
        <v>-0.02547536821647894</v>
      </c>
      <c r="CO22" s="141">
        <f t="shared" si="40"/>
        <v>0.028543881992598982</v>
      </c>
      <c r="CP22" s="141">
        <f t="shared" si="41"/>
        <v>0.22736145419864942</v>
      </c>
      <c r="CQ22" s="141">
        <f t="shared" si="42"/>
        <v>0.11010724222611504</v>
      </c>
      <c r="CR22" s="142">
        <f t="shared" si="43"/>
        <v>0.8483569037755972</v>
      </c>
      <c r="CS22" s="76">
        <f t="shared" si="44"/>
        <v>1391309.8100000005</v>
      </c>
      <c r="CT22" s="80">
        <f t="shared" si="65"/>
        <v>10444285.939999998</v>
      </c>
      <c r="CU22" s="80">
        <f t="shared" si="66"/>
        <v>11646117.739999998</v>
      </c>
      <c r="CV22" s="80">
        <f t="shared" si="67"/>
        <v>1201831.8000000007</v>
      </c>
      <c r="CW22" s="80">
        <f t="shared" si="68"/>
        <v>0</v>
      </c>
      <c r="CX22" s="80">
        <f t="shared" si="69"/>
        <v>1201831.8000000007</v>
      </c>
      <c r="CY22" s="80">
        <f t="shared" si="70"/>
        <v>16146.500000000698</v>
      </c>
      <c r="CZ22" s="80">
        <f t="shared" si="71"/>
        <v>1208844.2999999998</v>
      </c>
      <c r="DA22" s="80">
        <f t="shared" si="72"/>
        <v>1185685.3</v>
      </c>
      <c r="DB22" s="80">
        <f t="shared" si="73"/>
        <v>-7012.499999999069</v>
      </c>
      <c r="DC22" s="80">
        <f t="shared" si="74"/>
        <v>-1359291.6500000001</v>
      </c>
      <c r="DD22" s="80">
        <f t="shared" si="75"/>
        <v>16146.500000000698</v>
      </c>
      <c r="DE22" s="80">
        <f t="shared" si="76"/>
        <v>3042775.3000000003</v>
      </c>
      <c r="DF22" s="80">
        <f t="shared" si="77"/>
        <v>503.00426970354323</v>
      </c>
      <c r="DG22" s="80">
        <f t="shared" si="78"/>
        <v>-97.90124728850324</v>
      </c>
      <c r="DH22" s="80">
        <f t="shared" si="79"/>
        <v>1100.0633767172815</v>
      </c>
      <c r="DI22" s="81">
        <f t="shared" si="80"/>
        <v>437.03698481561815</v>
      </c>
      <c r="DJ22" s="76">
        <f t="shared" si="81"/>
        <v>-2.535249457700314</v>
      </c>
      <c r="DK22" s="147">
        <f t="shared" si="46"/>
        <v>-207613.80000000028</v>
      </c>
      <c r="DL22" s="67"/>
      <c r="DM22" s="67"/>
      <c r="DN22" s="68"/>
    </row>
    <row r="23" spans="1:118" ht="12.75">
      <c r="A23" s="52" t="s">
        <v>15</v>
      </c>
      <c r="B23" s="41">
        <v>253</v>
      </c>
      <c r="C23" s="4">
        <v>669276</v>
      </c>
      <c r="D23" s="69">
        <v>2645.36</v>
      </c>
      <c r="E23" s="69">
        <v>76.72</v>
      </c>
      <c r="F23" s="8">
        <v>8</v>
      </c>
      <c r="G23" s="133">
        <v>183843.8</v>
      </c>
      <c r="H23" s="43">
        <v>76540.45</v>
      </c>
      <c r="I23" s="43">
        <v>17443.4</v>
      </c>
      <c r="J23" s="43">
        <v>0</v>
      </c>
      <c r="K23" s="43">
        <v>29770</v>
      </c>
      <c r="L23" s="43">
        <v>46439.05</v>
      </c>
      <c r="M23" s="43">
        <f t="shared" si="0"/>
        <v>76209.05</v>
      </c>
      <c r="N23" s="43">
        <v>50</v>
      </c>
      <c r="O23" s="43">
        <v>32744.85</v>
      </c>
      <c r="P23" s="43">
        <v>76182.7</v>
      </c>
      <c r="Q23" s="43">
        <v>532</v>
      </c>
      <c r="R23" s="43">
        <v>0</v>
      </c>
      <c r="S23" s="43">
        <v>4091.2</v>
      </c>
      <c r="T23" s="43">
        <v>0</v>
      </c>
      <c r="U23" s="43">
        <v>0</v>
      </c>
      <c r="V23" s="43">
        <v>0</v>
      </c>
      <c r="W23" s="43">
        <f t="shared" si="48"/>
        <v>4091.2</v>
      </c>
      <c r="X23" s="43">
        <v>94139.3</v>
      </c>
      <c r="Y23" s="43">
        <f t="shared" si="49"/>
        <v>561776.7499999999</v>
      </c>
      <c r="Z23" s="43">
        <v>265447.15</v>
      </c>
      <c r="AA23" s="43">
        <v>2158.05</v>
      </c>
      <c r="AB23" s="43">
        <v>57.6</v>
      </c>
      <c r="AC23" s="43">
        <v>0</v>
      </c>
      <c r="AD23" s="43">
        <v>5612</v>
      </c>
      <c r="AE23" s="43">
        <f t="shared" si="50"/>
        <v>273274.8</v>
      </c>
      <c r="AF23" s="43">
        <v>0</v>
      </c>
      <c r="AG23" s="43">
        <v>26027.7</v>
      </c>
      <c r="AH23" s="43">
        <v>0</v>
      </c>
      <c r="AI23" s="43">
        <v>79757.05</v>
      </c>
      <c r="AJ23" s="43">
        <v>3373.9</v>
      </c>
      <c r="AK23" s="43">
        <v>29808.65</v>
      </c>
      <c r="AL23" s="43">
        <v>34944</v>
      </c>
      <c r="AM23" s="43">
        <v>567</v>
      </c>
      <c r="AN23" s="4">
        <v>0</v>
      </c>
      <c r="AO23" s="4">
        <v>7000</v>
      </c>
      <c r="AP23" s="4">
        <v>0</v>
      </c>
      <c r="AQ23" s="4">
        <v>0</v>
      </c>
      <c r="AR23" s="4">
        <v>0</v>
      </c>
      <c r="AS23" s="4">
        <f t="shared" si="51"/>
        <v>7000</v>
      </c>
      <c r="AT23" s="4">
        <v>107023.65</v>
      </c>
      <c r="AU23" s="4">
        <f t="shared" si="52"/>
        <v>561776.75</v>
      </c>
      <c r="AV23" s="4">
        <v>0</v>
      </c>
      <c r="AW23" s="4">
        <v>0</v>
      </c>
      <c r="AX23" s="4">
        <f t="shared" si="53"/>
        <v>-1.1641532182693481E-10</v>
      </c>
      <c r="AY23" s="43">
        <v>0</v>
      </c>
      <c r="AZ23" s="43">
        <v>149306.85</v>
      </c>
      <c r="BA23" s="43">
        <v>0</v>
      </c>
      <c r="BB23" s="43">
        <v>0</v>
      </c>
      <c r="BC23" s="43">
        <v>0</v>
      </c>
      <c r="BD23" s="43">
        <v>0</v>
      </c>
      <c r="BE23" s="43">
        <v>0</v>
      </c>
      <c r="BF23" s="43">
        <f t="shared" si="54"/>
        <v>149306.85</v>
      </c>
      <c r="BG23" s="43">
        <v>3929.35</v>
      </c>
      <c r="BH23" s="43">
        <v>0</v>
      </c>
      <c r="BI23" s="43">
        <v>0</v>
      </c>
      <c r="BJ23" s="43">
        <v>0</v>
      </c>
      <c r="BK23" s="43">
        <v>0</v>
      </c>
      <c r="BL23" s="43">
        <v>40000</v>
      </c>
      <c r="BM23" s="43">
        <v>8913</v>
      </c>
      <c r="BN23" s="43">
        <v>0</v>
      </c>
      <c r="BO23" s="43">
        <f t="shared" si="55"/>
        <v>52842.35</v>
      </c>
      <c r="BP23" s="43">
        <v>52842.35</v>
      </c>
      <c r="BQ23" s="43">
        <v>0</v>
      </c>
      <c r="BR23" s="43">
        <v>149306.85</v>
      </c>
      <c r="BS23" s="43">
        <f t="shared" si="56"/>
        <v>0</v>
      </c>
      <c r="BT23" s="4">
        <v>1629177.92</v>
      </c>
      <c r="BU23" s="4">
        <v>159850.6</v>
      </c>
      <c r="BV23" s="4">
        <v>0</v>
      </c>
      <c r="BW23" s="4">
        <v>0</v>
      </c>
      <c r="BX23" s="4">
        <f t="shared" si="57"/>
        <v>1789028.52</v>
      </c>
      <c r="BY23" s="4">
        <v>1063962.1</v>
      </c>
      <c r="BZ23" s="4">
        <v>194796.55</v>
      </c>
      <c r="CA23" s="4">
        <v>530269.87</v>
      </c>
      <c r="CB23" s="4">
        <f t="shared" si="58"/>
        <v>1789028.52</v>
      </c>
      <c r="CC23" s="4">
        <f t="shared" si="59"/>
        <v>0</v>
      </c>
      <c r="CD23" s="74">
        <f t="shared" si="60"/>
        <v>76209.05</v>
      </c>
      <c r="CE23" s="76">
        <f t="shared" si="61"/>
        <v>73300.25</v>
      </c>
      <c r="CF23" s="76">
        <f t="shared" si="62"/>
        <v>96464.5</v>
      </c>
      <c r="CG23" s="76">
        <f t="shared" si="47"/>
        <v>447186.1</v>
      </c>
      <c r="CH23" s="76">
        <f t="shared" si="63"/>
        <v>-8584.3</v>
      </c>
      <c r="CI23" s="37">
        <f t="shared" si="64"/>
        <v>21185.7</v>
      </c>
      <c r="CJ23" s="59">
        <f t="shared" si="35"/>
        <v>0.7900217178340219</v>
      </c>
      <c r="CK23" s="59">
        <f t="shared" si="36"/>
        <v>0.7598676196942917</v>
      </c>
      <c r="CL23" s="141">
        <f t="shared" si="37"/>
        <v>0.17041909397452204</v>
      </c>
      <c r="CM23" s="141">
        <f t="shared" si="38"/>
        <v>0.1639144195224315</v>
      </c>
      <c r="CN23" s="141">
        <f t="shared" si="39"/>
        <v>-0.019196258559914987</v>
      </c>
      <c r="CO23" s="141">
        <f t="shared" si="40"/>
        <v>0.04737557808706488</v>
      </c>
      <c r="CP23" s="141">
        <f t="shared" si="41"/>
        <v>0.3228381046909118</v>
      </c>
      <c r="CQ23" s="141">
        <f t="shared" si="42"/>
        <v>0.12611219240560595</v>
      </c>
      <c r="CR23" s="142">
        <f t="shared" si="43"/>
        <v>7.710967152226627</v>
      </c>
      <c r="CS23" s="76">
        <f t="shared" si="44"/>
        <v>565215.8199999998</v>
      </c>
      <c r="CT23" s="80">
        <f t="shared" si="65"/>
        <v>485567.6999999999</v>
      </c>
      <c r="CU23" s="80">
        <f t="shared" si="66"/>
        <v>561776.75</v>
      </c>
      <c r="CV23" s="80">
        <f t="shared" si="67"/>
        <v>76209.0500000001</v>
      </c>
      <c r="CW23" s="80">
        <f t="shared" si="68"/>
        <v>0</v>
      </c>
      <c r="CX23" s="80">
        <f t="shared" si="69"/>
        <v>76209.0500000001</v>
      </c>
      <c r="CY23" s="80">
        <f t="shared" si="70"/>
        <v>1.0186340659856796E-10</v>
      </c>
      <c r="CZ23" s="80">
        <f t="shared" si="71"/>
        <v>96464.5</v>
      </c>
      <c r="DA23" s="80">
        <f t="shared" si="72"/>
        <v>76209.05</v>
      </c>
      <c r="DB23" s="80">
        <f t="shared" si="73"/>
        <v>-20255.449999999895</v>
      </c>
      <c r="DC23" s="80">
        <f t="shared" si="74"/>
        <v>-129051.4</v>
      </c>
      <c r="DD23" s="80">
        <f t="shared" si="75"/>
        <v>0</v>
      </c>
      <c r="DE23" s="80">
        <f t="shared" si="76"/>
        <v>267662.8</v>
      </c>
      <c r="DF23" s="80">
        <f t="shared" si="77"/>
        <v>2234.054624505928</v>
      </c>
      <c r="DG23" s="80">
        <f t="shared" si="78"/>
        <v>-33.9300395256917</v>
      </c>
      <c r="DH23" s="80">
        <f t="shared" si="79"/>
        <v>1057.9557312252964</v>
      </c>
      <c r="DI23" s="81">
        <f t="shared" si="80"/>
        <v>381.2826086956522</v>
      </c>
      <c r="DJ23" s="76">
        <f t="shared" si="81"/>
        <v>-80.06106719367547</v>
      </c>
      <c r="DK23" s="147">
        <f t="shared" si="46"/>
        <v>370419.27</v>
      </c>
      <c r="DL23" s="64"/>
      <c r="DM23" s="64"/>
      <c r="DN23" s="65"/>
    </row>
    <row r="24" spans="1:118" ht="12.75">
      <c r="A24" s="51" t="s">
        <v>16</v>
      </c>
      <c r="B24" s="46">
        <v>3658</v>
      </c>
      <c r="C24" s="38">
        <v>11109767</v>
      </c>
      <c r="D24" s="66">
        <v>3037.11</v>
      </c>
      <c r="E24" s="66">
        <v>88.08</v>
      </c>
      <c r="F24" s="128">
        <v>2</v>
      </c>
      <c r="G24" s="134">
        <v>1582889.9</v>
      </c>
      <c r="H24" s="42">
        <v>1043654.05</v>
      </c>
      <c r="I24" s="42">
        <v>295118.7</v>
      </c>
      <c r="J24" s="42">
        <v>0</v>
      </c>
      <c r="K24" s="42">
        <v>277443.2</v>
      </c>
      <c r="L24" s="42">
        <v>370000</v>
      </c>
      <c r="M24" s="43">
        <f t="shared" si="0"/>
        <v>647443.2</v>
      </c>
      <c r="N24" s="42">
        <v>0</v>
      </c>
      <c r="O24" s="42">
        <v>245925.45</v>
      </c>
      <c r="P24" s="42">
        <v>930678.15</v>
      </c>
      <c r="Q24" s="42">
        <v>708.1</v>
      </c>
      <c r="R24" s="42">
        <v>189432</v>
      </c>
      <c r="S24" s="42">
        <v>36106.5</v>
      </c>
      <c r="T24" s="42">
        <v>0</v>
      </c>
      <c r="U24" s="42">
        <v>0</v>
      </c>
      <c r="V24" s="42">
        <v>0</v>
      </c>
      <c r="W24" s="43">
        <f t="shared" si="48"/>
        <v>225538.5</v>
      </c>
      <c r="X24" s="42">
        <v>749203.25</v>
      </c>
      <c r="Y24" s="43">
        <f t="shared" si="49"/>
        <v>5721159.300000001</v>
      </c>
      <c r="Z24" s="42">
        <v>3026309.8</v>
      </c>
      <c r="AA24" s="42">
        <v>304537.55</v>
      </c>
      <c r="AB24" s="42">
        <v>41251.2</v>
      </c>
      <c r="AC24" s="42">
        <v>0</v>
      </c>
      <c r="AD24" s="42">
        <v>18509.5</v>
      </c>
      <c r="AE24" s="43">
        <f t="shared" si="50"/>
        <v>3390608.05</v>
      </c>
      <c r="AF24" s="42">
        <v>0</v>
      </c>
      <c r="AG24" s="42">
        <v>140635.15</v>
      </c>
      <c r="AH24" s="42">
        <v>0</v>
      </c>
      <c r="AI24" s="42">
        <v>1104907.8</v>
      </c>
      <c r="AJ24" s="42">
        <v>43655.4</v>
      </c>
      <c r="AK24" s="42">
        <v>177751.3</v>
      </c>
      <c r="AL24" s="42">
        <v>150660.45</v>
      </c>
      <c r="AM24" s="42">
        <v>792.5</v>
      </c>
      <c r="AN24" s="38">
        <v>0</v>
      </c>
      <c r="AO24" s="38">
        <v>0</v>
      </c>
      <c r="AP24" s="38">
        <v>0</v>
      </c>
      <c r="AQ24" s="38">
        <v>0</v>
      </c>
      <c r="AR24" s="38">
        <v>0</v>
      </c>
      <c r="AS24" s="4">
        <f t="shared" si="51"/>
        <v>0</v>
      </c>
      <c r="AT24" s="38">
        <v>749203.25</v>
      </c>
      <c r="AU24" s="4">
        <f t="shared" si="52"/>
        <v>5758213.899999999</v>
      </c>
      <c r="AV24" s="38">
        <v>37054.6</v>
      </c>
      <c r="AW24" s="38">
        <v>0</v>
      </c>
      <c r="AX24" s="4">
        <f t="shared" si="53"/>
        <v>1.3023964129388332E-09</v>
      </c>
      <c r="AY24" s="42">
        <v>6630.95</v>
      </c>
      <c r="AZ24" s="42">
        <v>1172924.95</v>
      </c>
      <c r="BA24" s="42">
        <v>0</v>
      </c>
      <c r="BB24" s="42">
        <v>0</v>
      </c>
      <c r="BC24" s="42">
        <v>9073.6</v>
      </c>
      <c r="BD24" s="42">
        <v>0</v>
      </c>
      <c r="BE24" s="42">
        <v>1645.1</v>
      </c>
      <c r="BF24" s="43">
        <f t="shared" si="54"/>
        <v>1183643.6500000001</v>
      </c>
      <c r="BG24" s="42">
        <v>0</v>
      </c>
      <c r="BH24" s="42">
        <v>61167.1</v>
      </c>
      <c r="BI24" s="42">
        <v>0</v>
      </c>
      <c r="BJ24" s="42">
        <v>0</v>
      </c>
      <c r="BK24" s="42">
        <v>0</v>
      </c>
      <c r="BL24" s="42">
        <v>0</v>
      </c>
      <c r="BM24" s="42">
        <v>168000</v>
      </c>
      <c r="BN24" s="42">
        <v>0</v>
      </c>
      <c r="BO24" s="43">
        <f t="shared" si="55"/>
        <v>229167.1</v>
      </c>
      <c r="BP24" s="42">
        <v>229167.1</v>
      </c>
      <c r="BQ24" s="42">
        <v>0</v>
      </c>
      <c r="BR24" s="42">
        <v>1183643.65</v>
      </c>
      <c r="BS24" s="43">
        <f t="shared" si="56"/>
        <v>0</v>
      </c>
      <c r="BT24" s="38">
        <v>12734534.75</v>
      </c>
      <c r="BU24" s="38">
        <v>3915294.4</v>
      </c>
      <c r="BV24" s="38">
        <v>0</v>
      </c>
      <c r="BW24" s="38">
        <v>0</v>
      </c>
      <c r="BX24" s="4">
        <f t="shared" si="57"/>
        <v>16649829.15</v>
      </c>
      <c r="BY24" s="38">
        <v>11091834.3</v>
      </c>
      <c r="BZ24" s="38">
        <v>4171201.3</v>
      </c>
      <c r="CA24" s="38">
        <v>1386793.55</v>
      </c>
      <c r="CB24" s="4">
        <f t="shared" si="58"/>
        <v>16649829.150000002</v>
      </c>
      <c r="CC24" s="4">
        <f t="shared" si="59"/>
        <v>0</v>
      </c>
      <c r="CD24" s="74">
        <f t="shared" si="60"/>
        <v>684497.7999999999</v>
      </c>
      <c r="CE24" s="76">
        <f t="shared" si="61"/>
        <v>910036.2999999999</v>
      </c>
      <c r="CF24" s="76">
        <f t="shared" si="62"/>
        <v>954476.5499999999</v>
      </c>
      <c r="CG24" s="76">
        <f t="shared" si="47"/>
        <v>5008218.149999999</v>
      </c>
      <c r="CH24" s="76">
        <f t="shared" si="63"/>
        <v>161114.50000000003</v>
      </c>
      <c r="CI24" s="37">
        <f t="shared" si="64"/>
        <v>438557.70000000007</v>
      </c>
      <c r="CJ24" s="59">
        <f t="shared" si="35"/>
        <v>0.7171447009358166</v>
      </c>
      <c r="CK24" s="59">
        <f t="shared" si="36"/>
        <v>0.9534401866656651</v>
      </c>
      <c r="CL24" s="141">
        <f t="shared" si="37"/>
        <v>0.13667491700616116</v>
      </c>
      <c r="CM24" s="141">
        <f t="shared" si="38"/>
        <v>0.18170859829658179</v>
      </c>
      <c r="CN24" s="141">
        <f t="shared" si="39"/>
        <v>0.03217002438282367</v>
      </c>
      <c r="CO24" s="141">
        <f t="shared" si="40"/>
        <v>0.0875676112471259</v>
      </c>
      <c r="CP24" s="141">
        <f t="shared" si="41"/>
        <v>0.14189796932438103</v>
      </c>
      <c r="CQ24" s="141">
        <f t="shared" si="42"/>
        <v>0.060806301900858825</v>
      </c>
      <c r="CR24" s="142">
        <f t="shared" si="43"/>
        <v>1.8050933242992608</v>
      </c>
      <c r="CS24" s="76">
        <f t="shared" si="44"/>
        <v>1642700.4499999993</v>
      </c>
      <c r="CT24" s="80">
        <f t="shared" si="65"/>
        <v>5073716.100000001</v>
      </c>
      <c r="CU24" s="80">
        <f t="shared" si="66"/>
        <v>5758213.899999999</v>
      </c>
      <c r="CV24" s="80">
        <f t="shared" si="67"/>
        <v>684497.7999999989</v>
      </c>
      <c r="CW24" s="80">
        <f t="shared" si="68"/>
        <v>0</v>
      </c>
      <c r="CX24" s="80">
        <f t="shared" si="69"/>
        <v>684497.7999999989</v>
      </c>
      <c r="CY24" s="80">
        <f t="shared" si="70"/>
        <v>37054.59999999887</v>
      </c>
      <c r="CZ24" s="80">
        <f t="shared" si="71"/>
        <v>954476.5499999999</v>
      </c>
      <c r="DA24" s="80">
        <f t="shared" si="72"/>
        <v>647443.2</v>
      </c>
      <c r="DB24" s="80">
        <f t="shared" si="73"/>
        <v>-269978.7500000011</v>
      </c>
      <c r="DC24" s="80">
        <f t="shared" si="74"/>
        <v>-876610.2999999999</v>
      </c>
      <c r="DD24" s="80">
        <f t="shared" si="75"/>
        <v>37054.59999999893</v>
      </c>
      <c r="DE24" s="80">
        <f t="shared" si="76"/>
        <v>3372098.55</v>
      </c>
      <c r="DF24" s="80">
        <f t="shared" si="77"/>
        <v>449.070653362493</v>
      </c>
      <c r="DG24" s="80">
        <f t="shared" si="78"/>
        <v>44.04442318206671</v>
      </c>
      <c r="DH24" s="80">
        <f t="shared" si="79"/>
        <v>921.842140513942</v>
      </c>
      <c r="DI24" s="81">
        <f t="shared" si="80"/>
        <v>260.9285265172225</v>
      </c>
      <c r="DJ24" s="76">
        <f t="shared" si="81"/>
        <v>-73.80501640240598</v>
      </c>
      <c r="DK24" s="147">
        <f t="shared" si="46"/>
        <v>-2528500.8499999996</v>
      </c>
      <c r="DL24" s="67"/>
      <c r="DM24" s="67"/>
      <c r="DN24" s="68"/>
    </row>
    <row r="25" spans="1:118" ht="12.75">
      <c r="A25" s="52" t="s">
        <v>36</v>
      </c>
      <c r="B25" s="41">
        <v>1785</v>
      </c>
      <c r="C25" s="4">
        <v>3909508</v>
      </c>
      <c r="D25" s="69">
        <v>2190.2</v>
      </c>
      <c r="E25" s="69">
        <v>63.52</v>
      </c>
      <c r="F25" s="8">
        <v>2</v>
      </c>
      <c r="G25" s="133">
        <v>1056048.95</v>
      </c>
      <c r="H25" s="43">
        <v>1521863.18</v>
      </c>
      <c r="I25" s="43">
        <v>31789.45</v>
      </c>
      <c r="J25" s="43">
        <v>4391.8</v>
      </c>
      <c r="K25" s="43">
        <v>158591</v>
      </c>
      <c r="L25" s="43">
        <v>185967.06</v>
      </c>
      <c r="M25" s="43">
        <f t="shared" si="0"/>
        <v>344558.06</v>
      </c>
      <c r="N25" s="43">
        <v>44517.7</v>
      </c>
      <c r="O25" s="43">
        <v>98326.85</v>
      </c>
      <c r="P25" s="43">
        <v>398260.2</v>
      </c>
      <c r="Q25" s="43">
        <v>9769.05</v>
      </c>
      <c r="R25" s="43">
        <v>50716.14</v>
      </c>
      <c r="S25" s="43">
        <v>0</v>
      </c>
      <c r="T25" s="43">
        <v>0</v>
      </c>
      <c r="U25" s="43">
        <v>0</v>
      </c>
      <c r="V25" s="43">
        <v>0</v>
      </c>
      <c r="W25" s="43">
        <f t="shared" si="48"/>
        <v>50716.14</v>
      </c>
      <c r="X25" s="43">
        <v>489819.61</v>
      </c>
      <c r="Y25" s="43">
        <f t="shared" si="49"/>
        <v>4050060.99</v>
      </c>
      <c r="Z25" s="43">
        <v>1325074.75</v>
      </c>
      <c r="AA25" s="43">
        <v>32984.4</v>
      </c>
      <c r="AB25" s="43">
        <v>18190</v>
      </c>
      <c r="AC25" s="43">
        <v>0</v>
      </c>
      <c r="AD25" s="43">
        <v>6520</v>
      </c>
      <c r="AE25" s="43">
        <f t="shared" si="50"/>
        <v>1382769.15</v>
      </c>
      <c r="AF25" s="43">
        <v>0</v>
      </c>
      <c r="AG25" s="43">
        <v>84725.75</v>
      </c>
      <c r="AH25" s="43">
        <v>0</v>
      </c>
      <c r="AI25" s="43">
        <v>1790563.43</v>
      </c>
      <c r="AJ25" s="43">
        <v>25006.35</v>
      </c>
      <c r="AK25" s="43">
        <v>84248.45</v>
      </c>
      <c r="AL25" s="43">
        <v>60592.9</v>
      </c>
      <c r="AM25" s="43">
        <v>9769.05</v>
      </c>
      <c r="AN25" s="4">
        <v>25244.65</v>
      </c>
      <c r="AO25" s="4">
        <v>0</v>
      </c>
      <c r="AP25" s="4">
        <v>0</v>
      </c>
      <c r="AQ25" s="4">
        <v>0</v>
      </c>
      <c r="AR25" s="4">
        <v>0</v>
      </c>
      <c r="AS25" s="4">
        <f t="shared" si="51"/>
        <v>25244.65</v>
      </c>
      <c r="AT25" s="4">
        <v>489819.61</v>
      </c>
      <c r="AU25" s="4">
        <f t="shared" si="52"/>
        <v>3952739.340000001</v>
      </c>
      <c r="AV25" s="4">
        <v>0</v>
      </c>
      <c r="AW25" s="4">
        <v>97321.75</v>
      </c>
      <c r="AX25" s="4">
        <f t="shared" si="53"/>
        <v>-0.10000000055879354</v>
      </c>
      <c r="AY25" s="43">
        <v>0</v>
      </c>
      <c r="AZ25" s="43">
        <v>404815.08</v>
      </c>
      <c r="BA25" s="43">
        <v>0</v>
      </c>
      <c r="BB25" s="43">
        <v>0</v>
      </c>
      <c r="BC25" s="43">
        <v>19700</v>
      </c>
      <c r="BD25" s="43">
        <v>0</v>
      </c>
      <c r="BE25" s="43">
        <v>0</v>
      </c>
      <c r="BF25" s="43">
        <f t="shared" si="54"/>
        <v>424515.08</v>
      </c>
      <c r="BG25" s="43">
        <v>0</v>
      </c>
      <c r="BH25" s="43">
        <v>26067.75</v>
      </c>
      <c r="BI25" s="43">
        <v>0</v>
      </c>
      <c r="BJ25" s="43">
        <v>0</v>
      </c>
      <c r="BK25" s="43">
        <v>0</v>
      </c>
      <c r="BL25" s="43">
        <v>0</v>
      </c>
      <c r="BM25" s="43">
        <v>0</v>
      </c>
      <c r="BN25" s="43">
        <v>0</v>
      </c>
      <c r="BO25" s="43">
        <f t="shared" si="55"/>
        <v>26067.75</v>
      </c>
      <c r="BP25" s="43">
        <v>0</v>
      </c>
      <c r="BQ25" s="43">
        <v>26067.75</v>
      </c>
      <c r="BR25" s="43">
        <v>424515.08</v>
      </c>
      <c r="BS25" s="43">
        <f t="shared" si="56"/>
        <v>0</v>
      </c>
      <c r="BT25" s="4">
        <v>4224420.1</v>
      </c>
      <c r="BU25" s="4">
        <v>957912.01</v>
      </c>
      <c r="BV25" s="4">
        <v>0</v>
      </c>
      <c r="BW25" s="4">
        <v>0</v>
      </c>
      <c r="BX25" s="4">
        <f t="shared" si="57"/>
        <v>5182332.109999999</v>
      </c>
      <c r="BY25" s="4">
        <v>2948071.04</v>
      </c>
      <c r="BZ25" s="4">
        <v>1530317.97</v>
      </c>
      <c r="CA25" s="4">
        <v>703943.1</v>
      </c>
      <c r="CB25" s="4">
        <v>5182332.11</v>
      </c>
      <c r="CC25" s="4">
        <f t="shared" si="59"/>
        <v>0</v>
      </c>
      <c r="CD25" s="74">
        <f t="shared" si="60"/>
        <v>247236.31</v>
      </c>
      <c r="CE25" s="76">
        <f t="shared" si="61"/>
        <v>272707.8</v>
      </c>
      <c r="CF25" s="76">
        <f t="shared" si="62"/>
        <v>424515.08</v>
      </c>
      <c r="CG25" s="76">
        <f t="shared" si="47"/>
        <v>3427906.030000001</v>
      </c>
      <c r="CH25" s="76">
        <f t="shared" si="63"/>
        <v>-26868.550000000003</v>
      </c>
      <c r="CI25" s="37">
        <f t="shared" si="64"/>
        <v>131722.45</v>
      </c>
      <c r="CJ25" s="59">
        <f t="shared" si="35"/>
        <v>0.5823970022454796</v>
      </c>
      <c r="CK25" s="59">
        <f t="shared" si="36"/>
        <v>0.6423983807595245</v>
      </c>
      <c r="CL25" s="141">
        <f t="shared" si="37"/>
        <v>0.07212458796602424</v>
      </c>
      <c r="CM25" s="141">
        <f t="shared" si="38"/>
        <v>0.07955521464513422</v>
      </c>
      <c r="CN25" s="141">
        <f t="shared" si="39"/>
        <v>-0.007838181608496425</v>
      </c>
      <c r="CO25" s="141">
        <f t="shared" si="40"/>
        <v>0.03842650552471532</v>
      </c>
      <c r="CP25" s="141">
        <f t="shared" si="41"/>
        <v>0.264542017460716</v>
      </c>
      <c r="CQ25" s="141">
        <f t="shared" si="42"/>
        <v>0.12176172309280012</v>
      </c>
      <c r="CR25" s="142">
        <f t="shared" si="43"/>
        <v>4.680280725377124</v>
      </c>
      <c r="CS25" s="76">
        <f t="shared" si="44"/>
        <v>1276349.0599999996</v>
      </c>
      <c r="CT25" s="80">
        <f t="shared" si="65"/>
        <v>3705502.93</v>
      </c>
      <c r="CU25" s="80">
        <f t="shared" si="66"/>
        <v>3952739.340000001</v>
      </c>
      <c r="CV25" s="80">
        <f t="shared" si="67"/>
        <v>247236.41000000061</v>
      </c>
      <c r="CW25" s="80">
        <f t="shared" si="68"/>
        <v>0</v>
      </c>
      <c r="CX25" s="80">
        <f t="shared" si="69"/>
        <v>247236.41000000061</v>
      </c>
      <c r="CY25" s="80">
        <f t="shared" si="70"/>
        <v>-97321.64999999938</v>
      </c>
      <c r="CZ25" s="80">
        <f t="shared" si="71"/>
        <v>424515.08</v>
      </c>
      <c r="DA25" s="80">
        <f t="shared" si="72"/>
        <v>344558.06</v>
      </c>
      <c r="DB25" s="80">
        <f t="shared" si="73"/>
        <v>-177278.6699999994</v>
      </c>
      <c r="DC25" s="80">
        <f t="shared" si="74"/>
        <v>-344558.06</v>
      </c>
      <c r="DD25" s="80">
        <f t="shared" si="75"/>
        <v>-97321.64999999938</v>
      </c>
      <c r="DE25" s="80">
        <f t="shared" si="76"/>
        <v>1376249.15</v>
      </c>
      <c r="DF25" s="80">
        <f t="shared" si="77"/>
        <v>715.0414901960783</v>
      </c>
      <c r="DG25" s="80">
        <f t="shared" si="78"/>
        <v>-15.052408963585435</v>
      </c>
      <c r="DH25" s="80">
        <f t="shared" si="79"/>
        <v>771.0079271708682</v>
      </c>
      <c r="DI25" s="81">
        <f t="shared" si="80"/>
        <v>237.8235742296919</v>
      </c>
      <c r="DJ25" s="76">
        <f t="shared" si="81"/>
        <v>-99.3157815126047</v>
      </c>
      <c r="DK25" s="147">
        <f t="shared" si="46"/>
        <v>-253968.91000000003</v>
      </c>
      <c r="DL25" s="64"/>
      <c r="DM25" s="64"/>
      <c r="DN25" s="65"/>
    </row>
    <row r="26" spans="1:118" ht="12.75">
      <c r="A26" s="51" t="s">
        <v>17</v>
      </c>
      <c r="B26" s="46">
        <v>433</v>
      </c>
      <c r="C26" s="38">
        <v>896101</v>
      </c>
      <c r="D26" s="66">
        <v>2069.52</v>
      </c>
      <c r="E26" s="66">
        <v>60.02</v>
      </c>
      <c r="F26" s="128">
        <v>8</v>
      </c>
      <c r="G26" s="134">
        <v>503097.5</v>
      </c>
      <c r="H26" s="42">
        <v>220655.55</v>
      </c>
      <c r="I26" s="42">
        <v>12770.5</v>
      </c>
      <c r="J26" s="42">
        <v>0</v>
      </c>
      <c r="K26" s="42">
        <v>56922.6</v>
      </c>
      <c r="L26" s="42">
        <v>142305</v>
      </c>
      <c r="M26" s="43">
        <f t="shared" si="0"/>
        <v>199227.6</v>
      </c>
      <c r="N26" s="42">
        <v>0</v>
      </c>
      <c r="O26" s="42">
        <v>64033.8</v>
      </c>
      <c r="P26" s="42">
        <v>144939.75</v>
      </c>
      <c r="Q26" s="42">
        <v>0</v>
      </c>
      <c r="R26" s="42">
        <v>30553.45</v>
      </c>
      <c r="S26" s="42">
        <v>0</v>
      </c>
      <c r="T26" s="42">
        <v>25266</v>
      </c>
      <c r="U26" s="42">
        <v>0</v>
      </c>
      <c r="V26" s="42">
        <v>0</v>
      </c>
      <c r="W26" s="43">
        <f t="shared" si="48"/>
        <v>55819.45</v>
      </c>
      <c r="X26" s="42">
        <v>6191.45</v>
      </c>
      <c r="Y26" s="43">
        <f t="shared" si="49"/>
        <v>1206735.5999999999</v>
      </c>
      <c r="Z26" s="42">
        <v>370760.1</v>
      </c>
      <c r="AA26" s="42">
        <v>4559.6</v>
      </c>
      <c r="AB26" s="42">
        <v>15352.6</v>
      </c>
      <c r="AC26" s="42">
        <v>0</v>
      </c>
      <c r="AD26" s="42">
        <v>2050</v>
      </c>
      <c r="AE26" s="43">
        <f t="shared" si="50"/>
        <v>392722.29999999993</v>
      </c>
      <c r="AF26" s="42">
        <v>230</v>
      </c>
      <c r="AG26" s="42">
        <v>76023.85</v>
      </c>
      <c r="AH26" s="42">
        <v>0</v>
      </c>
      <c r="AI26" s="42">
        <v>511594.05</v>
      </c>
      <c r="AJ26" s="42">
        <v>46766.3</v>
      </c>
      <c r="AK26" s="42">
        <v>80510.55</v>
      </c>
      <c r="AL26" s="42">
        <v>99110.5</v>
      </c>
      <c r="AM26" s="42">
        <v>720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4">
        <f t="shared" si="51"/>
        <v>0</v>
      </c>
      <c r="AT26" s="38">
        <v>5462.05</v>
      </c>
      <c r="AU26" s="4">
        <f t="shared" si="52"/>
        <v>1213139.6</v>
      </c>
      <c r="AV26" s="38">
        <v>6404</v>
      </c>
      <c r="AW26" s="38">
        <v>0</v>
      </c>
      <c r="AX26" s="4">
        <f t="shared" si="53"/>
        <v>-2.3283064365386963E-10</v>
      </c>
      <c r="AY26" s="42">
        <v>0</v>
      </c>
      <c r="AZ26" s="42">
        <v>361258.3</v>
      </c>
      <c r="BA26" s="42">
        <v>0</v>
      </c>
      <c r="BB26" s="42">
        <v>0</v>
      </c>
      <c r="BC26" s="42">
        <v>0</v>
      </c>
      <c r="BD26" s="42">
        <v>0</v>
      </c>
      <c r="BE26" s="42">
        <v>0</v>
      </c>
      <c r="BF26" s="43">
        <f t="shared" si="54"/>
        <v>361258.3</v>
      </c>
      <c r="BG26" s="42">
        <v>0</v>
      </c>
      <c r="BH26" s="42">
        <v>0</v>
      </c>
      <c r="BI26" s="42">
        <v>0</v>
      </c>
      <c r="BJ26" s="42">
        <v>100000</v>
      </c>
      <c r="BK26" s="42">
        <v>0</v>
      </c>
      <c r="BL26" s="42">
        <v>0</v>
      </c>
      <c r="BM26" s="42">
        <v>192082.5</v>
      </c>
      <c r="BN26" s="42">
        <v>0</v>
      </c>
      <c r="BO26" s="43">
        <f t="shared" si="55"/>
        <v>292082.5</v>
      </c>
      <c r="BP26" s="42">
        <v>292082.5</v>
      </c>
      <c r="BQ26" s="42">
        <v>0</v>
      </c>
      <c r="BR26" s="42">
        <v>361258.3</v>
      </c>
      <c r="BS26" s="43">
        <f t="shared" si="56"/>
        <v>0</v>
      </c>
      <c r="BT26" s="38">
        <v>2295548.06</v>
      </c>
      <c r="BU26" s="38">
        <v>812123.75</v>
      </c>
      <c r="BV26" s="38">
        <v>66064.8</v>
      </c>
      <c r="BW26" s="38">
        <v>0</v>
      </c>
      <c r="BX26" s="4">
        <f t="shared" si="57"/>
        <v>3173736.61</v>
      </c>
      <c r="BY26" s="38">
        <v>1851217.75</v>
      </c>
      <c r="BZ26" s="38">
        <v>1257367.3</v>
      </c>
      <c r="CA26" s="38">
        <v>65151.56</v>
      </c>
      <c r="CB26" s="4">
        <f t="shared" si="58"/>
        <v>3173736.61</v>
      </c>
      <c r="CC26" s="4">
        <f t="shared" si="59"/>
        <v>0</v>
      </c>
      <c r="CD26" s="74">
        <f t="shared" si="60"/>
        <v>205631.6</v>
      </c>
      <c r="CE26" s="76">
        <f t="shared" si="61"/>
        <v>261451.05</v>
      </c>
      <c r="CF26" s="76">
        <f t="shared" si="62"/>
        <v>69175.79999999999</v>
      </c>
      <c r="CG26" s="76">
        <f t="shared" si="47"/>
        <v>1206957.55</v>
      </c>
      <c r="CH26" s="76">
        <f t="shared" si="63"/>
        <v>-63253.350000000006</v>
      </c>
      <c r="CI26" s="37">
        <f t="shared" si="64"/>
        <v>-6330.750000000007</v>
      </c>
      <c r="CJ26" s="59">
        <f t="shared" si="35"/>
        <v>2.9725944622252296</v>
      </c>
      <c r="CK26" s="59">
        <f t="shared" si="36"/>
        <v>3.779516102452014</v>
      </c>
      <c r="CL26" s="141">
        <f t="shared" si="37"/>
        <v>0.17037185773435032</v>
      </c>
      <c r="CM26" s="141">
        <f t="shared" si="38"/>
        <v>0.21661992171969924</v>
      </c>
      <c r="CN26" s="141">
        <f t="shared" si="39"/>
        <v>-0.05240726983314368</v>
      </c>
      <c r="CO26" s="141">
        <f t="shared" si="40"/>
        <v>-0.005245213470846599</v>
      </c>
      <c r="CP26" s="141">
        <f t="shared" si="41"/>
        <v>0.1969914807549325</v>
      </c>
      <c r="CQ26" s="141">
        <f t="shared" si="42"/>
        <v>0.05628370397686224</v>
      </c>
      <c r="CR26" s="142">
        <f t="shared" si="43"/>
        <v>1.699478009363512</v>
      </c>
      <c r="CS26" s="76">
        <f t="shared" si="44"/>
        <v>444330.31000000006</v>
      </c>
      <c r="CT26" s="80">
        <f t="shared" si="65"/>
        <v>1007507.9999999998</v>
      </c>
      <c r="CU26" s="80">
        <f t="shared" si="66"/>
        <v>1213139.6</v>
      </c>
      <c r="CV26" s="80">
        <f t="shared" si="67"/>
        <v>205631.60000000033</v>
      </c>
      <c r="CW26" s="80">
        <f t="shared" si="68"/>
        <v>0</v>
      </c>
      <c r="CX26" s="80">
        <f t="shared" si="69"/>
        <v>205631.60000000033</v>
      </c>
      <c r="CY26" s="80">
        <f t="shared" si="70"/>
        <v>6404.00000000032</v>
      </c>
      <c r="CZ26" s="80">
        <f t="shared" si="71"/>
        <v>69175.79999999999</v>
      </c>
      <c r="DA26" s="80">
        <f t="shared" si="72"/>
        <v>199227.6</v>
      </c>
      <c r="DB26" s="80">
        <f t="shared" si="73"/>
        <v>136455.80000000034</v>
      </c>
      <c r="DC26" s="80">
        <f t="shared" si="74"/>
        <v>-491310.1</v>
      </c>
      <c r="DD26" s="80">
        <f t="shared" si="75"/>
        <v>6404.000000000349</v>
      </c>
      <c r="DE26" s="80">
        <f t="shared" si="76"/>
        <v>390672.29999999993</v>
      </c>
      <c r="DF26" s="80">
        <f t="shared" si="77"/>
        <v>1026.1669976905314</v>
      </c>
      <c r="DG26" s="80">
        <f t="shared" si="78"/>
        <v>-146.08163972286374</v>
      </c>
      <c r="DH26" s="80">
        <f t="shared" si="79"/>
        <v>902.2454965357966</v>
      </c>
      <c r="DI26" s="81">
        <f t="shared" si="80"/>
        <v>159.75935334872977</v>
      </c>
      <c r="DJ26" s="76">
        <f t="shared" si="81"/>
        <v>315.1404157043888</v>
      </c>
      <c r="DK26" s="147">
        <f t="shared" si="46"/>
        <v>-746972.19</v>
      </c>
      <c r="DL26" s="67"/>
      <c r="DM26" s="67"/>
      <c r="DN26" s="68"/>
    </row>
    <row r="27" spans="1:118" ht="12.75">
      <c r="A27" s="52" t="s">
        <v>18</v>
      </c>
      <c r="B27" s="41">
        <v>608</v>
      </c>
      <c r="C27" s="4">
        <v>1560210</v>
      </c>
      <c r="D27" s="69">
        <v>2566.13</v>
      </c>
      <c r="E27" s="69">
        <v>74.42</v>
      </c>
      <c r="F27" s="8">
        <v>2</v>
      </c>
      <c r="G27" s="13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f t="shared" si="0"/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f t="shared" si="48"/>
        <v>0</v>
      </c>
      <c r="X27" s="43">
        <v>0</v>
      </c>
      <c r="Y27" s="43">
        <f t="shared" si="49"/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f t="shared" si="50"/>
        <v>0</v>
      </c>
      <c r="AF27" s="43">
        <v>0</v>
      </c>
      <c r="AG27" s="43">
        <v>0</v>
      </c>
      <c r="AH27" s="43">
        <v>0</v>
      </c>
      <c r="AI27" s="43">
        <v>0</v>
      </c>
      <c r="AJ27" s="43">
        <v>0</v>
      </c>
      <c r="AK27" s="43">
        <v>0</v>
      </c>
      <c r="AL27" s="43">
        <v>0</v>
      </c>
      <c r="AM27" s="43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f t="shared" si="51"/>
        <v>0</v>
      </c>
      <c r="AT27" s="4">
        <v>0</v>
      </c>
      <c r="AU27" s="4">
        <f t="shared" si="52"/>
        <v>0</v>
      </c>
      <c r="AV27" s="4">
        <v>0</v>
      </c>
      <c r="AW27" s="4">
        <v>0</v>
      </c>
      <c r="AX27" s="4">
        <f t="shared" si="53"/>
        <v>0</v>
      </c>
      <c r="AY27" s="43">
        <v>0</v>
      </c>
      <c r="AZ27" s="43">
        <v>0</v>
      </c>
      <c r="BA27" s="43">
        <v>0</v>
      </c>
      <c r="BB27" s="43">
        <v>0</v>
      </c>
      <c r="BC27" s="43">
        <v>0</v>
      </c>
      <c r="BD27" s="43">
        <v>0</v>
      </c>
      <c r="BE27" s="43">
        <v>0</v>
      </c>
      <c r="BF27" s="43">
        <f t="shared" si="54"/>
        <v>0</v>
      </c>
      <c r="BG27" s="43">
        <v>0</v>
      </c>
      <c r="BH27" s="43">
        <v>0</v>
      </c>
      <c r="BI27" s="43">
        <v>0</v>
      </c>
      <c r="BJ27" s="43">
        <v>0</v>
      </c>
      <c r="BK27" s="43">
        <v>0</v>
      </c>
      <c r="BL27" s="43">
        <v>0</v>
      </c>
      <c r="BM27" s="43">
        <v>0</v>
      </c>
      <c r="BN27" s="43">
        <v>0</v>
      </c>
      <c r="BO27" s="43">
        <f t="shared" si="55"/>
        <v>0</v>
      </c>
      <c r="BP27" s="43">
        <v>0</v>
      </c>
      <c r="BQ27" s="43">
        <v>0</v>
      </c>
      <c r="BR27" s="43">
        <v>0</v>
      </c>
      <c r="BS27" s="43">
        <f t="shared" si="56"/>
        <v>0</v>
      </c>
      <c r="BT27" s="4">
        <v>0</v>
      </c>
      <c r="BU27" s="4">
        <v>0</v>
      </c>
      <c r="BV27" s="4">
        <v>0</v>
      </c>
      <c r="BW27" s="4">
        <v>0</v>
      </c>
      <c r="BX27" s="4">
        <f t="shared" si="57"/>
        <v>0</v>
      </c>
      <c r="BY27" s="4">
        <v>0</v>
      </c>
      <c r="BZ27" s="4">
        <v>0</v>
      </c>
      <c r="CA27" s="4">
        <v>0</v>
      </c>
      <c r="CB27" s="4">
        <f t="shared" si="58"/>
        <v>0</v>
      </c>
      <c r="CC27" s="4">
        <f t="shared" si="59"/>
        <v>0</v>
      </c>
      <c r="CD27" s="74">
        <f t="shared" si="60"/>
        <v>0</v>
      </c>
      <c r="CE27" s="76">
        <f t="shared" si="61"/>
        <v>0</v>
      </c>
      <c r="CF27" s="76">
        <f t="shared" si="62"/>
        <v>0</v>
      </c>
      <c r="CG27" s="76">
        <f t="shared" si="47"/>
        <v>0</v>
      </c>
      <c r="CH27" s="76">
        <f t="shared" si="63"/>
        <v>0</v>
      </c>
      <c r="CI27" s="37">
        <f t="shared" si="64"/>
        <v>0</v>
      </c>
      <c r="CJ27" s="59" t="str">
        <f t="shared" si="35"/>
        <v>-</v>
      </c>
      <c r="CK27" s="59" t="str">
        <f t="shared" si="36"/>
        <v>-</v>
      </c>
      <c r="CL27" s="141" t="str">
        <f t="shared" si="37"/>
        <v>-</v>
      </c>
      <c r="CM27" s="141" t="str">
        <f t="shared" si="38"/>
        <v>-</v>
      </c>
      <c r="CN27" s="141" t="str">
        <f t="shared" si="39"/>
        <v>-</v>
      </c>
      <c r="CO27" s="141" t="str">
        <f t="shared" si="40"/>
        <v>-</v>
      </c>
      <c r="CP27" s="141" t="str">
        <f t="shared" si="41"/>
        <v>-</v>
      </c>
      <c r="CQ27" s="141" t="str">
        <f t="shared" si="42"/>
        <v>-</v>
      </c>
      <c r="CR27" s="142" t="str">
        <f t="shared" si="43"/>
        <v>-</v>
      </c>
      <c r="CS27" s="76">
        <f t="shared" si="44"/>
        <v>0</v>
      </c>
      <c r="CT27" s="80">
        <f t="shared" si="65"/>
        <v>0</v>
      </c>
      <c r="CU27" s="80">
        <f t="shared" si="66"/>
        <v>0</v>
      </c>
      <c r="CV27" s="80">
        <f t="shared" si="67"/>
        <v>0</v>
      </c>
      <c r="CW27" s="80">
        <f t="shared" si="68"/>
        <v>0</v>
      </c>
      <c r="CX27" s="80">
        <f t="shared" si="69"/>
        <v>0</v>
      </c>
      <c r="CY27" s="80">
        <f t="shared" si="70"/>
        <v>0</v>
      </c>
      <c r="CZ27" s="80">
        <f t="shared" si="71"/>
        <v>0</v>
      </c>
      <c r="DA27" s="80">
        <f t="shared" si="72"/>
        <v>0</v>
      </c>
      <c r="DB27" s="80">
        <f t="shared" si="73"/>
        <v>0</v>
      </c>
      <c r="DC27" s="80">
        <f t="shared" si="74"/>
        <v>0</v>
      </c>
      <c r="DD27" s="80">
        <f t="shared" si="75"/>
        <v>0</v>
      </c>
      <c r="DE27" s="80">
        <f t="shared" si="76"/>
        <v>0</v>
      </c>
      <c r="DF27" s="80">
        <f t="shared" si="77"/>
        <v>0</v>
      </c>
      <c r="DG27" s="80">
        <f t="shared" si="78"/>
        <v>0</v>
      </c>
      <c r="DH27" s="80">
        <f t="shared" si="79"/>
        <v>0</v>
      </c>
      <c r="DI27" s="81">
        <f t="shared" si="80"/>
        <v>0</v>
      </c>
      <c r="DJ27" s="76">
        <f t="shared" si="81"/>
        <v>0</v>
      </c>
      <c r="DK27" s="147">
        <f t="shared" si="46"/>
        <v>0</v>
      </c>
      <c r="DL27" s="64"/>
      <c r="DM27" s="64"/>
      <c r="DN27" s="65"/>
    </row>
    <row r="28" spans="1:118" ht="12.75">
      <c r="A28" s="51" t="s">
        <v>19</v>
      </c>
      <c r="B28" s="46">
        <v>475</v>
      </c>
      <c r="C28" s="38">
        <v>779154</v>
      </c>
      <c r="D28" s="66">
        <v>1640.32</v>
      </c>
      <c r="E28" s="66">
        <v>47.57</v>
      </c>
      <c r="F28" s="128">
        <v>8</v>
      </c>
      <c r="G28" s="134">
        <v>562380</v>
      </c>
      <c r="H28" s="42">
        <v>200026</v>
      </c>
      <c r="I28" s="42">
        <v>147764</v>
      </c>
      <c r="J28" s="42">
        <v>0</v>
      </c>
      <c r="K28" s="42">
        <v>227950</v>
      </c>
      <c r="L28" s="42">
        <v>0</v>
      </c>
      <c r="M28" s="43">
        <f t="shared" si="0"/>
        <v>227950</v>
      </c>
      <c r="N28" s="42">
        <v>0</v>
      </c>
      <c r="O28" s="42">
        <v>45446</v>
      </c>
      <c r="P28" s="42">
        <v>166636</v>
      </c>
      <c r="Q28" s="42">
        <v>400000</v>
      </c>
      <c r="R28" s="42">
        <v>8574</v>
      </c>
      <c r="S28" s="42">
        <v>0</v>
      </c>
      <c r="T28" s="42">
        <v>10000</v>
      </c>
      <c r="U28" s="42">
        <v>0</v>
      </c>
      <c r="V28" s="42">
        <v>0</v>
      </c>
      <c r="W28" s="43">
        <f t="shared" si="48"/>
        <v>18574</v>
      </c>
      <c r="X28" s="42">
        <v>376325</v>
      </c>
      <c r="Y28" s="43">
        <f t="shared" si="49"/>
        <v>2145101</v>
      </c>
      <c r="Z28" s="42">
        <v>100309</v>
      </c>
      <c r="AA28" s="42">
        <v>277418</v>
      </c>
      <c r="AB28" s="42">
        <v>2115</v>
      </c>
      <c r="AC28" s="42">
        <v>0</v>
      </c>
      <c r="AD28" s="42">
        <v>2343</v>
      </c>
      <c r="AE28" s="43">
        <f t="shared" si="50"/>
        <v>382185</v>
      </c>
      <c r="AF28" s="42">
        <v>150</v>
      </c>
      <c r="AG28" s="42">
        <v>117382</v>
      </c>
      <c r="AH28" s="42">
        <v>0</v>
      </c>
      <c r="AI28" s="42">
        <v>585302</v>
      </c>
      <c r="AJ28" s="42">
        <v>44656</v>
      </c>
      <c r="AK28" s="42">
        <v>27306</v>
      </c>
      <c r="AL28" s="42">
        <v>122194</v>
      </c>
      <c r="AM28" s="42">
        <v>400000</v>
      </c>
      <c r="AN28" s="38">
        <v>15669</v>
      </c>
      <c r="AO28" s="38">
        <v>0</v>
      </c>
      <c r="AP28" s="38">
        <v>0</v>
      </c>
      <c r="AQ28" s="38">
        <v>0</v>
      </c>
      <c r="AR28" s="38">
        <v>0</v>
      </c>
      <c r="AS28" s="4">
        <f t="shared" si="51"/>
        <v>15669</v>
      </c>
      <c r="AT28" s="38">
        <v>376325</v>
      </c>
      <c r="AU28" s="4">
        <f t="shared" si="52"/>
        <v>2071169</v>
      </c>
      <c r="AV28" s="38">
        <v>0</v>
      </c>
      <c r="AW28" s="38">
        <v>73932</v>
      </c>
      <c r="AX28" s="4">
        <f t="shared" si="53"/>
        <v>0</v>
      </c>
      <c r="AY28" s="42">
        <v>106948</v>
      </c>
      <c r="AZ28" s="42">
        <v>158529</v>
      </c>
      <c r="BA28" s="42">
        <v>0</v>
      </c>
      <c r="BB28" s="42">
        <v>0</v>
      </c>
      <c r="BC28" s="42">
        <v>0</v>
      </c>
      <c r="BD28" s="42">
        <v>0</v>
      </c>
      <c r="BE28" s="42">
        <v>0</v>
      </c>
      <c r="BF28" s="43">
        <f t="shared" si="54"/>
        <v>158529</v>
      </c>
      <c r="BG28" s="42">
        <v>0</v>
      </c>
      <c r="BH28" s="42">
        <v>0</v>
      </c>
      <c r="BI28" s="42">
        <v>0</v>
      </c>
      <c r="BJ28" s="42">
        <v>38088</v>
      </c>
      <c r="BK28" s="42">
        <v>0</v>
      </c>
      <c r="BL28" s="42">
        <v>25427</v>
      </c>
      <c r="BM28" s="42">
        <v>103000</v>
      </c>
      <c r="BN28" s="42">
        <v>0</v>
      </c>
      <c r="BO28" s="43">
        <f t="shared" si="55"/>
        <v>166515</v>
      </c>
      <c r="BP28" s="42">
        <v>166515</v>
      </c>
      <c r="BQ28" s="42">
        <v>0</v>
      </c>
      <c r="BR28" s="42">
        <v>158529</v>
      </c>
      <c r="BS28" s="43">
        <f t="shared" si="56"/>
        <v>0</v>
      </c>
      <c r="BT28" s="38">
        <v>2673026</v>
      </c>
      <c r="BU28" s="38">
        <v>1750769</v>
      </c>
      <c r="BV28" s="38">
        <v>0</v>
      </c>
      <c r="BW28" s="38">
        <v>182950</v>
      </c>
      <c r="BX28" s="4">
        <f t="shared" si="57"/>
        <v>4606745</v>
      </c>
      <c r="BY28" s="38">
        <v>4254218</v>
      </c>
      <c r="BZ28" s="38">
        <v>352527</v>
      </c>
      <c r="CA28" s="38">
        <v>0</v>
      </c>
      <c r="CB28" s="4">
        <f t="shared" si="58"/>
        <v>4606745</v>
      </c>
      <c r="CC28" s="4">
        <f t="shared" si="59"/>
        <v>0</v>
      </c>
      <c r="CD28" s="74">
        <f t="shared" si="60"/>
        <v>154018</v>
      </c>
      <c r="CE28" s="76">
        <f t="shared" si="61"/>
        <v>156923</v>
      </c>
      <c r="CF28" s="76">
        <f t="shared" si="62"/>
        <v>-7986</v>
      </c>
      <c r="CG28" s="76">
        <f t="shared" si="47"/>
        <v>1279175</v>
      </c>
      <c r="CH28" s="76">
        <f t="shared" si="63"/>
        <v>137330</v>
      </c>
      <c r="CI28" s="37">
        <f t="shared" si="64"/>
        <v>365280</v>
      </c>
      <c r="CJ28" s="59">
        <f t="shared" si="35"/>
        <v>-19.286000500876533</v>
      </c>
      <c r="CK28" s="59">
        <f t="shared" si="36"/>
        <v>-19.64976208364638</v>
      </c>
      <c r="CL28" s="141">
        <f t="shared" si="37"/>
        <v>0.12040416674809937</v>
      </c>
      <c r="CM28" s="141">
        <f t="shared" si="38"/>
        <v>0.12267516172533079</v>
      </c>
      <c r="CN28" s="141">
        <f t="shared" si="39"/>
        <v>0.10735825825238923</v>
      </c>
      <c r="CO28" s="141">
        <f t="shared" si="40"/>
        <v>0.285559051732562</v>
      </c>
      <c r="CP28" s="141">
        <f t="shared" si="41"/>
        <v>0.11520079404907922</v>
      </c>
      <c r="CQ28" s="141">
        <f t="shared" si="42"/>
        <v>0.11520079404907922</v>
      </c>
      <c r="CR28" s="142">
        <f t="shared" si="43"/>
        <v>-10.076228468739446</v>
      </c>
      <c r="CS28" s="76">
        <f t="shared" si="44"/>
        <v>-1581192</v>
      </c>
      <c r="CT28" s="80">
        <f t="shared" si="65"/>
        <v>1917151</v>
      </c>
      <c r="CU28" s="80">
        <f t="shared" si="66"/>
        <v>2071169</v>
      </c>
      <c r="CV28" s="80">
        <f t="shared" si="67"/>
        <v>154018</v>
      </c>
      <c r="CW28" s="80">
        <f t="shared" si="68"/>
        <v>0</v>
      </c>
      <c r="CX28" s="80">
        <f t="shared" si="69"/>
        <v>154018</v>
      </c>
      <c r="CY28" s="80">
        <f t="shared" si="70"/>
        <v>-73932</v>
      </c>
      <c r="CZ28" s="80">
        <f t="shared" si="71"/>
        <v>-7986</v>
      </c>
      <c r="DA28" s="80">
        <f t="shared" si="72"/>
        <v>227950</v>
      </c>
      <c r="DB28" s="80">
        <f t="shared" si="73"/>
        <v>162004</v>
      </c>
      <c r="DC28" s="80">
        <f t="shared" si="74"/>
        <v>-394465</v>
      </c>
      <c r="DD28" s="80">
        <f t="shared" si="75"/>
        <v>-73932</v>
      </c>
      <c r="DE28" s="80">
        <f t="shared" si="76"/>
        <v>379842</v>
      </c>
      <c r="DF28" s="80">
        <f t="shared" si="77"/>
        <v>-3328.825263157895</v>
      </c>
      <c r="DG28" s="80">
        <f t="shared" si="78"/>
        <v>289.11578947368423</v>
      </c>
      <c r="DH28" s="80">
        <f t="shared" si="79"/>
        <v>799.6673684210526</v>
      </c>
      <c r="DI28" s="81">
        <f t="shared" si="80"/>
        <v>-16.812631578947368</v>
      </c>
      <c r="DJ28" s="76">
        <f t="shared" si="81"/>
        <v>341.06105263157895</v>
      </c>
      <c r="DK28" s="147">
        <f t="shared" si="46"/>
        <v>-1933719</v>
      </c>
      <c r="DL28" s="67"/>
      <c r="DM28" s="67"/>
      <c r="DN28" s="68"/>
    </row>
    <row r="29" spans="1:118" ht="12.75">
      <c r="A29" s="52" t="s">
        <v>21</v>
      </c>
      <c r="B29" s="41">
        <v>2650</v>
      </c>
      <c r="C29" s="4">
        <v>11000311</v>
      </c>
      <c r="D29" s="69">
        <v>4151.06</v>
      </c>
      <c r="E29" s="69">
        <v>120.39</v>
      </c>
      <c r="F29" s="8">
        <v>4</v>
      </c>
      <c r="G29" s="133">
        <v>1818003.15</v>
      </c>
      <c r="H29" s="43">
        <v>1724240.77</v>
      </c>
      <c r="I29" s="43">
        <v>272469.8</v>
      </c>
      <c r="J29" s="43">
        <v>290285.2</v>
      </c>
      <c r="K29" s="43">
        <v>618510.8</v>
      </c>
      <c r="L29" s="43">
        <v>1985198.23</v>
      </c>
      <c r="M29" s="43">
        <f t="shared" si="0"/>
        <v>2603709.0300000003</v>
      </c>
      <c r="N29" s="43">
        <v>0</v>
      </c>
      <c r="O29" s="43">
        <v>270893.75</v>
      </c>
      <c r="P29" s="43">
        <v>695036.6</v>
      </c>
      <c r="Q29" s="43">
        <v>5963.2</v>
      </c>
      <c r="R29" s="43">
        <v>26671.05</v>
      </c>
      <c r="S29" s="43">
        <v>0</v>
      </c>
      <c r="T29" s="43">
        <v>0</v>
      </c>
      <c r="U29" s="43">
        <v>0</v>
      </c>
      <c r="V29" s="43">
        <v>0</v>
      </c>
      <c r="W29" s="43">
        <f t="shared" si="48"/>
        <v>26671.05</v>
      </c>
      <c r="X29" s="43">
        <v>2234531.28</v>
      </c>
      <c r="Y29" s="43">
        <f t="shared" si="49"/>
        <v>9941803.829999998</v>
      </c>
      <c r="Z29" s="43">
        <v>2104771.6</v>
      </c>
      <c r="AA29" s="43">
        <v>988683.15</v>
      </c>
      <c r="AB29" s="43">
        <v>98604.1</v>
      </c>
      <c r="AC29" s="43">
        <v>0</v>
      </c>
      <c r="AD29" s="43">
        <v>16279.85</v>
      </c>
      <c r="AE29" s="43">
        <f t="shared" si="50"/>
        <v>3208338.7</v>
      </c>
      <c r="AF29" s="43">
        <v>45984.4</v>
      </c>
      <c r="AG29" s="43">
        <v>1020382</v>
      </c>
      <c r="AH29" s="43">
        <v>116220</v>
      </c>
      <c r="AI29" s="43">
        <v>1985195.3</v>
      </c>
      <c r="AJ29" s="43">
        <v>621562.75</v>
      </c>
      <c r="AK29" s="43">
        <v>153291.6</v>
      </c>
      <c r="AL29" s="43">
        <v>505961.2</v>
      </c>
      <c r="AM29" s="43">
        <v>5963.2</v>
      </c>
      <c r="AN29" s="4">
        <v>94711.45</v>
      </c>
      <c r="AO29" s="4">
        <v>0</v>
      </c>
      <c r="AP29" s="4">
        <v>0</v>
      </c>
      <c r="AQ29" s="4">
        <v>0</v>
      </c>
      <c r="AR29" s="4">
        <v>0</v>
      </c>
      <c r="AS29" s="4">
        <f t="shared" si="51"/>
        <v>94711.45</v>
      </c>
      <c r="AT29" s="4">
        <v>2235795.08</v>
      </c>
      <c r="AU29" s="4">
        <f t="shared" si="52"/>
        <v>9877185.68</v>
      </c>
      <c r="AV29" s="4">
        <v>0</v>
      </c>
      <c r="AW29" s="4">
        <v>64618.15</v>
      </c>
      <c r="AX29" s="4">
        <f t="shared" si="53"/>
        <v>-1.4915713109076023E-09</v>
      </c>
      <c r="AY29" s="43">
        <v>2427</v>
      </c>
      <c r="AZ29" s="43">
        <v>2923754.88</v>
      </c>
      <c r="BA29" s="43">
        <v>0</v>
      </c>
      <c r="BB29" s="43">
        <v>0</v>
      </c>
      <c r="BC29" s="43">
        <v>0</v>
      </c>
      <c r="BD29" s="43">
        <v>0</v>
      </c>
      <c r="BE29" s="43">
        <v>0</v>
      </c>
      <c r="BF29" s="43">
        <f t="shared" si="54"/>
        <v>2923754.88</v>
      </c>
      <c r="BG29" s="43">
        <v>975849.75</v>
      </c>
      <c r="BH29" s="43">
        <v>0</v>
      </c>
      <c r="BI29" s="43">
        <v>0</v>
      </c>
      <c r="BJ29" s="43">
        <v>0</v>
      </c>
      <c r="BK29" s="43">
        <v>0</v>
      </c>
      <c r="BL29" s="43">
        <v>500000</v>
      </c>
      <c r="BM29" s="43">
        <v>344637.65</v>
      </c>
      <c r="BN29" s="43">
        <v>0</v>
      </c>
      <c r="BO29" s="43">
        <f t="shared" si="55"/>
        <v>1820487.4</v>
      </c>
      <c r="BP29" s="43">
        <v>1536344.4</v>
      </c>
      <c r="BQ29" s="43">
        <v>284143</v>
      </c>
      <c r="BR29" s="43">
        <v>2923754.88</v>
      </c>
      <c r="BS29" s="43">
        <f t="shared" si="56"/>
        <v>0</v>
      </c>
      <c r="BT29" s="4">
        <v>15036234.51</v>
      </c>
      <c r="BU29" s="4">
        <f>9102110.75</f>
        <v>9102110.75</v>
      </c>
      <c r="BV29" s="4">
        <v>13804.8</v>
      </c>
      <c r="BW29" s="4">
        <v>0</v>
      </c>
      <c r="BX29" s="4">
        <f t="shared" si="57"/>
        <v>24152150.06</v>
      </c>
      <c r="BY29" s="4">
        <v>10547727.08</v>
      </c>
      <c r="BZ29" s="4">
        <v>4543308.35</v>
      </c>
      <c r="CA29" s="4">
        <v>9061114.63</v>
      </c>
      <c r="CB29" s="4">
        <f t="shared" si="58"/>
        <v>24152150.060000002</v>
      </c>
      <c r="CC29" s="4">
        <f t="shared" si="59"/>
        <v>0</v>
      </c>
      <c r="CD29" s="74">
        <f t="shared" si="60"/>
        <v>2539090.8800000004</v>
      </c>
      <c r="CE29" s="76">
        <f t="shared" si="61"/>
        <v>2471050.48</v>
      </c>
      <c r="CF29" s="76">
        <f t="shared" si="62"/>
        <v>1387410.48</v>
      </c>
      <c r="CG29" s="76">
        <f t="shared" si="47"/>
        <v>7540715.95</v>
      </c>
      <c r="CH29" s="76">
        <f t="shared" si="63"/>
        <v>-345122.19999999995</v>
      </c>
      <c r="CI29" s="37">
        <f t="shared" si="64"/>
        <v>273388.6000000001</v>
      </c>
      <c r="CJ29" s="59">
        <f t="shared" si="35"/>
        <v>1.8300934846621602</v>
      </c>
      <c r="CK29" s="59">
        <f t="shared" si="36"/>
        <v>1.7810521944450066</v>
      </c>
      <c r="CL29" s="141">
        <f t="shared" si="37"/>
        <v>0.3367174810503239</v>
      </c>
      <c r="CM29" s="141">
        <f t="shared" si="38"/>
        <v>0.32769441209358907</v>
      </c>
      <c r="CN29" s="141">
        <f t="shared" si="39"/>
        <v>-0.04576782924703588</v>
      </c>
      <c r="CO29" s="141">
        <f t="shared" si="40"/>
        <v>0.03625499247190184</v>
      </c>
      <c r="CP29" s="141">
        <f t="shared" si="41"/>
        <v>0.22242859354870403</v>
      </c>
      <c r="CQ29" s="141">
        <f t="shared" si="42"/>
        <v>0.05283788847123358</v>
      </c>
      <c r="CR29" s="142">
        <f t="shared" si="43"/>
        <v>1.8164369632788724</v>
      </c>
      <c r="CS29" s="76">
        <f t="shared" si="44"/>
        <v>4488507.43</v>
      </c>
      <c r="CT29" s="80">
        <f t="shared" si="65"/>
        <v>7338094.799999997</v>
      </c>
      <c r="CU29" s="80">
        <f t="shared" si="66"/>
        <v>9877185.68</v>
      </c>
      <c r="CV29" s="80">
        <f t="shared" si="67"/>
        <v>2539090.8800000027</v>
      </c>
      <c r="CW29" s="80">
        <f t="shared" si="68"/>
        <v>0</v>
      </c>
      <c r="CX29" s="80">
        <f t="shared" si="69"/>
        <v>2539090.8800000027</v>
      </c>
      <c r="CY29" s="80">
        <f t="shared" si="70"/>
        <v>-64618.149999997346</v>
      </c>
      <c r="CZ29" s="80">
        <f t="shared" si="71"/>
        <v>1387410.48</v>
      </c>
      <c r="DA29" s="80">
        <f t="shared" si="72"/>
        <v>2603709.0300000003</v>
      </c>
      <c r="DB29" s="80">
        <f t="shared" si="73"/>
        <v>1151680.400000003</v>
      </c>
      <c r="DC29" s="80">
        <f t="shared" si="74"/>
        <v>-4140053.43</v>
      </c>
      <c r="DD29" s="80">
        <f t="shared" si="75"/>
        <v>-64618.14999999758</v>
      </c>
      <c r="DE29" s="80">
        <f t="shared" si="76"/>
        <v>3192058.85</v>
      </c>
      <c r="DF29" s="80">
        <f t="shared" si="77"/>
        <v>1693.7763886792452</v>
      </c>
      <c r="DG29" s="80">
        <f t="shared" si="78"/>
        <v>-130.23479245283016</v>
      </c>
      <c r="DH29" s="80">
        <f t="shared" si="79"/>
        <v>1204.5505094339624</v>
      </c>
      <c r="DI29" s="81">
        <f t="shared" si="80"/>
        <v>523.5511245283019</v>
      </c>
      <c r="DJ29" s="76">
        <f t="shared" si="81"/>
        <v>434.5963773584917</v>
      </c>
      <c r="DK29" s="147">
        <f t="shared" si="46"/>
        <v>-40996.11999999918</v>
      </c>
      <c r="DL29" s="64"/>
      <c r="DM29" s="64"/>
      <c r="DN29" s="65"/>
    </row>
    <row r="30" spans="1:118" ht="12.75">
      <c r="A30" s="51" t="s">
        <v>31</v>
      </c>
      <c r="B30" s="46">
        <v>400</v>
      </c>
      <c r="C30" s="38">
        <v>1133304</v>
      </c>
      <c r="D30" s="66">
        <v>2833.26</v>
      </c>
      <c r="E30" s="66">
        <v>82.17</v>
      </c>
      <c r="F30" s="128">
        <v>6</v>
      </c>
      <c r="G30" s="134">
        <v>296953.55</v>
      </c>
      <c r="H30" s="42">
        <v>130238.5</v>
      </c>
      <c r="I30" s="42">
        <v>24294.4</v>
      </c>
      <c r="J30" s="42">
        <v>0</v>
      </c>
      <c r="K30" s="42">
        <v>53609.15</v>
      </c>
      <c r="L30" s="42">
        <v>37873.05</v>
      </c>
      <c r="M30" s="43">
        <f t="shared" si="0"/>
        <v>91482.20000000001</v>
      </c>
      <c r="N30" s="42">
        <v>0</v>
      </c>
      <c r="O30" s="42">
        <v>42871.6</v>
      </c>
      <c r="P30" s="42">
        <v>116399.95</v>
      </c>
      <c r="Q30" s="42">
        <v>1936.7</v>
      </c>
      <c r="R30" s="42">
        <v>14478.55</v>
      </c>
      <c r="S30" s="42">
        <v>5541.5</v>
      </c>
      <c r="T30" s="42">
        <v>17000</v>
      </c>
      <c r="U30" s="42">
        <v>0</v>
      </c>
      <c r="V30" s="42">
        <v>0</v>
      </c>
      <c r="W30" s="43">
        <f t="shared" si="48"/>
        <v>37020.05</v>
      </c>
      <c r="X30" s="42">
        <v>171865.3</v>
      </c>
      <c r="Y30" s="43">
        <f t="shared" si="49"/>
        <v>913062.25</v>
      </c>
      <c r="Z30" s="42">
        <v>389175.35</v>
      </c>
      <c r="AA30" s="42">
        <v>1413.45</v>
      </c>
      <c r="AB30" s="42">
        <v>7487.2</v>
      </c>
      <c r="AC30" s="42">
        <v>0</v>
      </c>
      <c r="AD30" s="42">
        <v>9978.7</v>
      </c>
      <c r="AE30" s="43">
        <f t="shared" si="50"/>
        <v>408054.7</v>
      </c>
      <c r="AF30" s="42">
        <v>0</v>
      </c>
      <c r="AG30" s="42">
        <v>22587.2</v>
      </c>
      <c r="AH30" s="42">
        <v>0</v>
      </c>
      <c r="AI30" s="42">
        <v>199078.05</v>
      </c>
      <c r="AJ30" s="42">
        <v>5541.5</v>
      </c>
      <c r="AK30" s="42">
        <v>13399.8</v>
      </c>
      <c r="AL30" s="42">
        <v>57954.65</v>
      </c>
      <c r="AM30" s="42">
        <v>2148.75</v>
      </c>
      <c r="AN30" s="38">
        <v>21612.3</v>
      </c>
      <c r="AO30" s="38">
        <v>8537.7</v>
      </c>
      <c r="AP30" s="38">
        <v>0</v>
      </c>
      <c r="AQ30" s="38">
        <v>0</v>
      </c>
      <c r="AR30" s="38">
        <v>0</v>
      </c>
      <c r="AS30" s="4">
        <f t="shared" si="51"/>
        <v>30150</v>
      </c>
      <c r="AT30" s="38">
        <v>179250.15</v>
      </c>
      <c r="AU30" s="4">
        <f t="shared" si="52"/>
        <v>918164.7999999998</v>
      </c>
      <c r="AV30" s="38">
        <v>5102.55</v>
      </c>
      <c r="AW30" s="38">
        <v>0</v>
      </c>
      <c r="AX30" s="4">
        <f t="shared" si="53"/>
        <v>1.864464138634503E-10</v>
      </c>
      <c r="AY30" s="42">
        <v>16467.85</v>
      </c>
      <c r="AZ30" s="42">
        <v>111316.35</v>
      </c>
      <c r="BA30" s="42">
        <v>0</v>
      </c>
      <c r="BB30" s="42">
        <v>0</v>
      </c>
      <c r="BC30" s="42">
        <v>0</v>
      </c>
      <c r="BD30" s="42">
        <v>0</v>
      </c>
      <c r="BE30" s="42">
        <v>0</v>
      </c>
      <c r="BF30" s="43">
        <f t="shared" si="54"/>
        <v>111316.35</v>
      </c>
      <c r="BG30" s="42">
        <v>0</v>
      </c>
      <c r="BH30" s="42">
        <v>18606</v>
      </c>
      <c r="BI30" s="42">
        <v>0</v>
      </c>
      <c r="BJ30" s="42">
        <v>0</v>
      </c>
      <c r="BK30" s="42">
        <v>0</v>
      </c>
      <c r="BL30" s="42">
        <v>0</v>
      </c>
      <c r="BM30" s="42">
        <v>12329.6</v>
      </c>
      <c r="BN30" s="42">
        <v>0</v>
      </c>
      <c r="BO30" s="43">
        <f t="shared" si="55"/>
        <v>30935.6</v>
      </c>
      <c r="BP30" s="42">
        <v>30935.6</v>
      </c>
      <c r="BQ30" s="42">
        <v>0</v>
      </c>
      <c r="BR30" s="42">
        <v>111316.35</v>
      </c>
      <c r="BS30" s="43">
        <f t="shared" si="56"/>
        <v>0</v>
      </c>
      <c r="BT30" s="38">
        <v>1343506.98</v>
      </c>
      <c r="BU30" s="38">
        <v>570077.8</v>
      </c>
      <c r="BV30" s="38">
        <v>14195.85</v>
      </c>
      <c r="BW30" s="38">
        <v>0</v>
      </c>
      <c r="BX30" s="4">
        <f t="shared" si="57"/>
        <v>1927780.6300000001</v>
      </c>
      <c r="BY30" s="38">
        <v>1025552.55</v>
      </c>
      <c r="BZ30" s="38">
        <v>708916.1</v>
      </c>
      <c r="CA30" s="38">
        <v>193311.98</v>
      </c>
      <c r="CB30" s="4">
        <f t="shared" si="58"/>
        <v>1927780.63</v>
      </c>
      <c r="CC30" s="4">
        <f t="shared" si="59"/>
        <v>0</v>
      </c>
      <c r="CD30" s="74">
        <f t="shared" si="60"/>
        <v>96584.75000000001</v>
      </c>
      <c r="CE30" s="76">
        <f t="shared" si="61"/>
        <v>103454.80000000002</v>
      </c>
      <c r="CF30" s="76">
        <f t="shared" si="62"/>
        <v>80380.75</v>
      </c>
      <c r="CG30" s="76">
        <f t="shared" si="47"/>
        <v>706615.8999999998</v>
      </c>
      <c r="CH30" s="76">
        <f t="shared" si="63"/>
        <v>18175.05</v>
      </c>
      <c r="CI30" s="37">
        <f t="shared" si="64"/>
        <v>71784.2</v>
      </c>
      <c r="CJ30" s="59">
        <f t="shared" si="35"/>
        <v>1.201590554952523</v>
      </c>
      <c r="CK30" s="59">
        <f t="shared" si="36"/>
        <v>1.2870594016602237</v>
      </c>
      <c r="CL30" s="141">
        <f t="shared" si="37"/>
        <v>0.1366863525148529</v>
      </c>
      <c r="CM30" s="141">
        <f t="shared" si="38"/>
        <v>0.1464088198411613</v>
      </c>
      <c r="CN30" s="141">
        <f t="shared" si="39"/>
        <v>0.02572125818284022</v>
      </c>
      <c r="CO30" s="141">
        <f t="shared" si="40"/>
        <v>0.1015887131891598</v>
      </c>
      <c r="CP30" s="141">
        <f t="shared" si="41"/>
        <v>0.13828254428925568</v>
      </c>
      <c r="CQ30" s="141">
        <f t="shared" si="42"/>
        <v>0.0810344488784086</v>
      </c>
      <c r="CR30" s="142">
        <f t="shared" si="43"/>
        <v>3.073365663072181</v>
      </c>
      <c r="CS30" s="76">
        <f t="shared" si="44"/>
        <v>317954.42999999993</v>
      </c>
      <c r="CT30" s="80">
        <f t="shared" si="65"/>
        <v>821580.0499999999</v>
      </c>
      <c r="CU30" s="80">
        <f t="shared" si="66"/>
        <v>918164.7999999998</v>
      </c>
      <c r="CV30" s="80">
        <f t="shared" si="67"/>
        <v>96584.74999999988</v>
      </c>
      <c r="CW30" s="80">
        <f t="shared" si="68"/>
        <v>0</v>
      </c>
      <c r="CX30" s="80">
        <f t="shared" si="69"/>
        <v>96584.74999999988</v>
      </c>
      <c r="CY30" s="80">
        <f t="shared" si="70"/>
        <v>5102.549999999879</v>
      </c>
      <c r="CZ30" s="80">
        <f t="shared" si="71"/>
        <v>80380.75</v>
      </c>
      <c r="DA30" s="80">
        <f t="shared" si="72"/>
        <v>91482.20000000001</v>
      </c>
      <c r="DB30" s="80">
        <f t="shared" si="73"/>
        <v>16203.99999999989</v>
      </c>
      <c r="DC30" s="80">
        <f t="shared" si="74"/>
        <v>-122417.80000000002</v>
      </c>
      <c r="DD30" s="80">
        <f t="shared" si="75"/>
        <v>5102.549999999872</v>
      </c>
      <c r="DE30" s="80">
        <f t="shared" si="76"/>
        <v>398076</v>
      </c>
      <c r="DF30" s="80">
        <f t="shared" si="77"/>
        <v>794.8860749999999</v>
      </c>
      <c r="DG30" s="80">
        <f t="shared" si="78"/>
        <v>45.437625</v>
      </c>
      <c r="DH30" s="80">
        <f t="shared" si="79"/>
        <v>995.19</v>
      </c>
      <c r="DI30" s="81">
        <f t="shared" si="80"/>
        <v>200.951875</v>
      </c>
      <c r="DJ30" s="76">
        <f t="shared" si="81"/>
        <v>40.50999999999973</v>
      </c>
      <c r="DK30" s="147">
        <f t="shared" si="46"/>
        <v>-376765.82000000007</v>
      </c>
      <c r="DL30" s="67"/>
      <c r="DM30" s="67"/>
      <c r="DN30" s="68"/>
    </row>
    <row r="31" spans="1:118" ht="13.5" thickBot="1">
      <c r="A31" s="53" t="s">
        <v>20</v>
      </c>
      <c r="B31" s="47">
        <v>283</v>
      </c>
      <c r="C31" s="7">
        <v>956624</v>
      </c>
      <c r="D31" s="70">
        <v>3380.3</v>
      </c>
      <c r="E31" s="70">
        <v>98.03</v>
      </c>
      <c r="F31" s="129">
        <v>5</v>
      </c>
      <c r="G31" s="133">
        <v>227173.3</v>
      </c>
      <c r="H31" s="43">
        <v>204331.9</v>
      </c>
      <c r="I31" s="43">
        <v>33861.1</v>
      </c>
      <c r="J31" s="43">
        <v>20000</v>
      </c>
      <c r="K31" s="43">
        <v>60511.3</v>
      </c>
      <c r="L31" s="43">
        <v>85800</v>
      </c>
      <c r="M31" s="43">
        <f t="shared" si="0"/>
        <v>146311.3</v>
      </c>
      <c r="N31" s="43">
        <v>0</v>
      </c>
      <c r="O31" s="43">
        <v>46006.85</v>
      </c>
      <c r="P31" s="43">
        <v>58124.4</v>
      </c>
      <c r="Q31" s="43">
        <v>1240</v>
      </c>
      <c r="R31" s="43">
        <v>6690.45</v>
      </c>
      <c r="S31" s="43">
        <v>3828.9</v>
      </c>
      <c r="T31" s="43">
        <v>0</v>
      </c>
      <c r="U31" s="43">
        <v>13000</v>
      </c>
      <c r="V31" s="43">
        <v>0</v>
      </c>
      <c r="W31" s="43">
        <f t="shared" si="48"/>
        <v>23519.35</v>
      </c>
      <c r="X31" s="43">
        <v>103561.8</v>
      </c>
      <c r="Y31" s="43">
        <f t="shared" si="49"/>
        <v>864129.9999999999</v>
      </c>
      <c r="Z31" s="43">
        <v>309315.3</v>
      </c>
      <c r="AA31" s="43">
        <v>3503.75</v>
      </c>
      <c r="AB31" s="43">
        <v>12820.25</v>
      </c>
      <c r="AC31" s="43">
        <v>0</v>
      </c>
      <c r="AD31" s="43">
        <v>7061</v>
      </c>
      <c r="AE31" s="43">
        <f t="shared" si="50"/>
        <v>332700.3</v>
      </c>
      <c r="AF31" s="43">
        <v>0</v>
      </c>
      <c r="AG31" s="43">
        <v>98602</v>
      </c>
      <c r="AH31" s="43">
        <v>0</v>
      </c>
      <c r="AI31" s="43">
        <v>147460.4</v>
      </c>
      <c r="AJ31" s="43">
        <v>3828.9</v>
      </c>
      <c r="AK31" s="43">
        <v>11696.65</v>
      </c>
      <c r="AL31" s="43">
        <v>82416.8</v>
      </c>
      <c r="AM31" s="43">
        <v>1240</v>
      </c>
      <c r="AN31" s="4">
        <v>69214.6</v>
      </c>
      <c r="AO31" s="4">
        <v>3871.3</v>
      </c>
      <c r="AP31" s="4">
        <v>0</v>
      </c>
      <c r="AQ31" s="4">
        <v>10000</v>
      </c>
      <c r="AR31" s="4">
        <v>0</v>
      </c>
      <c r="AS31" s="4">
        <f t="shared" si="51"/>
        <v>83085.90000000001</v>
      </c>
      <c r="AT31" s="4">
        <v>103561.8</v>
      </c>
      <c r="AU31" s="4">
        <f t="shared" si="52"/>
        <v>864592.7500000001</v>
      </c>
      <c r="AV31" s="4">
        <v>462.75</v>
      </c>
      <c r="AW31" s="4">
        <v>0</v>
      </c>
      <c r="AX31" s="4">
        <f t="shared" si="53"/>
        <v>-2.3283064365386963E-10</v>
      </c>
      <c r="AY31" s="43">
        <v>96711.05</v>
      </c>
      <c r="AZ31" s="43">
        <v>462437.4</v>
      </c>
      <c r="BA31" s="43">
        <v>978.75</v>
      </c>
      <c r="BB31" s="43">
        <v>66964.95</v>
      </c>
      <c r="BC31" s="43">
        <v>4248.95</v>
      </c>
      <c r="BD31" s="43">
        <v>0</v>
      </c>
      <c r="BE31" s="43">
        <v>9381.8</v>
      </c>
      <c r="BF31" s="43">
        <f t="shared" si="54"/>
        <v>544011.85</v>
      </c>
      <c r="BG31" s="43">
        <v>0</v>
      </c>
      <c r="BH31" s="43">
        <v>34346.45</v>
      </c>
      <c r="BI31" s="43">
        <v>0</v>
      </c>
      <c r="BJ31" s="43">
        <v>0</v>
      </c>
      <c r="BK31" s="43">
        <v>4000</v>
      </c>
      <c r="BL31" s="43">
        <v>62492.45</v>
      </c>
      <c r="BM31" s="43">
        <v>209160.65</v>
      </c>
      <c r="BN31" s="43">
        <v>0</v>
      </c>
      <c r="BO31" s="43">
        <f t="shared" si="55"/>
        <v>309999.55</v>
      </c>
      <c r="BP31" s="43">
        <v>309999.55</v>
      </c>
      <c r="BQ31" s="43">
        <v>0</v>
      </c>
      <c r="BR31" s="43">
        <v>544011.85</v>
      </c>
      <c r="BS31" s="43">
        <f t="shared" si="56"/>
        <v>0</v>
      </c>
      <c r="BT31" s="4">
        <v>2859787.9</v>
      </c>
      <c r="BU31" s="4">
        <v>372100</v>
      </c>
      <c r="BV31" s="4">
        <v>0</v>
      </c>
      <c r="BW31" s="4">
        <v>0</v>
      </c>
      <c r="BX31" s="4">
        <f t="shared" si="57"/>
        <v>3231887.9</v>
      </c>
      <c r="BY31" s="4">
        <v>995320.05</v>
      </c>
      <c r="BZ31" s="4">
        <v>1203028.75</v>
      </c>
      <c r="CA31" s="4">
        <v>1033539.1</v>
      </c>
      <c r="CB31" s="4">
        <f t="shared" si="58"/>
        <v>3231887.9</v>
      </c>
      <c r="CC31" s="4">
        <f t="shared" si="59"/>
        <v>0</v>
      </c>
      <c r="CD31" s="74">
        <f t="shared" si="60"/>
        <v>146774.05</v>
      </c>
      <c r="CE31" s="76">
        <f t="shared" si="61"/>
        <v>87207.49999999999</v>
      </c>
      <c r="CF31" s="76">
        <f t="shared" si="62"/>
        <v>234012.3</v>
      </c>
      <c r="CG31" s="76">
        <f t="shared" si="47"/>
        <v>676705.05</v>
      </c>
      <c r="CH31" s="76">
        <f t="shared" si="63"/>
        <v>31970.15</v>
      </c>
      <c r="CI31" s="37">
        <f t="shared" si="64"/>
        <v>92481.45000000001</v>
      </c>
      <c r="CJ31" s="59">
        <f t="shared" si="35"/>
        <v>0.6272065613645095</v>
      </c>
      <c r="CK31" s="59">
        <f t="shared" si="36"/>
        <v>0.37266203528617936</v>
      </c>
      <c r="CL31" s="141">
        <f t="shared" si="37"/>
        <v>0.2168951598632225</v>
      </c>
      <c r="CM31" s="141">
        <f t="shared" si="38"/>
        <v>0.12887076873447298</v>
      </c>
      <c r="CN31" s="141">
        <f t="shared" si="39"/>
        <v>0.047243847227089554</v>
      </c>
      <c r="CO31" s="141">
        <f t="shared" si="40"/>
        <v>0.13666434142910563</v>
      </c>
      <c r="CP31" s="141">
        <f t="shared" si="41"/>
        <v>0.28223015200478846</v>
      </c>
      <c r="CQ31" s="141">
        <f t="shared" si="42"/>
        <v>0.11672450041116003</v>
      </c>
      <c r="CR31" s="142">
        <f t="shared" si="43"/>
        <v>21.379673193245996</v>
      </c>
      <c r="CS31" s="76">
        <f t="shared" si="44"/>
        <v>1864467.8499999999</v>
      </c>
      <c r="CT31" s="80">
        <f t="shared" si="65"/>
        <v>717818.6999999998</v>
      </c>
      <c r="CU31" s="80">
        <f t="shared" si="66"/>
        <v>864592.7500000001</v>
      </c>
      <c r="CV31" s="80">
        <f t="shared" si="67"/>
        <v>146774.05000000028</v>
      </c>
      <c r="CW31" s="80">
        <f t="shared" si="68"/>
        <v>0</v>
      </c>
      <c r="CX31" s="80">
        <f t="shared" si="69"/>
        <v>146774.05000000028</v>
      </c>
      <c r="CY31" s="80">
        <f t="shared" si="70"/>
        <v>462.7500000002765</v>
      </c>
      <c r="CZ31" s="80">
        <f t="shared" si="71"/>
        <v>234012.3</v>
      </c>
      <c r="DA31" s="80">
        <f t="shared" si="72"/>
        <v>146311.3</v>
      </c>
      <c r="DB31" s="80">
        <f t="shared" si="73"/>
        <v>-87238.24999999972</v>
      </c>
      <c r="DC31" s="80">
        <f t="shared" si="74"/>
        <v>-456310.85</v>
      </c>
      <c r="DD31" s="80">
        <f t="shared" si="75"/>
        <v>462.75000000023283</v>
      </c>
      <c r="DE31" s="80">
        <f t="shared" si="76"/>
        <v>325639.3</v>
      </c>
      <c r="DF31" s="80">
        <f t="shared" si="77"/>
        <v>6588.225618374558</v>
      </c>
      <c r="DG31" s="80">
        <f t="shared" si="78"/>
        <v>112.96872791519435</v>
      </c>
      <c r="DH31" s="80">
        <f t="shared" si="79"/>
        <v>1150.6689045936396</v>
      </c>
      <c r="DI31" s="81">
        <f t="shared" si="80"/>
        <v>826.8985865724381</v>
      </c>
      <c r="DJ31" s="76">
        <f t="shared" si="81"/>
        <v>-308.2623674911651</v>
      </c>
      <c r="DK31" s="147">
        <f t="shared" si="46"/>
        <v>661439.1</v>
      </c>
      <c r="DL31" s="64"/>
      <c r="DM31" s="64"/>
      <c r="DN31" s="65"/>
    </row>
    <row r="32" spans="1:118" ht="12" customHeight="1">
      <c r="A32" s="31" t="s">
        <v>70</v>
      </c>
      <c r="B32" s="24">
        <f aca="true" t="shared" si="82" ref="B32:G32">SUM(B3:B31)</f>
        <v>38305</v>
      </c>
      <c r="C32" s="24">
        <f t="shared" si="82"/>
        <v>132077817</v>
      </c>
      <c r="D32" s="25">
        <f t="shared" si="82"/>
        <v>86001.40000000001</v>
      </c>
      <c r="E32" s="25">
        <f t="shared" si="82"/>
        <v>2494.1700000000005</v>
      </c>
      <c r="F32" s="117">
        <f t="shared" si="82"/>
        <v>165</v>
      </c>
      <c r="G32" s="119">
        <f t="shared" si="82"/>
        <v>27630212.95</v>
      </c>
      <c r="H32" s="120">
        <f aca="true" t="shared" si="83" ref="H32:AN32">SUM(H3:H31)</f>
        <v>30472596.009999998</v>
      </c>
      <c r="I32" s="120">
        <f t="shared" si="83"/>
        <v>3629152.2600000002</v>
      </c>
      <c r="J32" s="120">
        <f t="shared" si="83"/>
        <v>1035650.8500000001</v>
      </c>
      <c r="K32" s="120">
        <f t="shared" si="83"/>
        <v>7701462.350000001</v>
      </c>
      <c r="L32" s="120">
        <f t="shared" si="83"/>
        <v>7099649.989999999</v>
      </c>
      <c r="M32" s="120">
        <f t="shared" si="83"/>
        <v>14801112.34</v>
      </c>
      <c r="N32" s="120">
        <f t="shared" si="83"/>
        <v>321036.7</v>
      </c>
      <c r="O32" s="120">
        <f t="shared" si="83"/>
        <v>3984703.25</v>
      </c>
      <c r="P32" s="120">
        <f t="shared" si="83"/>
        <v>9847378.4</v>
      </c>
      <c r="Q32" s="120">
        <f t="shared" si="83"/>
        <v>626184.5499999999</v>
      </c>
      <c r="R32" s="120">
        <f t="shared" si="83"/>
        <v>1925261.96</v>
      </c>
      <c r="S32" s="120">
        <f t="shared" si="83"/>
        <v>188656</v>
      </c>
      <c r="T32" s="120">
        <f t="shared" si="83"/>
        <v>1167000.5</v>
      </c>
      <c r="U32" s="120">
        <f t="shared" si="83"/>
        <v>13000</v>
      </c>
      <c r="V32" s="120">
        <f t="shared" si="83"/>
        <v>0</v>
      </c>
      <c r="W32" s="120">
        <f t="shared" si="83"/>
        <v>3293918.46</v>
      </c>
      <c r="X32" s="120">
        <f t="shared" si="83"/>
        <v>15197285.94</v>
      </c>
      <c r="Y32" s="120">
        <f t="shared" si="83"/>
        <v>110839231.70999998</v>
      </c>
      <c r="Z32" s="120">
        <f t="shared" si="83"/>
        <v>33220397.6</v>
      </c>
      <c r="AA32" s="120">
        <f t="shared" si="83"/>
        <v>5162496.15</v>
      </c>
      <c r="AB32" s="120">
        <f t="shared" si="83"/>
        <v>712573.0499999998</v>
      </c>
      <c r="AC32" s="120">
        <f t="shared" si="83"/>
        <v>0</v>
      </c>
      <c r="AD32" s="120">
        <f t="shared" si="83"/>
        <v>411798.6999999999</v>
      </c>
      <c r="AE32" s="120">
        <f t="shared" si="83"/>
        <v>39507265.50000001</v>
      </c>
      <c r="AF32" s="120">
        <f t="shared" si="83"/>
        <v>745860.3</v>
      </c>
      <c r="AG32" s="120">
        <f t="shared" si="83"/>
        <v>6520529.500000001</v>
      </c>
      <c r="AH32" s="120">
        <f t="shared" si="83"/>
        <v>185720</v>
      </c>
      <c r="AI32" s="120">
        <f t="shared" si="83"/>
        <v>32843143.459999997</v>
      </c>
      <c r="AJ32" s="120">
        <f t="shared" si="83"/>
        <v>3756429.2499999995</v>
      </c>
      <c r="AK32" s="120">
        <f t="shared" si="83"/>
        <v>2526239.9499999993</v>
      </c>
      <c r="AL32" s="120">
        <f t="shared" si="83"/>
        <v>7234024.59</v>
      </c>
      <c r="AM32" s="120">
        <f t="shared" si="83"/>
        <v>566600.45</v>
      </c>
      <c r="AN32" s="120">
        <f t="shared" si="83"/>
        <v>751336.1</v>
      </c>
      <c r="AO32" s="120">
        <f aca="true" t="shared" si="84" ref="AO32:BT32">SUM(AO3:AO31)</f>
        <v>120801.55</v>
      </c>
      <c r="AP32" s="120">
        <f t="shared" si="84"/>
        <v>1065648.85</v>
      </c>
      <c r="AQ32" s="120">
        <f t="shared" si="84"/>
        <v>24950.75</v>
      </c>
      <c r="AR32" s="120">
        <f t="shared" si="84"/>
        <v>69030.45</v>
      </c>
      <c r="AS32" s="120">
        <f t="shared" si="84"/>
        <v>2031767.7</v>
      </c>
      <c r="AT32" s="120">
        <f t="shared" si="84"/>
        <v>15443724.090000002</v>
      </c>
      <c r="AU32" s="120">
        <f t="shared" si="84"/>
        <v>111175584.79</v>
      </c>
      <c r="AV32" s="120">
        <f t="shared" si="84"/>
        <v>913352.4800000001</v>
      </c>
      <c r="AW32" s="120">
        <f t="shared" si="84"/>
        <v>576999.5</v>
      </c>
      <c r="AX32" s="120">
        <f t="shared" si="84"/>
        <v>-0.1000000077289549</v>
      </c>
      <c r="AY32" s="120">
        <f t="shared" si="84"/>
        <v>2698641.8499999996</v>
      </c>
      <c r="AZ32" s="120">
        <f t="shared" si="84"/>
        <v>26223072.34</v>
      </c>
      <c r="BA32" s="120">
        <f t="shared" si="84"/>
        <v>24978.75</v>
      </c>
      <c r="BB32" s="120">
        <f t="shared" si="84"/>
        <v>94638.95</v>
      </c>
      <c r="BC32" s="120">
        <f t="shared" si="84"/>
        <v>166612.30000000002</v>
      </c>
      <c r="BD32" s="120">
        <f t="shared" si="84"/>
        <v>0</v>
      </c>
      <c r="BE32" s="120">
        <f t="shared" si="84"/>
        <v>663186.2999999999</v>
      </c>
      <c r="BF32" s="120">
        <f t="shared" si="84"/>
        <v>27172488.640000008</v>
      </c>
      <c r="BG32" s="120">
        <f t="shared" si="84"/>
        <v>1030546.2</v>
      </c>
      <c r="BH32" s="120">
        <f t="shared" si="84"/>
        <v>1643040.35</v>
      </c>
      <c r="BI32" s="120">
        <f t="shared" si="84"/>
        <v>0</v>
      </c>
      <c r="BJ32" s="120">
        <f t="shared" si="84"/>
        <v>188043.95</v>
      </c>
      <c r="BK32" s="120">
        <f t="shared" si="84"/>
        <v>4000</v>
      </c>
      <c r="BL32" s="120">
        <f t="shared" si="84"/>
        <v>1765723.55</v>
      </c>
      <c r="BM32" s="120">
        <f t="shared" si="84"/>
        <v>6897842.15</v>
      </c>
      <c r="BN32" s="120">
        <f t="shared" si="84"/>
        <v>25000</v>
      </c>
      <c r="BO32" s="120">
        <f t="shared" si="84"/>
        <v>11554196.200000001</v>
      </c>
      <c r="BP32" s="120">
        <f t="shared" si="84"/>
        <v>10358562</v>
      </c>
      <c r="BQ32" s="120">
        <f t="shared" si="84"/>
        <v>540512.4</v>
      </c>
      <c r="BR32" s="120">
        <f t="shared" si="84"/>
        <v>26517366.79</v>
      </c>
      <c r="BS32" s="120">
        <f t="shared" si="84"/>
        <v>0.05000000004656613</v>
      </c>
      <c r="BT32" s="120">
        <f t="shared" si="84"/>
        <v>187826568.46999997</v>
      </c>
      <c r="BU32" s="120">
        <f aca="true" t="shared" si="85" ref="BU32:DA32">SUM(BU3:BU31)</f>
        <v>81316504.59000002</v>
      </c>
      <c r="BV32" s="120">
        <f t="shared" si="85"/>
        <v>1132923.25</v>
      </c>
      <c r="BW32" s="120">
        <f t="shared" si="85"/>
        <v>2034389.1300000001</v>
      </c>
      <c r="BX32" s="120">
        <f t="shared" si="85"/>
        <v>272310385.44</v>
      </c>
      <c r="BY32" s="120">
        <f t="shared" si="85"/>
        <v>165515789.72000003</v>
      </c>
      <c r="BZ32" s="120">
        <f t="shared" si="85"/>
        <v>49209502.39</v>
      </c>
      <c r="CA32" s="120">
        <f t="shared" si="85"/>
        <v>57585093.32999999</v>
      </c>
      <c r="CB32" s="120">
        <f t="shared" si="85"/>
        <v>272310385.44</v>
      </c>
      <c r="CC32" s="120">
        <f t="shared" si="85"/>
        <v>0</v>
      </c>
      <c r="CD32" s="120">
        <f t="shared" si="85"/>
        <v>15137465.320000002</v>
      </c>
      <c r="CE32" s="120">
        <f t="shared" si="85"/>
        <v>16399616.080000002</v>
      </c>
      <c r="CF32" s="120">
        <f t="shared" si="85"/>
        <v>16158804.790000005</v>
      </c>
      <c r="CG32" s="120">
        <f t="shared" si="85"/>
        <v>93133492.55</v>
      </c>
      <c r="CH32" s="120">
        <f t="shared" si="85"/>
        <v>533497.0099999998</v>
      </c>
      <c r="CI32" s="120">
        <f t="shared" si="85"/>
        <v>8234959.360000001</v>
      </c>
      <c r="CJ32" s="121">
        <f t="shared" si="85"/>
        <v>-240.81385284805523</v>
      </c>
      <c r="CK32" s="121">
        <f t="shared" si="85"/>
        <v>-370.20198295194484</v>
      </c>
      <c r="CL32" s="121">
        <f t="shared" si="85"/>
        <v>4.339398510892283</v>
      </c>
      <c r="CM32" s="121">
        <f t="shared" si="85"/>
        <v>4.575668032710701</v>
      </c>
      <c r="CN32" s="121">
        <f t="shared" si="85"/>
        <v>0.1069270709073665</v>
      </c>
      <c r="CO32" s="121">
        <f t="shared" si="85"/>
        <v>2.0976818268234343</v>
      </c>
      <c r="CP32" s="121">
        <f t="shared" si="85"/>
        <v>7.339826126929464</v>
      </c>
      <c r="CQ32" s="121">
        <f t="shared" si="85"/>
        <v>3.246338936458664</v>
      </c>
      <c r="CR32" s="120">
        <f t="shared" si="85"/>
        <v>137.29503575706093</v>
      </c>
      <c r="CS32" s="120">
        <f t="shared" si="85"/>
        <v>22310778.75</v>
      </c>
      <c r="CT32" s="120">
        <f t="shared" si="85"/>
        <v>96038119.36999999</v>
      </c>
      <c r="CU32" s="120">
        <f t="shared" si="85"/>
        <v>111106554.33999999</v>
      </c>
      <c r="CV32" s="120">
        <f t="shared" si="85"/>
        <v>15068434.970000012</v>
      </c>
      <c r="CW32" s="120">
        <f t="shared" si="85"/>
        <v>69030.45</v>
      </c>
      <c r="CX32" s="120">
        <f t="shared" si="85"/>
        <v>15137465.420000011</v>
      </c>
      <c r="CY32" s="120">
        <f t="shared" si="85"/>
        <v>336353.0800000108</v>
      </c>
      <c r="CZ32" s="120">
        <f t="shared" si="85"/>
        <v>16158804.790000005</v>
      </c>
      <c r="DA32" s="120">
        <f t="shared" si="85"/>
        <v>14801112.34</v>
      </c>
      <c r="DB32" s="120">
        <f aca="true" t="shared" si="86" ref="DB32:DN32">SUM(DB3:DB31)</f>
        <v>-1021339.3699999886</v>
      </c>
      <c r="DC32" s="120">
        <f t="shared" si="86"/>
        <v>-25159674.34</v>
      </c>
      <c r="DD32" s="120">
        <f t="shared" si="86"/>
        <v>336353.0800000108</v>
      </c>
      <c r="DE32" s="120">
        <f t="shared" si="86"/>
        <v>39095466.8</v>
      </c>
      <c r="DF32" s="120">
        <f t="shared" si="86"/>
        <v>27508.891578711962</v>
      </c>
      <c r="DG32" s="120">
        <f t="shared" si="86"/>
        <v>-145.4844974476987</v>
      </c>
      <c r="DH32" s="120">
        <f t="shared" si="86"/>
        <v>26089.243936367122</v>
      </c>
      <c r="DI32" s="120">
        <f t="shared" si="86"/>
        <v>13045.925737056732</v>
      </c>
      <c r="DJ32" s="120">
        <f t="shared" si="86"/>
        <v>326.6555274178343</v>
      </c>
      <c r="DK32" s="120">
        <f t="shared" si="86"/>
        <v>-25765800.389999993</v>
      </c>
      <c r="DL32" s="122">
        <f t="shared" si="86"/>
        <v>0</v>
      </c>
      <c r="DM32" s="122">
        <f t="shared" si="86"/>
        <v>0</v>
      </c>
      <c r="DN32" s="123">
        <f t="shared" si="86"/>
        <v>0</v>
      </c>
    </row>
    <row r="33" spans="1:118" ht="12.75">
      <c r="A33" s="31" t="s">
        <v>47</v>
      </c>
      <c r="B33" s="24">
        <f aca="true" t="shared" si="87" ref="B33:G33">MIN(B3:B31)</f>
        <v>167</v>
      </c>
      <c r="C33" s="24">
        <f t="shared" si="87"/>
        <v>349229</v>
      </c>
      <c r="D33" s="25">
        <f t="shared" si="87"/>
        <v>1640.32</v>
      </c>
      <c r="E33" s="25">
        <f t="shared" si="87"/>
        <v>47.57</v>
      </c>
      <c r="F33" s="117">
        <f t="shared" si="87"/>
        <v>2</v>
      </c>
      <c r="G33" s="124">
        <f t="shared" si="87"/>
        <v>0</v>
      </c>
      <c r="H33" s="24">
        <f aca="true" t="shared" si="88" ref="H33:BT33">MIN(H3:H31)</f>
        <v>0</v>
      </c>
      <c r="I33" s="24">
        <f t="shared" si="88"/>
        <v>0</v>
      </c>
      <c r="J33" s="24">
        <f t="shared" si="88"/>
        <v>0</v>
      </c>
      <c r="K33" s="24">
        <f t="shared" si="88"/>
        <v>0</v>
      </c>
      <c r="L33" s="24">
        <f t="shared" si="88"/>
        <v>0</v>
      </c>
      <c r="M33" s="24">
        <f t="shared" si="88"/>
        <v>0</v>
      </c>
      <c r="N33" s="24">
        <f t="shared" si="88"/>
        <v>0</v>
      </c>
      <c r="O33" s="24">
        <f t="shared" si="88"/>
        <v>0</v>
      </c>
      <c r="P33" s="24">
        <f t="shared" si="88"/>
        <v>0</v>
      </c>
      <c r="Q33" s="24">
        <f t="shared" si="88"/>
        <v>0</v>
      </c>
      <c r="R33" s="24">
        <f t="shared" si="88"/>
        <v>0</v>
      </c>
      <c r="S33" s="24">
        <f t="shared" si="88"/>
        <v>0</v>
      </c>
      <c r="T33" s="24">
        <f t="shared" si="88"/>
        <v>0</v>
      </c>
      <c r="U33" s="24">
        <f t="shared" si="88"/>
        <v>0</v>
      </c>
      <c r="V33" s="24">
        <f t="shared" si="88"/>
        <v>0</v>
      </c>
      <c r="W33" s="24">
        <f t="shared" si="88"/>
        <v>0</v>
      </c>
      <c r="X33" s="24">
        <f t="shared" si="88"/>
        <v>0</v>
      </c>
      <c r="Y33" s="24">
        <f t="shared" si="88"/>
        <v>0</v>
      </c>
      <c r="Z33" s="24">
        <f t="shared" si="88"/>
        <v>0</v>
      </c>
      <c r="AA33" s="24">
        <f t="shared" si="88"/>
        <v>0</v>
      </c>
      <c r="AB33" s="24">
        <f t="shared" si="88"/>
        <v>0</v>
      </c>
      <c r="AC33" s="24">
        <f>MIN(AC3:AC31)</f>
        <v>0</v>
      </c>
      <c r="AD33" s="24">
        <f t="shared" si="88"/>
        <v>0</v>
      </c>
      <c r="AE33" s="24">
        <f t="shared" si="88"/>
        <v>0</v>
      </c>
      <c r="AF33" s="24">
        <f t="shared" si="88"/>
        <v>0</v>
      </c>
      <c r="AG33" s="24">
        <f t="shared" si="88"/>
        <v>0</v>
      </c>
      <c r="AH33" s="24">
        <f t="shared" si="88"/>
        <v>0</v>
      </c>
      <c r="AI33" s="24">
        <f t="shared" si="88"/>
        <v>0</v>
      </c>
      <c r="AJ33" s="24">
        <f t="shared" si="88"/>
        <v>0</v>
      </c>
      <c r="AK33" s="24">
        <f t="shared" si="88"/>
        <v>0</v>
      </c>
      <c r="AL33" s="24">
        <f t="shared" si="88"/>
        <v>0</v>
      </c>
      <c r="AM33" s="24">
        <f t="shared" si="88"/>
        <v>0</v>
      </c>
      <c r="AN33" s="24">
        <f t="shared" si="88"/>
        <v>0</v>
      </c>
      <c r="AO33" s="24">
        <f t="shared" si="88"/>
        <v>0</v>
      </c>
      <c r="AP33" s="24">
        <f t="shared" si="88"/>
        <v>0</v>
      </c>
      <c r="AQ33" s="24">
        <f t="shared" si="88"/>
        <v>0</v>
      </c>
      <c r="AR33" s="24">
        <f t="shared" si="88"/>
        <v>0</v>
      </c>
      <c r="AS33" s="24">
        <f t="shared" si="88"/>
        <v>0</v>
      </c>
      <c r="AT33" s="24">
        <f t="shared" si="88"/>
        <v>0</v>
      </c>
      <c r="AU33" s="24">
        <f t="shared" si="88"/>
        <v>0</v>
      </c>
      <c r="AV33" s="24">
        <f t="shared" si="88"/>
        <v>0</v>
      </c>
      <c r="AW33" s="24">
        <f t="shared" si="88"/>
        <v>0</v>
      </c>
      <c r="AX33" s="24">
        <f t="shared" si="88"/>
        <v>-0.4000000003259636</v>
      </c>
      <c r="AY33" s="24">
        <f t="shared" si="88"/>
        <v>0</v>
      </c>
      <c r="AZ33" s="24">
        <f t="shared" si="88"/>
        <v>0</v>
      </c>
      <c r="BA33" s="24">
        <f t="shared" si="88"/>
        <v>0</v>
      </c>
      <c r="BB33" s="24">
        <f t="shared" si="88"/>
        <v>-6627</v>
      </c>
      <c r="BC33" s="24">
        <f t="shared" si="88"/>
        <v>0</v>
      </c>
      <c r="BD33" s="24">
        <f t="shared" si="88"/>
        <v>0</v>
      </c>
      <c r="BE33" s="24">
        <f t="shared" si="88"/>
        <v>0</v>
      </c>
      <c r="BF33" s="24">
        <f t="shared" si="88"/>
        <v>0</v>
      </c>
      <c r="BG33" s="24">
        <f t="shared" si="88"/>
        <v>0</v>
      </c>
      <c r="BH33" s="24">
        <f t="shared" si="88"/>
        <v>0</v>
      </c>
      <c r="BI33" s="24">
        <f t="shared" si="88"/>
        <v>0</v>
      </c>
      <c r="BJ33" s="24">
        <f t="shared" si="88"/>
        <v>0</v>
      </c>
      <c r="BK33" s="24">
        <f t="shared" si="88"/>
        <v>0</v>
      </c>
      <c r="BL33" s="24">
        <f t="shared" si="88"/>
        <v>0</v>
      </c>
      <c r="BM33" s="24">
        <f t="shared" si="88"/>
        <v>0</v>
      </c>
      <c r="BN33" s="24">
        <f t="shared" si="88"/>
        <v>0</v>
      </c>
      <c r="BO33" s="24">
        <f t="shared" si="88"/>
        <v>0</v>
      </c>
      <c r="BP33" s="24">
        <f t="shared" si="88"/>
        <v>0</v>
      </c>
      <c r="BQ33" s="24">
        <f t="shared" si="88"/>
        <v>0</v>
      </c>
      <c r="BR33" s="24">
        <f t="shared" si="88"/>
        <v>0</v>
      </c>
      <c r="BS33" s="24">
        <f t="shared" si="88"/>
        <v>0</v>
      </c>
      <c r="BT33" s="24">
        <f t="shared" si="88"/>
        <v>0</v>
      </c>
      <c r="BU33" s="24">
        <f aca="true" t="shared" si="89" ref="BU33:DK33">MIN(BU3:BU31)</f>
        <v>0</v>
      </c>
      <c r="BV33" s="24">
        <f t="shared" si="89"/>
        <v>0</v>
      </c>
      <c r="BW33" s="24">
        <f t="shared" si="89"/>
        <v>0</v>
      </c>
      <c r="BX33" s="24">
        <f t="shared" si="89"/>
        <v>0</v>
      </c>
      <c r="BY33" s="24">
        <f t="shared" si="89"/>
        <v>0</v>
      </c>
      <c r="BZ33" s="24">
        <f t="shared" si="89"/>
        <v>0</v>
      </c>
      <c r="CA33" s="24">
        <f t="shared" si="89"/>
        <v>0</v>
      </c>
      <c r="CB33" s="24">
        <f t="shared" si="89"/>
        <v>0</v>
      </c>
      <c r="CC33" s="24">
        <f t="shared" si="89"/>
        <v>0</v>
      </c>
      <c r="CD33" s="24">
        <f t="shared" si="89"/>
        <v>0</v>
      </c>
      <c r="CE33" s="24">
        <f t="shared" si="89"/>
        <v>0</v>
      </c>
      <c r="CF33" s="24">
        <f t="shared" si="89"/>
        <v>-7986</v>
      </c>
      <c r="CG33" s="24">
        <f t="shared" si="89"/>
        <v>0</v>
      </c>
      <c r="CH33" s="24">
        <f t="shared" si="89"/>
        <v>-345122.19999999995</v>
      </c>
      <c r="CI33" s="24">
        <f t="shared" si="89"/>
        <v>-141342.09999999995</v>
      </c>
      <c r="CJ33" s="93">
        <f t="shared" si="89"/>
        <v>-296.77827336703507</v>
      </c>
      <c r="CK33" s="93">
        <f>MIN(CK3:CK31)</f>
        <v>-427.79304192685345</v>
      </c>
      <c r="CL33" s="93">
        <f t="shared" si="89"/>
        <v>0.06033279242165418</v>
      </c>
      <c r="CM33" s="93">
        <f t="shared" si="89"/>
        <v>0.011995030335582458</v>
      </c>
      <c r="CN33" s="93">
        <f t="shared" si="89"/>
        <v>-0.16672224296978472</v>
      </c>
      <c r="CO33" s="93">
        <f t="shared" si="89"/>
        <v>-0.059294067503577054</v>
      </c>
      <c r="CP33" s="93">
        <f t="shared" si="89"/>
        <v>0</v>
      </c>
      <c r="CQ33" s="93">
        <f t="shared" si="89"/>
        <v>0</v>
      </c>
      <c r="CR33" s="24">
        <f t="shared" si="89"/>
        <v>-19.64681379429062</v>
      </c>
      <c r="CS33" s="24">
        <f t="shared" si="89"/>
        <v>-16669088.32</v>
      </c>
      <c r="CT33" s="24">
        <f t="shared" si="89"/>
        <v>0</v>
      </c>
      <c r="CU33" s="24">
        <f t="shared" si="89"/>
        <v>0</v>
      </c>
      <c r="CV33" s="24">
        <f t="shared" si="89"/>
        <v>0</v>
      </c>
      <c r="CW33" s="24">
        <f t="shared" si="89"/>
        <v>0</v>
      </c>
      <c r="CX33" s="24">
        <f t="shared" si="89"/>
        <v>0</v>
      </c>
      <c r="CY33" s="24">
        <f t="shared" si="89"/>
        <v>-238306.90000000017</v>
      </c>
      <c r="CZ33" s="24">
        <f t="shared" si="89"/>
        <v>-7986</v>
      </c>
      <c r="DA33" s="24">
        <f t="shared" si="89"/>
        <v>0</v>
      </c>
      <c r="DB33" s="24">
        <f t="shared" si="89"/>
        <v>-2907283.6</v>
      </c>
      <c r="DC33" s="24">
        <f t="shared" si="89"/>
        <v>-4140053.43</v>
      </c>
      <c r="DD33" s="24">
        <f t="shared" si="89"/>
        <v>-238306.90000000014</v>
      </c>
      <c r="DE33" s="24">
        <f t="shared" si="89"/>
        <v>0</v>
      </c>
      <c r="DF33" s="24">
        <f t="shared" si="89"/>
        <v>-4338.521447084233</v>
      </c>
      <c r="DG33" s="24">
        <f t="shared" si="89"/>
        <v>-539.7326923076923</v>
      </c>
      <c r="DH33" s="24">
        <f t="shared" si="89"/>
        <v>0</v>
      </c>
      <c r="DI33" s="24">
        <f t="shared" si="89"/>
        <v>-16.812631578947368</v>
      </c>
      <c r="DJ33" s="24">
        <f t="shared" si="89"/>
        <v>-2750.504824976348</v>
      </c>
      <c r="DK33" s="24">
        <f t="shared" si="89"/>
        <v>-26752072.87</v>
      </c>
      <c r="DL33" s="13">
        <f>MIN(DL3:DL31)</f>
        <v>0</v>
      </c>
      <c r="DM33" s="13">
        <f>MIN(DM3:DM31)</f>
        <v>0</v>
      </c>
      <c r="DN33" s="26">
        <f>MIN(DN3:DN31)</f>
        <v>0</v>
      </c>
    </row>
    <row r="34" spans="1:118" ht="12.75">
      <c r="A34" s="31" t="s">
        <v>48</v>
      </c>
      <c r="B34" s="24">
        <f aca="true" t="shared" si="90" ref="B34:G34">MAX(B3:B31)</f>
        <v>5636</v>
      </c>
      <c r="C34" s="24">
        <f t="shared" si="90"/>
        <v>22193324</v>
      </c>
      <c r="D34" s="25">
        <f t="shared" si="90"/>
        <v>7015.89</v>
      </c>
      <c r="E34" s="25">
        <f t="shared" si="90"/>
        <v>203.47</v>
      </c>
      <c r="F34" s="117">
        <f t="shared" si="90"/>
        <v>10</v>
      </c>
      <c r="G34" s="124">
        <f t="shared" si="90"/>
        <v>4498744.15</v>
      </c>
      <c r="H34" s="24">
        <f aca="true" t="shared" si="91" ref="H34:BT34">MAX(H3:H31)</f>
        <v>5797175.2</v>
      </c>
      <c r="I34" s="24">
        <f t="shared" si="91"/>
        <v>888503.05</v>
      </c>
      <c r="J34" s="24">
        <f t="shared" si="91"/>
        <v>290285.2</v>
      </c>
      <c r="K34" s="24">
        <f t="shared" si="91"/>
        <v>1997323.75</v>
      </c>
      <c r="L34" s="24">
        <f t="shared" si="91"/>
        <v>1985198.23</v>
      </c>
      <c r="M34" s="24">
        <f t="shared" si="91"/>
        <v>2603709.0300000003</v>
      </c>
      <c r="N34" s="24">
        <f t="shared" si="91"/>
        <v>155269</v>
      </c>
      <c r="O34" s="24">
        <f t="shared" si="91"/>
        <v>589118.25</v>
      </c>
      <c r="P34" s="24">
        <f t="shared" si="91"/>
        <v>1524728.85</v>
      </c>
      <c r="Q34" s="24">
        <f t="shared" si="91"/>
        <v>400000</v>
      </c>
      <c r="R34" s="24">
        <f t="shared" si="91"/>
        <v>428719.03</v>
      </c>
      <c r="S34" s="24">
        <f t="shared" si="91"/>
        <v>80417.65</v>
      </c>
      <c r="T34" s="24">
        <f t="shared" si="91"/>
        <v>680000</v>
      </c>
      <c r="U34" s="24">
        <f t="shared" si="91"/>
        <v>13000</v>
      </c>
      <c r="V34" s="24">
        <f t="shared" si="91"/>
        <v>0</v>
      </c>
      <c r="W34" s="24">
        <f t="shared" si="91"/>
        <v>775177.35</v>
      </c>
      <c r="X34" s="24">
        <f t="shared" si="91"/>
        <v>2234531.28</v>
      </c>
      <c r="Y34" s="24">
        <f t="shared" si="91"/>
        <v>14757985.349999998</v>
      </c>
      <c r="Z34" s="24">
        <f t="shared" si="91"/>
        <v>6200397.1</v>
      </c>
      <c r="AA34" s="24">
        <f t="shared" si="91"/>
        <v>1989814</v>
      </c>
      <c r="AB34" s="24">
        <f t="shared" si="91"/>
        <v>113602.15</v>
      </c>
      <c r="AC34" s="24">
        <f>MAX(AC3:AC31)</f>
        <v>0</v>
      </c>
      <c r="AD34" s="24">
        <f t="shared" si="91"/>
        <v>172304.3</v>
      </c>
      <c r="AE34" s="24">
        <f t="shared" si="91"/>
        <v>6728002.6</v>
      </c>
      <c r="AF34" s="24">
        <f t="shared" si="91"/>
        <v>323865.75</v>
      </c>
      <c r="AG34" s="24">
        <f t="shared" si="91"/>
        <v>1093982.4</v>
      </c>
      <c r="AH34" s="24">
        <f t="shared" si="91"/>
        <v>116220</v>
      </c>
      <c r="AI34" s="24">
        <f t="shared" si="91"/>
        <v>6802814.64</v>
      </c>
      <c r="AJ34" s="24">
        <f t="shared" si="91"/>
        <v>645986.25</v>
      </c>
      <c r="AK34" s="24">
        <f t="shared" si="91"/>
        <v>464409.45</v>
      </c>
      <c r="AL34" s="24">
        <f t="shared" si="91"/>
        <v>1335119.4</v>
      </c>
      <c r="AM34" s="24">
        <f t="shared" si="91"/>
        <v>400000</v>
      </c>
      <c r="AN34" s="24">
        <f t="shared" si="91"/>
        <v>298265.7</v>
      </c>
      <c r="AO34" s="24">
        <f t="shared" si="91"/>
        <v>40250</v>
      </c>
      <c r="AP34" s="24">
        <f t="shared" si="91"/>
        <v>1014323.55</v>
      </c>
      <c r="AQ34" s="24">
        <f t="shared" si="91"/>
        <v>12950.75</v>
      </c>
      <c r="AR34" s="24">
        <f t="shared" si="91"/>
        <v>69030.45</v>
      </c>
      <c r="AS34" s="24">
        <f t="shared" si="91"/>
        <v>1014323.55</v>
      </c>
      <c r="AT34" s="24">
        <f t="shared" si="91"/>
        <v>2235795.08</v>
      </c>
      <c r="AU34" s="24">
        <f t="shared" si="91"/>
        <v>14781791.950000001</v>
      </c>
      <c r="AV34" s="24">
        <f t="shared" si="91"/>
        <v>328310.85</v>
      </c>
      <c r="AW34" s="24">
        <f t="shared" si="91"/>
        <v>238306.9</v>
      </c>
      <c r="AX34" s="24">
        <f t="shared" si="91"/>
        <v>0.3999999999996362</v>
      </c>
      <c r="AY34" s="24">
        <f t="shared" si="91"/>
        <v>1097284.2</v>
      </c>
      <c r="AZ34" s="24">
        <f t="shared" si="91"/>
        <v>3331269.2</v>
      </c>
      <c r="BA34" s="24">
        <f t="shared" si="91"/>
        <v>24000</v>
      </c>
      <c r="BB34" s="24">
        <f t="shared" si="91"/>
        <v>66964.95</v>
      </c>
      <c r="BC34" s="24">
        <f t="shared" si="91"/>
        <v>60000</v>
      </c>
      <c r="BD34" s="24">
        <f t="shared" si="91"/>
        <v>0</v>
      </c>
      <c r="BE34" s="24">
        <f t="shared" si="91"/>
        <v>431316.5</v>
      </c>
      <c r="BF34" s="24">
        <f t="shared" si="91"/>
        <v>3350532.2</v>
      </c>
      <c r="BG34" s="24">
        <f t="shared" si="91"/>
        <v>975849.75</v>
      </c>
      <c r="BH34" s="24">
        <f t="shared" si="91"/>
        <v>615557.05</v>
      </c>
      <c r="BI34" s="24">
        <f t="shared" si="91"/>
        <v>0</v>
      </c>
      <c r="BJ34" s="24">
        <f t="shared" si="91"/>
        <v>100000</v>
      </c>
      <c r="BK34" s="24">
        <f t="shared" si="91"/>
        <v>4000</v>
      </c>
      <c r="BL34" s="24">
        <f t="shared" si="91"/>
        <v>500000</v>
      </c>
      <c r="BM34" s="24">
        <f t="shared" si="91"/>
        <v>1714510.25</v>
      </c>
      <c r="BN34" s="24">
        <f t="shared" si="91"/>
        <v>25000</v>
      </c>
      <c r="BO34" s="24">
        <f t="shared" si="91"/>
        <v>1820487.4</v>
      </c>
      <c r="BP34" s="24">
        <f t="shared" si="91"/>
        <v>1714510.25</v>
      </c>
      <c r="BQ34" s="24">
        <f t="shared" si="91"/>
        <v>284143</v>
      </c>
      <c r="BR34" s="24">
        <f t="shared" si="91"/>
        <v>3350532.2</v>
      </c>
      <c r="BS34" s="24">
        <f t="shared" si="91"/>
        <v>0.05000000004656613</v>
      </c>
      <c r="BT34" s="24">
        <f t="shared" si="91"/>
        <v>23695524.61</v>
      </c>
      <c r="BU34" s="24">
        <f aca="true" t="shared" si="92" ref="BU34:DK34">MAX(BU3:BU31)</f>
        <v>32607745.5</v>
      </c>
      <c r="BV34" s="24">
        <f t="shared" si="92"/>
        <v>624415.5</v>
      </c>
      <c r="BW34" s="24">
        <f t="shared" si="92"/>
        <v>682459.78</v>
      </c>
      <c r="BX34" s="24">
        <f t="shared" si="92"/>
        <v>42670062.55</v>
      </c>
      <c r="BY34" s="24">
        <f t="shared" si="92"/>
        <v>26731405.37</v>
      </c>
      <c r="BZ34" s="24">
        <f t="shared" si="92"/>
        <v>10082984.55</v>
      </c>
      <c r="CA34" s="24">
        <f t="shared" si="92"/>
        <v>13103575.94</v>
      </c>
      <c r="CB34" s="24">
        <f t="shared" si="92"/>
        <v>42670062.550000004</v>
      </c>
      <c r="CC34" s="24">
        <f t="shared" si="92"/>
        <v>0</v>
      </c>
      <c r="CD34" s="24">
        <f t="shared" si="92"/>
        <v>2539090.8800000004</v>
      </c>
      <c r="CE34" s="24">
        <f t="shared" si="92"/>
        <v>2471050.48</v>
      </c>
      <c r="CF34" s="24">
        <f t="shared" si="92"/>
        <v>2921347.35</v>
      </c>
      <c r="CG34" s="24">
        <f t="shared" si="92"/>
        <v>11942920.1</v>
      </c>
      <c r="CH34" s="24">
        <f t="shared" si="92"/>
        <v>734004.2</v>
      </c>
      <c r="CI34" s="24">
        <f t="shared" si="92"/>
        <v>2175939.6500000004</v>
      </c>
      <c r="CJ34" s="93">
        <f t="shared" si="92"/>
        <v>13.056280527085216</v>
      </c>
      <c r="CK34" s="93">
        <f>MAX(CK3:CK31)</f>
        <v>14.963893904623506</v>
      </c>
      <c r="CL34" s="93">
        <f t="shared" si="92"/>
        <v>0.5735419776077677</v>
      </c>
      <c r="CM34" s="93">
        <f t="shared" si="92"/>
        <v>0.5934353692302876</v>
      </c>
      <c r="CN34" s="93">
        <f t="shared" si="92"/>
        <v>0.21661074440162292</v>
      </c>
      <c r="CO34" s="93">
        <f t="shared" si="92"/>
        <v>0.2972064603361313</v>
      </c>
      <c r="CP34" s="93">
        <f t="shared" si="92"/>
        <v>0.920284520809337</v>
      </c>
      <c r="CQ34" s="93">
        <f t="shared" si="92"/>
        <v>0.40035613483654797</v>
      </c>
      <c r="CR34" s="24">
        <f t="shared" si="92"/>
        <v>89.52304736524064</v>
      </c>
      <c r="CS34" s="24">
        <f t="shared" si="92"/>
        <v>11264687.399999999</v>
      </c>
      <c r="CT34" s="24">
        <f t="shared" si="92"/>
        <v>12729314.499999998</v>
      </c>
      <c r="CU34" s="24">
        <f t="shared" si="92"/>
        <v>14781791.950000001</v>
      </c>
      <c r="CV34" s="24">
        <f t="shared" si="92"/>
        <v>2539090.8800000027</v>
      </c>
      <c r="CW34" s="24">
        <f t="shared" si="92"/>
        <v>69030.45</v>
      </c>
      <c r="CX34" s="24">
        <f t="shared" si="92"/>
        <v>2539090.8800000027</v>
      </c>
      <c r="CY34" s="24">
        <f t="shared" si="92"/>
        <v>328310.8499999996</v>
      </c>
      <c r="CZ34" s="24">
        <f t="shared" si="92"/>
        <v>2921347.35</v>
      </c>
      <c r="DA34" s="24">
        <f t="shared" si="92"/>
        <v>2603709.0300000003</v>
      </c>
      <c r="DB34" s="24">
        <f t="shared" si="92"/>
        <v>1643892.5000000028</v>
      </c>
      <c r="DC34" s="24">
        <f t="shared" si="92"/>
        <v>0</v>
      </c>
      <c r="DD34" s="24">
        <f t="shared" si="92"/>
        <v>328310.84999999974</v>
      </c>
      <c r="DE34" s="24">
        <f t="shared" si="92"/>
        <v>6705253.1</v>
      </c>
      <c r="DF34" s="24">
        <f t="shared" si="92"/>
        <v>6588.225618374558</v>
      </c>
      <c r="DG34" s="24">
        <f t="shared" si="92"/>
        <v>466.17195999999996</v>
      </c>
      <c r="DH34" s="24">
        <f t="shared" si="92"/>
        <v>1323.1511879049679</v>
      </c>
      <c r="DI34" s="24">
        <f t="shared" si="92"/>
        <v>2750.504824976348</v>
      </c>
      <c r="DJ34" s="24">
        <f t="shared" si="92"/>
        <v>1965.4622754491015</v>
      </c>
      <c r="DK34" s="24">
        <f t="shared" si="92"/>
        <v>9403368.59</v>
      </c>
      <c r="DL34" s="13">
        <f>MAX(DL3:DL31)</f>
        <v>0</v>
      </c>
      <c r="DM34" s="13">
        <f>MAX(DM3:DM31)</f>
        <v>0</v>
      </c>
      <c r="DN34" s="26">
        <f>MAX(DN3:DN31)</f>
        <v>0</v>
      </c>
    </row>
    <row r="35" spans="1:118" ht="13.5" thickBot="1">
      <c r="A35" s="32" t="s">
        <v>49</v>
      </c>
      <c r="B35" s="27">
        <f aca="true" t="shared" si="93" ref="B35:G35">MEDIAN(B3:B31)</f>
        <v>608</v>
      </c>
      <c r="C35" s="27">
        <f t="shared" si="93"/>
        <v>1560210</v>
      </c>
      <c r="D35" s="28">
        <f t="shared" si="93"/>
        <v>2655.65</v>
      </c>
      <c r="E35" s="28">
        <f t="shared" si="93"/>
        <v>77.02</v>
      </c>
      <c r="F35" s="118">
        <f t="shared" si="93"/>
        <v>6</v>
      </c>
      <c r="G35" s="125">
        <f t="shared" si="93"/>
        <v>562380</v>
      </c>
      <c r="H35" s="27">
        <f aca="true" t="shared" si="94" ref="H35:BT35">MEDIAN(H3:H31)</f>
        <v>531788.75</v>
      </c>
      <c r="I35" s="27">
        <f t="shared" si="94"/>
        <v>36708.8</v>
      </c>
      <c r="J35" s="27">
        <f t="shared" si="94"/>
        <v>0</v>
      </c>
      <c r="K35" s="27">
        <f t="shared" si="94"/>
        <v>96687.65</v>
      </c>
      <c r="L35" s="27">
        <f t="shared" si="94"/>
        <v>142305</v>
      </c>
      <c r="M35" s="27">
        <f t="shared" si="94"/>
        <v>310220.8</v>
      </c>
      <c r="N35" s="27">
        <f t="shared" si="94"/>
        <v>0</v>
      </c>
      <c r="O35" s="27">
        <f t="shared" si="94"/>
        <v>76205.9</v>
      </c>
      <c r="P35" s="27">
        <f t="shared" si="94"/>
        <v>168812.95</v>
      </c>
      <c r="Q35" s="27">
        <f t="shared" si="94"/>
        <v>708.1</v>
      </c>
      <c r="R35" s="27">
        <f t="shared" si="94"/>
        <v>16677.6</v>
      </c>
      <c r="S35" s="27">
        <f t="shared" si="94"/>
        <v>0</v>
      </c>
      <c r="T35" s="27">
        <f t="shared" si="94"/>
        <v>0</v>
      </c>
      <c r="U35" s="27">
        <f t="shared" si="94"/>
        <v>0</v>
      </c>
      <c r="V35" s="27">
        <f t="shared" si="94"/>
        <v>0</v>
      </c>
      <c r="W35" s="27">
        <f t="shared" si="94"/>
        <v>26671.05</v>
      </c>
      <c r="X35" s="27">
        <f t="shared" si="94"/>
        <v>294356.5</v>
      </c>
      <c r="Y35" s="27">
        <f t="shared" si="94"/>
        <v>1916303.45</v>
      </c>
      <c r="Z35" s="27">
        <f t="shared" si="94"/>
        <v>496945.65</v>
      </c>
      <c r="AA35" s="27">
        <f t="shared" si="94"/>
        <v>32984.4</v>
      </c>
      <c r="AB35" s="27">
        <f t="shared" si="94"/>
        <v>8736</v>
      </c>
      <c r="AC35" s="27">
        <f>MEDIAN(AC3:AC31)</f>
        <v>0</v>
      </c>
      <c r="AD35" s="27">
        <f t="shared" si="94"/>
        <v>6419.1</v>
      </c>
      <c r="AE35" s="27">
        <f t="shared" si="94"/>
        <v>537017</v>
      </c>
      <c r="AF35" s="27">
        <f t="shared" si="94"/>
        <v>79.2</v>
      </c>
      <c r="AG35" s="27">
        <f t="shared" si="94"/>
        <v>98602</v>
      </c>
      <c r="AH35" s="27">
        <f t="shared" si="94"/>
        <v>0</v>
      </c>
      <c r="AI35" s="27">
        <f t="shared" si="94"/>
        <v>585302</v>
      </c>
      <c r="AJ35" s="27">
        <f t="shared" si="94"/>
        <v>44656</v>
      </c>
      <c r="AK35" s="27">
        <f t="shared" si="94"/>
        <v>38926</v>
      </c>
      <c r="AL35" s="27">
        <f t="shared" si="94"/>
        <v>137798.45</v>
      </c>
      <c r="AM35" s="27">
        <f t="shared" si="94"/>
        <v>298.6</v>
      </c>
      <c r="AN35" s="27">
        <f t="shared" si="94"/>
        <v>1100</v>
      </c>
      <c r="AO35" s="27">
        <f t="shared" si="94"/>
        <v>0</v>
      </c>
      <c r="AP35" s="27">
        <f t="shared" si="94"/>
        <v>0</v>
      </c>
      <c r="AQ35" s="27">
        <f t="shared" si="94"/>
        <v>0</v>
      </c>
      <c r="AR35" s="27">
        <f t="shared" si="94"/>
        <v>0</v>
      </c>
      <c r="AS35" s="27">
        <f t="shared" si="94"/>
        <v>21521.9</v>
      </c>
      <c r="AT35" s="27">
        <f t="shared" si="94"/>
        <v>309123</v>
      </c>
      <c r="AU35" s="27">
        <f t="shared" si="94"/>
        <v>1925393.0899999999</v>
      </c>
      <c r="AV35" s="27">
        <f t="shared" si="94"/>
        <v>5102.55</v>
      </c>
      <c r="AW35" s="27">
        <f t="shared" si="94"/>
        <v>0</v>
      </c>
      <c r="AX35" s="27">
        <f t="shared" si="94"/>
        <v>-1.1641532182693481E-10</v>
      </c>
      <c r="AY35" s="27">
        <f t="shared" si="94"/>
        <v>2883.65</v>
      </c>
      <c r="AZ35" s="27">
        <f t="shared" si="94"/>
        <v>422904.05</v>
      </c>
      <c r="BA35" s="27">
        <f t="shared" si="94"/>
        <v>0</v>
      </c>
      <c r="BB35" s="27">
        <f t="shared" si="94"/>
        <v>0</v>
      </c>
      <c r="BC35" s="27">
        <f t="shared" si="94"/>
        <v>0</v>
      </c>
      <c r="BD35" s="27">
        <f t="shared" si="94"/>
        <v>0</v>
      </c>
      <c r="BE35" s="27">
        <f t="shared" si="94"/>
        <v>0</v>
      </c>
      <c r="BF35" s="27">
        <f t="shared" si="94"/>
        <v>520337.39999999997</v>
      </c>
      <c r="BG35" s="27">
        <f t="shared" si="94"/>
        <v>0</v>
      </c>
      <c r="BH35" s="27">
        <f t="shared" si="94"/>
        <v>4862</v>
      </c>
      <c r="BI35" s="27">
        <f t="shared" si="94"/>
        <v>0</v>
      </c>
      <c r="BJ35" s="27">
        <f t="shared" si="94"/>
        <v>0</v>
      </c>
      <c r="BK35" s="27">
        <f t="shared" si="94"/>
        <v>0</v>
      </c>
      <c r="BL35" s="27">
        <f t="shared" si="94"/>
        <v>0</v>
      </c>
      <c r="BM35" s="27">
        <f t="shared" si="94"/>
        <v>103000</v>
      </c>
      <c r="BN35" s="27">
        <f t="shared" si="94"/>
        <v>0</v>
      </c>
      <c r="BO35" s="27">
        <f t="shared" si="94"/>
        <v>229167.1</v>
      </c>
      <c r="BP35" s="27">
        <f t="shared" si="94"/>
        <v>173606.35</v>
      </c>
      <c r="BQ35" s="27">
        <f t="shared" si="94"/>
        <v>0</v>
      </c>
      <c r="BR35" s="27">
        <f t="shared" si="94"/>
        <v>520337.4</v>
      </c>
      <c r="BS35" s="27">
        <f t="shared" si="94"/>
        <v>0</v>
      </c>
      <c r="BT35" s="27">
        <f t="shared" si="94"/>
        <v>3205488.05</v>
      </c>
      <c r="BU35" s="27">
        <f aca="true" t="shared" si="95" ref="BU35:DK35">MEDIAN(BU3:BU31)</f>
        <v>911131.15</v>
      </c>
      <c r="BV35" s="27">
        <f t="shared" si="95"/>
        <v>0</v>
      </c>
      <c r="BW35" s="27">
        <f t="shared" si="95"/>
        <v>0</v>
      </c>
      <c r="BX35" s="27">
        <f t="shared" si="95"/>
        <v>4606745</v>
      </c>
      <c r="BY35" s="27">
        <f t="shared" si="95"/>
        <v>3041606</v>
      </c>
      <c r="BZ35" s="27">
        <f t="shared" si="95"/>
        <v>1159946.2</v>
      </c>
      <c r="CA35" s="27">
        <f t="shared" si="95"/>
        <v>536635.29</v>
      </c>
      <c r="CB35" s="27">
        <f t="shared" si="95"/>
        <v>4606745</v>
      </c>
      <c r="CC35" s="27">
        <f t="shared" si="95"/>
        <v>0</v>
      </c>
      <c r="CD35" s="27">
        <f t="shared" si="95"/>
        <v>247236.31</v>
      </c>
      <c r="CE35" s="27">
        <f t="shared" si="95"/>
        <v>294519.1</v>
      </c>
      <c r="CF35" s="27">
        <f t="shared" si="95"/>
        <v>234012.3</v>
      </c>
      <c r="CG35" s="27">
        <f t="shared" si="95"/>
        <v>1694638.9500000002</v>
      </c>
      <c r="CH35" s="27">
        <f t="shared" si="95"/>
        <v>-8584.3</v>
      </c>
      <c r="CI35" s="27">
        <f t="shared" si="95"/>
        <v>75530.85</v>
      </c>
      <c r="CJ35" s="94">
        <f t="shared" si="95"/>
        <v>1.0017993734820543</v>
      </c>
      <c r="CK35" s="94">
        <f>MEDIAN(CK3:CK31)</f>
        <v>1.146180114618927</v>
      </c>
      <c r="CL35" s="94">
        <f t="shared" si="95"/>
        <v>0.13667491700616116</v>
      </c>
      <c r="CM35" s="94">
        <f t="shared" si="95"/>
        <v>0.15472059880579458</v>
      </c>
      <c r="CN35" s="94">
        <f t="shared" si="95"/>
        <v>-0.007838181608496425</v>
      </c>
      <c r="CO35" s="94">
        <f t="shared" si="95"/>
        <v>0.05707346105992907</v>
      </c>
      <c r="CP35" s="94">
        <f t="shared" si="95"/>
        <v>0.2248950238736767</v>
      </c>
      <c r="CQ35" s="94">
        <f t="shared" si="95"/>
        <v>0.10834420835432837</v>
      </c>
      <c r="CR35" s="27">
        <f t="shared" si="95"/>
        <v>1.8164369632788724</v>
      </c>
      <c r="CS35" s="27">
        <f t="shared" si="95"/>
        <v>452406.71999999974</v>
      </c>
      <c r="CT35" s="27">
        <f t="shared" si="95"/>
        <v>1741436.75</v>
      </c>
      <c r="CU35" s="27">
        <f t="shared" si="95"/>
        <v>1925393.0899999999</v>
      </c>
      <c r="CV35" s="27">
        <f t="shared" si="95"/>
        <v>245573.10000000033</v>
      </c>
      <c r="CW35" s="27">
        <f t="shared" si="95"/>
        <v>0</v>
      </c>
      <c r="CX35" s="27">
        <f t="shared" si="95"/>
        <v>247236.41000000061</v>
      </c>
      <c r="CY35" s="27">
        <f t="shared" si="95"/>
        <v>5102.549999999879</v>
      </c>
      <c r="CZ35" s="27">
        <f t="shared" si="95"/>
        <v>234012.3</v>
      </c>
      <c r="DA35" s="27">
        <f t="shared" si="95"/>
        <v>310220.8</v>
      </c>
      <c r="DB35" s="27">
        <f t="shared" si="95"/>
        <v>16203.99999999989</v>
      </c>
      <c r="DC35" s="27">
        <f t="shared" si="95"/>
        <v>-456310.85</v>
      </c>
      <c r="DD35" s="27">
        <f t="shared" si="95"/>
        <v>5102.549999999872</v>
      </c>
      <c r="DE35" s="27">
        <f t="shared" si="95"/>
        <v>534717</v>
      </c>
      <c r="DF35" s="27">
        <f t="shared" si="95"/>
        <v>904.2420390070923</v>
      </c>
      <c r="DG35" s="27">
        <f t="shared" si="95"/>
        <v>-20.901632511288653</v>
      </c>
      <c r="DH35" s="27">
        <f t="shared" si="95"/>
        <v>995.1291208791209</v>
      </c>
      <c r="DI35" s="27">
        <f t="shared" si="95"/>
        <v>263.12005679801206</v>
      </c>
      <c r="DJ35" s="27">
        <f t="shared" si="95"/>
        <v>40.50999999999973</v>
      </c>
      <c r="DK35" s="27">
        <f t="shared" si="95"/>
        <v>-244938.07999999996</v>
      </c>
      <c r="DL35" s="29" t="e">
        <f>MEDIAN(DL3:DL31)</f>
        <v>#NUM!</v>
      </c>
      <c r="DM35" s="29" t="e">
        <f>MEDIAN(DM3:DM31)</f>
        <v>#NUM!</v>
      </c>
      <c r="DN35" s="30" t="e">
        <f>MEDIAN(DN3:DN31)</f>
        <v>#NUM!</v>
      </c>
    </row>
    <row r="37" spans="1:118" s="9" customFormat="1" ht="12.75">
      <c r="A37" s="3" t="s">
        <v>247</v>
      </c>
      <c r="B37" s="17">
        <f>SUM(B3:B31)</f>
        <v>38305</v>
      </c>
      <c r="C37" s="17">
        <f aca="true" t="shared" si="96" ref="C37:BN37">SUM(C3:C31)</f>
        <v>132077817</v>
      </c>
      <c r="D37" s="17">
        <f>D35</f>
        <v>2655.65</v>
      </c>
      <c r="E37" s="146">
        <f>E35</f>
        <v>77.02</v>
      </c>
      <c r="F37" s="17">
        <f t="shared" si="96"/>
        <v>165</v>
      </c>
      <c r="G37" s="17">
        <f t="shared" si="96"/>
        <v>27630212.95</v>
      </c>
      <c r="H37" s="17">
        <f t="shared" si="96"/>
        <v>30472596.009999998</v>
      </c>
      <c r="I37" s="17">
        <f t="shared" si="96"/>
        <v>3629152.2600000002</v>
      </c>
      <c r="J37" s="17">
        <f t="shared" si="96"/>
        <v>1035650.8500000001</v>
      </c>
      <c r="K37" s="17">
        <f t="shared" si="96"/>
        <v>7701462.350000001</v>
      </c>
      <c r="L37" s="17">
        <f t="shared" si="96"/>
        <v>7099649.989999999</v>
      </c>
      <c r="M37" s="17">
        <f t="shared" si="96"/>
        <v>14801112.34</v>
      </c>
      <c r="N37" s="17">
        <f t="shared" si="96"/>
        <v>321036.7</v>
      </c>
      <c r="O37" s="17">
        <f t="shared" si="96"/>
        <v>3984703.25</v>
      </c>
      <c r="P37" s="17">
        <f t="shared" si="96"/>
        <v>9847378.4</v>
      </c>
      <c r="Q37" s="17">
        <f t="shared" si="96"/>
        <v>626184.5499999999</v>
      </c>
      <c r="R37" s="17">
        <f t="shared" si="96"/>
        <v>1925261.96</v>
      </c>
      <c r="S37" s="17">
        <f t="shared" si="96"/>
        <v>188656</v>
      </c>
      <c r="T37" s="17">
        <f t="shared" si="96"/>
        <v>1167000.5</v>
      </c>
      <c r="U37" s="17">
        <f t="shared" si="96"/>
        <v>13000</v>
      </c>
      <c r="V37" s="17">
        <f t="shared" si="96"/>
        <v>0</v>
      </c>
      <c r="W37" s="17">
        <f t="shared" si="96"/>
        <v>3293918.46</v>
      </c>
      <c r="X37" s="17">
        <f t="shared" si="96"/>
        <v>15197285.94</v>
      </c>
      <c r="Y37" s="17">
        <f t="shared" si="96"/>
        <v>110839231.70999998</v>
      </c>
      <c r="Z37" s="17">
        <f t="shared" si="96"/>
        <v>33220397.6</v>
      </c>
      <c r="AA37" s="17">
        <f t="shared" si="96"/>
        <v>5162496.15</v>
      </c>
      <c r="AB37" s="17">
        <f t="shared" si="96"/>
        <v>712573.0499999998</v>
      </c>
      <c r="AC37" s="17">
        <f t="shared" si="96"/>
        <v>0</v>
      </c>
      <c r="AD37" s="17">
        <f t="shared" si="96"/>
        <v>411798.6999999999</v>
      </c>
      <c r="AE37" s="17">
        <f t="shared" si="96"/>
        <v>39507265.50000001</v>
      </c>
      <c r="AF37" s="17">
        <f t="shared" si="96"/>
        <v>745860.3</v>
      </c>
      <c r="AG37" s="17">
        <f t="shared" si="96"/>
        <v>6520529.500000001</v>
      </c>
      <c r="AH37" s="17">
        <f t="shared" si="96"/>
        <v>185720</v>
      </c>
      <c r="AI37" s="17">
        <f t="shared" si="96"/>
        <v>32843143.459999997</v>
      </c>
      <c r="AJ37" s="17">
        <f t="shared" si="96"/>
        <v>3756429.2499999995</v>
      </c>
      <c r="AK37" s="17">
        <f t="shared" si="96"/>
        <v>2526239.9499999993</v>
      </c>
      <c r="AL37" s="17">
        <f t="shared" si="96"/>
        <v>7234024.59</v>
      </c>
      <c r="AM37" s="17">
        <f t="shared" si="96"/>
        <v>566600.45</v>
      </c>
      <c r="AN37" s="17">
        <f t="shared" si="96"/>
        <v>751336.1</v>
      </c>
      <c r="AO37" s="17">
        <f t="shared" si="96"/>
        <v>120801.55</v>
      </c>
      <c r="AP37" s="17">
        <f t="shared" si="96"/>
        <v>1065648.85</v>
      </c>
      <c r="AQ37" s="17">
        <f t="shared" si="96"/>
        <v>24950.75</v>
      </c>
      <c r="AR37" s="17">
        <f t="shared" si="96"/>
        <v>69030.45</v>
      </c>
      <c r="AS37" s="17">
        <f t="shared" si="96"/>
        <v>2031767.7</v>
      </c>
      <c r="AT37" s="17">
        <f t="shared" si="96"/>
        <v>15443724.090000002</v>
      </c>
      <c r="AU37" s="17">
        <f t="shared" si="96"/>
        <v>111175584.79</v>
      </c>
      <c r="AV37" s="17">
        <f t="shared" si="96"/>
        <v>913352.4800000001</v>
      </c>
      <c r="AW37" s="17">
        <f t="shared" si="96"/>
        <v>576999.5</v>
      </c>
      <c r="AX37" s="4">
        <f>Y37-AU37+AV37-AW37</f>
        <v>-0.10000002791639417</v>
      </c>
      <c r="AY37" s="17">
        <f t="shared" si="96"/>
        <v>2698641.8499999996</v>
      </c>
      <c r="AZ37" s="17">
        <f t="shared" si="96"/>
        <v>26223072.34</v>
      </c>
      <c r="BA37" s="17">
        <f t="shared" si="96"/>
        <v>24978.75</v>
      </c>
      <c r="BB37" s="17">
        <f t="shared" si="96"/>
        <v>94638.95</v>
      </c>
      <c r="BC37" s="17">
        <f t="shared" si="96"/>
        <v>166612.30000000002</v>
      </c>
      <c r="BD37" s="17">
        <f t="shared" si="96"/>
        <v>0</v>
      </c>
      <c r="BE37" s="17">
        <f t="shared" si="96"/>
        <v>663186.2999999999</v>
      </c>
      <c r="BF37" s="17">
        <f t="shared" si="96"/>
        <v>27172488.640000008</v>
      </c>
      <c r="BG37" s="17">
        <f t="shared" si="96"/>
        <v>1030546.2</v>
      </c>
      <c r="BH37" s="17">
        <f t="shared" si="96"/>
        <v>1643040.35</v>
      </c>
      <c r="BI37" s="17">
        <f t="shared" si="96"/>
        <v>0</v>
      </c>
      <c r="BJ37" s="17">
        <f t="shared" si="96"/>
        <v>188043.95</v>
      </c>
      <c r="BK37" s="17">
        <f t="shared" si="96"/>
        <v>4000</v>
      </c>
      <c r="BL37" s="17">
        <f t="shared" si="96"/>
        <v>1765723.55</v>
      </c>
      <c r="BM37" s="17">
        <f t="shared" si="96"/>
        <v>6897842.15</v>
      </c>
      <c r="BN37" s="17">
        <f t="shared" si="96"/>
        <v>25000</v>
      </c>
      <c r="BO37" s="17">
        <f>SUM(BO3:BO31)</f>
        <v>11554196.200000001</v>
      </c>
      <c r="BP37" s="17">
        <f>SUM(BP3:BP31)</f>
        <v>10358562</v>
      </c>
      <c r="BQ37" s="17">
        <f>SUM(BQ3:BQ31)</f>
        <v>540512.4</v>
      </c>
      <c r="BR37" s="17">
        <f>SUM(BR3:BR31)</f>
        <v>26517366.79</v>
      </c>
      <c r="BS37" s="43">
        <f>+BF37-BO37+BP37+BQ37-BR37</f>
        <v>0.05000000447034836</v>
      </c>
      <c r="BT37" s="17">
        <f aca="true" t="shared" si="97" ref="BT37:CB37">SUM(BT3:BT31)</f>
        <v>187826568.46999997</v>
      </c>
      <c r="BU37" s="17">
        <f t="shared" si="97"/>
        <v>81316504.59000002</v>
      </c>
      <c r="BV37" s="17">
        <f t="shared" si="97"/>
        <v>1132923.25</v>
      </c>
      <c r="BW37" s="17">
        <f t="shared" si="97"/>
        <v>2034389.1300000001</v>
      </c>
      <c r="BX37" s="17">
        <f t="shared" si="97"/>
        <v>272310385.44</v>
      </c>
      <c r="BY37" s="17">
        <f t="shared" si="97"/>
        <v>165515789.72000003</v>
      </c>
      <c r="BZ37" s="17">
        <f t="shared" si="97"/>
        <v>49209502.39</v>
      </c>
      <c r="CA37" s="17">
        <f t="shared" si="97"/>
        <v>57585093.32999999</v>
      </c>
      <c r="CB37" s="17">
        <f t="shared" si="97"/>
        <v>272310385.44</v>
      </c>
      <c r="CC37" s="4">
        <f>BX37-CB37</f>
        <v>0</v>
      </c>
      <c r="CD37" s="74">
        <f>K37+L37+AV37-AW37</f>
        <v>15137465.32</v>
      </c>
      <c r="CE37" s="76">
        <f>CD37+W37-AS37</f>
        <v>16399616.080000002</v>
      </c>
      <c r="CF37" s="76">
        <f>BR37-BP37</f>
        <v>16158804.79</v>
      </c>
      <c r="CG37" s="76">
        <f>AU37-AM37-AT37-AS37</f>
        <v>93133492.55</v>
      </c>
      <c r="CH37" s="76">
        <f>I37-AG37+AY37+AH37+BQ37</f>
        <v>533497.009999999</v>
      </c>
      <c r="CI37" s="37">
        <f>CH37+K37</f>
        <v>8234959.359999999</v>
      </c>
      <c r="CJ37" s="59">
        <f>CD37/CF37</f>
        <v>0.9367936253161457</v>
      </c>
      <c r="CK37" s="140">
        <f>CE37/CF37</f>
        <v>1.0149027909631676</v>
      </c>
      <c r="CL37" s="64">
        <f>CD37/CG37*1</f>
        <v>0.1625351407483537</v>
      </c>
      <c r="CM37" s="64">
        <f>CE37/CG37</f>
        <v>0.17608720161756677</v>
      </c>
      <c r="CN37" s="64">
        <f>CH37/CG37</f>
        <v>0.005728304559324711</v>
      </c>
      <c r="CO37" s="64">
        <f>CI37/CG37</f>
        <v>0.08842103022797033</v>
      </c>
      <c r="CP37" s="64">
        <f>(K37+L37)/(BU37+K37+L37)</f>
        <v>0.1539895891382666</v>
      </c>
      <c r="CQ37" s="64">
        <f>(K37)/(BU37+K37+L37)</f>
        <v>0.0801253984023426</v>
      </c>
      <c r="CR37" s="75">
        <f>CS37/CE37</f>
        <v>1.3604451861046212</v>
      </c>
      <c r="CS37" s="76">
        <f>BT37-BY37</f>
        <v>22310778.74999994</v>
      </c>
      <c r="CT37" s="80">
        <f>Y37-K37-L37-V37</f>
        <v>96038119.36999999</v>
      </c>
      <c r="CU37" s="80">
        <f>AU37-AR37</f>
        <v>111106554.34</v>
      </c>
      <c r="CV37" s="80">
        <f>CU37-CT37</f>
        <v>15068434.970000014</v>
      </c>
      <c r="CW37" s="80">
        <f>-V37+AR37</f>
        <v>69030.45</v>
      </c>
      <c r="CX37" s="80">
        <f>CV37+CW37</f>
        <v>15137465.420000013</v>
      </c>
      <c r="CY37" s="80">
        <f>CX37-K37-L37</f>
        <v>336353.0800000131</v>
      </c>
      <c r="CZ37" s="80">
        <f>BR37-BP37</f>
        <v>16158804.79</v>
      </c>
      <c r="DA37" s="80">
        <f>K37+L37</f>
        <v>14801112.34</v>
      </c>
      <c r="DB37" s="80">
        <f>-CZ37+DA37+CY37</f>
        <v>-1021339.3699999861</v>
      </c>
      <c r="DC37" s="80">
        <f>-BP37-DA37</f>
        <v>-25159674.34</v>
      </c>
      <c r="DD37" s="80">
        <f>DB37+DC37+BR37</f>
        <v>336353.0800000131</v>
      </c>
      <c r="DE37" s="80">
        <f>Z37+AA37+AB37</f>
        <v>39095466.8</v>
      </c>
      <c r="DF37" s="80">
        <f>CS37/B37</f>
        <v>582.4508223469505</v>
      </c>
      <c r="DG37" s="80">
        <f>CH37/B37</f>
        <v>13.927607623025688</v>
      </c>
      <c r="DH37" s="80">
        <f>DE37/B37</f>
        <v>1020.6361258321367</v>
      </c>
      <c r="DI37" s="81">
        <f>CZ37/B37</f>
        <v>421.8458370969847</v>
      </c>
      <c r="DJ37" s="76">
        <f>DB37/B37</f>
        <v>-26.663343427750586</v>
      </c>
      <c r="DK37" s="147">
        <f>CA37-BW37-BU37</f>
        <v>-25765800.39000003</v>
      </c>
      <c r="DL37" s="67"/>
      <c r="DM37" s="67"/>
      <c r="DN37" s="68"/>
    </row>
    <row r="60" spans="1:115" ht="12.75">
      <c r="A60" s="3" t="s">
        <v>252</v>
      </c>
      <c r="B60" s="62">
        <f>B10+B20+B26</f>
        <v>1433</v>
      </c>
      <c r="C60" s="62">
        <f aca="true" t="shared" si="98" ref="C60:BN60">C10+C20+C26</f>
        <v>3141171</v>
      </c>
      <c r="D60" s="62">
        <f>(D10+D20+D26)/3</f>
        <v>2195.8633333333332</v>
      </c>
      <c r="E60" s="62">
        <f>(E10+E20+E26)/3</f>
        <v>63.68666666666667</v>
      </c>
      <c r="F60" s="62">
        <f>(F10+F20+F26)/3</f>
        <v>8</v>
      </c>
      <c r="G60" s="19">
        <f t="shared" si="98"/>
        <v>1463987.9</v>
      </c>
      <c r="H60" s="19">
        <f t="shared" si="98"/>
        <v>1148490.5</v>
      </c>
      <c r="I60" s="19">
        <f t="shared" si="98"/>
        <v>116154.45000000001</v>
      </c>
      <c r="J60" s="19">
        <f t="shared" si="98"/>
        <v>4700</v>
      </c>
      <c r="K60" s="19">
        <f t="shared" si="98"/>
        <v>270384.3</v>
      </c>
      <c r="L60" s="19">
        <f t="shared" si="98"/>
        <v>299781.8</v>
      </c>
      <c r="M60" s="19">
        <f t="shared" si="98"/>
        <v>570166.1</v>
      </c>
      <c r="N60" s="19">
        <f t="shared" si="98"/>
        <v>0</v>
      </c>
      <c r="O60" s="19">
        <f t="shared" si="98"/>
        <v>218714.95</v>
      </c>
      <c r="P60" s="19">
        <f t="shared" si="98"/>
        <v>417756.25</v>
      </c>
      <c r="Q60" s="19">
        <f t="shared" si="98"/>
        <v>11506.15</v>
      </c>
      <c r="R60" s="19">
        <f t="shared" si="98"/>
        <v>81723.8</v>
      </c>
      <c r="S60" s="19">
        <f t="shared" si="98"/>
        <v>80417.65</v>
      </c>
      <c r="T60" s="19">
        <f t="shared" si="98"/>
        <v>125266</v>
      </c>
      <c r="U60" s="19">
        <f t="shared" si="98"/>
        <v>0</v>
      </c>
      <c r="V60" s="19">
        <f t="shared" si="98"/>
        <v>0</v>
      </c>
      <c r="W60" s="19">
        <f t="shared" si="98"/>
        <v>287407.44999999995</v>
      </c>
      <c r="X60" s="19">
        <f t="shared" si="98"/>
        <v>474740.35</v>
      </c>
      <c r="Y60" s="19">
        <f t="shared" si="98"/>
        <v>4713624.1</v>
      </c>
      <c r="Z60" s="19">
        <f t="shared" si="98"/>
        <v>1280002.0499999998</v>
      </c>
      <c r="AA60" s="19">
        <f t="shared" si="98"/>
        <v>77381.85</v>
      </c>
      <c r="AB60" s="19">
        <f t="shared" si="98"/>
        <v>42681</v>
      </c>
      <c r="AC60" s="19">
        <f t="shared" si="98"/>
        <v>0</v>
      </c>
      <c r="AD60" s="19">
        <f t="shared" si="98"/>
        <v>55626.3</v>
      </c>
      <c r="AE60" s="19">
        <f t="shared" si="98"/>
        <v>1455691.1999999997</v>
      </c>
      <c r="AF60" s="19">
        <f t="shared" si="98"/>
        <v>409.2</v>
      </c>
      <c r="AG60" s="19">
        <f t="shared" si="98"/>
        <v>495756.5</v>
      </c>
      <c r="AH60" s="19">
        <f t="shared" si="98"/>
        <v>0</v>
      </c>
      <c r="AI60" s="19">
        <f t="shared" si="98"/>
        <v>1580212.34</v>
      </c>
      <c r="AJ60" s="19">
        <f t="shared" si="98"/>
        <v>108459</v>
      </c>
      <c r="AK60" s="19">
        <f t="shared" si="98"/>
        <v>146178.90000000002</v>
      </c>
      <c r="AL60" s="19">
        <f t="shared" si="98"/>
        <v>362796.25</v>
      </c>
      <c r="AM60" s="19">
        <f t="shared" si="98"/>
        <v>12226.15</v>
      </c>
      <c r="AN60" s="19">
        <f t="shared" si="98"/>
        <v>123576.90000000001</v>
      </c>
      <c r="AO60" s="19">
        <f t="shared" si="98"/>
        <v>13729.5</v>
      </c>
      <c r="AP60" s="19">
        <f t="shared" si="98"/>
        <v>9702.95</v>
      </c>
      <c r="AQ60" s="19">
        <f t="shared" si="98"/>
        <v>0</v>
      </c>
      <c r="AR60" s="19">
        <f t="shared" si="98"/>
        <v>0</v>
      </c>
      <c r="AS60" s="19">
        <f t="shared" si="98"/>
        <v>147009.35</v>
      </c>
      <c r="AT60" s="19">
        <f t="shared" si="98"/>
        <v>469880.14999999997</v>
      </c>
      <c r="AU60" s="19">
        <f t="shared" si="98"/>
        <v>4778619.04</v>
      </c>
      <c r="AV60" s="19">
        <f t="shared" si="98"/>
        <v>64994.94</v>
      </c>
      <c r="AW60" s="19">
        <f t="shared" si="98"/>
        <v>0</v>
      </c>
      <c r="AX60" s="19">
        <f t="shared" si="98"/>
        <v>-4.0745362639427185E-10</v>
      </c>
      <c r="AY60" s="19">
        <f t="shared" si="98"/>
        <v>3178.4</v>
      </c>
      <c r="AZ60" s="19">
        <f t="shared" si="98"/>
        <v>493124.4</v>
      </c>
      <c r="BA60" s="19">
        <f t="shared" si="98"/>
        <v>0</v>
      </c>
      <c r="BB60" s="19">
        <f t="shared" si="98"/>
        <v>0</v>
      </c>
      <c r="BC60" s="19">
        <f t="shared" si="98"/>
        <v>0</v>
      </c>
      <c r="BD60" s="19">
        <f t="shared" si="98"/>
        <v>0</v>
      </c>
      <c r="BE60" s="19">
        <f t="shared" si="98"/>
        <v>2257.5</v>
      </c>
      <c r="BF60" s="19">
        <f t="shared" si="98"/>
        <v>495381.9</v>
      </c>
      <c r="BG60" s="19">
        <f t="shared" si="98"/>
        <v>9724</v>
      </c>
      <c r="BH60" s="19">
        <f t="shared" si="98"/>
        <v>4862</v>
      </c>
      <c r="BI60" s="19">
        <f t="shared" si="98"/>
        <v>0</v>
      </c>
      <c r="BJ60" s="19">
        <f t="shared" si="98"/>
        <v>149955.95</v>
      </c>
      <c r="BK60" s="19">
        <f t="shared" si="98"/>
        <v>0</v>
      </c>
      <c r="BL60" s="19">
        <f t="shared" si="98"/>
        <v>55825</v>
      </c>
      <c r="BM60" s="19">
        <f t="shared" si="98"/>
        <v>198582.5</v>
      </c>
      <c r="BN60" s="19">
        <f t="shared" si="98"/>
        <v>0</v>
      </c>
      <c r="BO60" s="19">
        <f aca="true" t="shared" si="99" ref="BO60:CI60">BO10+BO20+BO26</f>
        <v>418949.45</v>
      </c>
      <c r="BP60" s="19">
        <f t="shared" si="99"/>
        <v>375227.8</v>
      </c>
      <c r="BQ60" s="19">
        <f t="shared" si="99"/>
        <v>43721.65</v>
      </c>
      <c r="BR60" s="19">
        <f t="shared" si="99"/>
        <v>495381.9</v>
      </c>
      <c r="BS60" s="19">
        <f t="shared" si="99"/>
        <v>0</v>
      </c>
      <c r="BT60" s="19">
        <f t="shared" si="99"/>
        <v>10377139.23</v>
      </c>
      <c r="BU60" s="19">
        <f t="shared" si="99"/>
        <v>1950104.8499999999</v>
      </c>
      <c r="BV60" s="19">
        <f t="shared" si="99"/>
        <v>79364.65000000001</v>
      </c>
      <c r="BW60" s="19">
        <f t="shared" si="99"/>
        <v>0</v>
      </c>
      <c r="BX60" s="19">
        <f t="shared" si="99"/>
        <v>12406608.73</v>
      </c>
      <c r="BY60" s="19">
        <f t="shared" si="99"/>
        <v>8016075.35</v>
      </c>
      <c r="BZ60" s="19">
        <f t="shared" si="99"/>
        <v>3114658.3</v>
      </c>
      <c r="CA60" s="19">
        <f t="shared" si="99"/>
        <v>1275875.08</v>
      </c>
      <c r="CB60" s="19">
        <f t="shared" si="99"/>
        <v>12406608.729999999</v>
      </c>
      <c r="CC60" s="19">
        <f t="shared" si="99"/>
        <v>0</v>
      </c>
      <c r="CD60" s="19">
        <f t="shared" si="99"/>
        <v>635161.04</v>
      </c>
      <c r="CE60" s="19">
        <f t="shared" si="99"/>
        <v>775559.1399999999</v>
      </c>
      <c r="CF60" s="19">
        <f t="shared" si="99"/>
        <v>120154.1</v>
      </c>
      <c r="CG60" s="19">
        <f t="shared" si="99"/>
        <v>4149503.3899999997</v>
      </c>
      <c r="CH60" s="19">
        <f t="shared" si="99"/>
        <v>-332702</v>
      </c>
      <c r="CI60" s="19">
        <f t="shared" si="99"/>
        <v>-62317.70000000002</v>
      </c>
      <c r="CJ60" s="154">
        <f aca="true" t="shared" si="100" ref="CJ60:CJ65">CD60/CF60</f>
        <v>5.286220278791984</v>
      </c>
      <c r="CK60" s="154">
        <f aca="true" t="shared" si="101" ref="CK60:CK65">CE60/CF60</f>
        <v>6.454703917718994</v>
      </c>
      <c r="CL60" s="154">
        <f aca="true" t="shared" si="102" ref="CL60:CL65">CD60/CG60*1</f>
        <v>0.1530691700435025</v>
      </c>
      <c r="CM60" s="154">
        <f aca="true" t="shared" si="103" ref="CM60:CM65">CE60/CG60</f>
        <v>0.18690408637068254</v>
      </c>
      <c r="CN60" s="154">
        <f aca="true" t="shared" si="104" ref="CN60:CN65">CH60/CG60</f>
        <v>-0.08017875122160101</v>
      </c>
      <c r="CO60" s="154">
        <f aca="true" t="shared" si="105" ref="CO60:CO65">CI60/CG60</f>
        <v>-0.015018110396097309</v>
      </c>
      <c r="CP60" s="154">
        <f aca="true" t="shared" si="106" ref="CP60:CP65">(K60+L60)/(BU60+K60+L60)</f>
        <v>0.22623206445322874</v>
      </c>
      <c r="CQ60" s="154">
        <f aca="true" t="shared" si="107" ref="CQ60:CQ65">(K60)/(BU60+K60+L60)</f>
        <v>0.10728382200334453</v>
      </c>
      <c r="CR60" s="19">
        <f aca="true" t="shared" si="108" ref="CR60:CR65">CS60/CE60</f>
        <v>3.044337637488227</v>
      </c>
      <c r="CS60" s="19">
        <f aca="true" t="shared" si="109" ref="CS60:CS65">BT60-BY60</f>
        <v>2361063.880000001</v>
      </c>
      <c r="CT60" s="19">
        <f aca="true" t="shared" si="110" ref="CT60:CT65">Y60-K60-L60-V60</f>
        <v>4143458</v>
      </c>
      <c r="CU60" s="19">
        <f aca="true" t="shared" si="111" ref="CU60:CU65">AU60-AR60</f>
        <v>4778619.04</v>
      </c>
      <c r="CV60" s="19">
        <f aca="true" t="shared" si="112" ref="CV60:CV65">CU60-CT60</f>
        <v>635161.04</v>
      </c>
      <c r="CW60" s="19">
        <f aca="true" t="shared" si="113" ref="CW60:CW65">-V60+AR60</f>
        <v>0</v>
      </c>
      <c r="CX60" s="19">
        <f aca="true" t="shared" si="114" ref="CX60:CX65">CV60+CW60</f>
        <v>635161.04</v>
      </c>
      <c r="CY60" s="19">
        <f aca="true" t="shared" si="115" ref="CY60:CY65">CX60-K60-L60</f>
        <v>64994.94000000006</v>
      </c>
      <c r="CZ60" s="19">
        <f aca="true" t="shared" si="116" ref="CZ60:CZ65">BR60-BP60</f>
        <v>120154.10000000003</v>
      </c>
      <c r="DA60" s="19">
        <f aca="true" t="shared" si="117" ref="DA60:DA65">K60+L60</f>
        <v>570166.1</v>
      </c>
      <c r="DB60" s="19">
        <f aca="true" t="shared" si="118" ref="DB60:DB65">-CZ60+DA60+CY60</f>
        <v>515006.94</v>
      </c>
      <c r="DC60" s="19">
        <f aca="true" t="shared" si="119" ref="DC60:DC65">-BP60-DA60</f>
        <v>-945393.8999999999</v>
      </c>
      <c r="DD60" s="19">
        <f aca="true" t="shared" si="120" ref="DD60:DD65">DB60+DC60+BR60</f>
        <v>64994.94000000012</v>
      </c>
      <c r="DE60" s="19">
        <f aca="true" t="shared" si="121" ref="DE60:DE65">Z60+AA60+AB60</f>
        <v>1400064.9</v>
      </c>
      <c r="DF60" s="19">
        <f aca="true" t="shared" si="122" ref="DF60:DF65">CS60/B60</f>
        <v>1647.6370411723663</v>
      </c>
      <c r="DG60" s="19">
        <f aca="true" t="shared" si="123" ref="DG60:DG65">CH60/B60</f>
        <v>-232.17166782972785</v>
      </c>
      <c r="DH60" s="19">
        <f aca="true" t="shared" si="124" ref="DH60:DH65">DE60/B60</f>
        <v>977.0166782972784</v>
      </c>
      <c r="DI60" s="19">
        <f aca="true" t="shared" si="125" ref="DI60:DI65">CZ60/B60</f>
        <v>83.84794138171671</v>
      </c>
      <c r="DJ60" s="19">
        <f aca="true" t="shared" si="126" ref="DJ60:DJ65">DB60/B60</f>
        <v>359.39074668527564</v>
      </c>
      <c r="DK60" s="19">
        <f aca="true" t="shared" si="127" ref="DK60:DK65">CA60-BW60-BU60</f>
        <v>-674229.7699999998</v>
      </c>
    </row>
    <row r="61" spans="1:115" ht="12.75">
      <c r="A61" s="3" t="s">
        <v>253</v>
      </c>
      <c r="B61" s="62">
        <f>B4+B19+B21+B24+B25</f>
        <v>14167</v>
      </c>
      <c r="C61" s="62">
        <f aca="true" t="shared" si="128" ref="C61:BN61">C4+C19+C21+C24+C25</f>
        <v>48194322</v>
      </c>
      <c r="D61" s="62">
        <f>(D4+D19+D21+D24+D25)/5</f>
        <v>3174.2380000000003</v>
      </c>
      <c r="E61" s="62">
        <f>(E4+E19+E21+E24+E25)/5</f>
        <v>92.05799999999998</v>
      </c>
      <c r="F61" s="62">
        <f>(F4+F19+F21+F24+F25)/5</f>
        <v>2.6</v>
      </c>
      <c r="G61" s="19">
        <f t="shared" si="128"/>
        <v>9499648.45</v>
      </c>
      <c r="H61" s="19">
        <f t="shared" si="128"/>
        <v>11777306.84</v>
      </c>
      <c r="I61" s="19">
        <f t="shared" si="128"/>
        <v>810445.76</v>
      </c>
      <c r="J61" s="19">
        <f t="shared" si="128"/>
        <v>40487.950000000004</v>
      </c>
      <c r="K61" s="19">
        <f t="shared" si="128"/>
        <v>2687770.75</v>
      </c>
      <c r="L61" s="19">
        <f t="shared" si="128"/>
        <v>1920810.96</v>
      </c>
      <c r="M61" s="19">
        <f t="shared" si="128"/>
        <v>4608581.71</v>
      </c>
      <c r="N61" s="19">
        <f t="shared" si="128"/>
        <v>44517.7</v>
      </c>
      <c r="O61" s="19">
        <f t="shared" si="128"/>
        <v>1532948.05</v>
      </c>
      <c r="P61" s="19">
        <f t="shared" si="128"/>
        <v>3649168.35</v>
      </c>
      <c r="Q61" s="19">
        <f t="shared" si="128"/>
        <v>102508.35</v>
      </c>
      <c r="R61" s="19">
        <f t="shared" si="128"/>
        <v>886327.27</v>
      </c>
      <c r="S61" s="19">
        <f t="shared" si="128"/>
        <v>55144.65</v>
      </c>
      <c r="T61" s="19">
        <f t="shared" si="128"/>
        <v>0</v>
      </c>
      <c r="U61" s="19">
        <f t="shared" si="128"/>
        <v>0</v>
      </c>
      <c r="V61" s="19">
        <f t="shared" si="128"/>
        <v>0</v>
      </c>
      <c r="W61" s="19">
        <f t="shared" si="128"/>
        <v>941471.92</v>
      </c>
      <c r="X61" s="19">
        <f t="shared" si="128"/>
        <v>5564650.660000001</v>
      </c>
      <c r="Y61" s="19">
        <f t="shared" si="128"/>
        <v>38571735.74</v>
      </c>
      <c r="Z61" s="19">
        <f t="shared" si="128"/>
        <v>12419758.899999999</v>
      </c>
      <c r="AA61" s="19">
        <f t="shared" si="128"/>
        <v>2437767.55</v>
      </c>
      <c r="AB61" s="19">
        <f t="shared" si="128"/>
        <v>236742.3</v>
      </c>
      <c r="AC61" s="19">
        <f t="shared" si="128"/>
        <v>0</v>
      </c>
      <c r="AD61" s="19">
        <f t="shared" si="128"/>
        <v>67046.1</v>
      </c>
      <c r="AE61" s="19">
        <f t="shared" si="128"/>
        <v>15161314.850000003</v>
      </c>
      <c r="AF61" s="19">
        <f t="shared" si="128"/>
        <v>112859.35</v>
      </c>
      <c r="AG61" s="19">
        <f t="shared" si="128"/>
        <v>1251575</v>
      </c>
      <c r="AH61" s="19">
        <f t="shared" si="128"/>
        <v>21700</v>
      </c>
      <c r="AI61" s="19">
        <f t="shared" si="128"/>
        <v>12536082.88</v>
      </c>
      <c r="AJ61" s="19">
        <f t="shared" si="128"/>
        <v>817726.75</v>
      </c>
      <c r="AK61" s="19">
        <f t="shared" si="128"/>
        <v>781512.3499999999</v>
      </c>
      <c r="AL61" s="19">
        <f t="shared" si="128"/>
        <v>2200404.89</v>
      </c>
      <c r="AM61" s="19">
        <f t="shared" si="128"/>
        <v>102592.75</v>
      </c>
      <c r="AN61" s="19">
        <f t="shared" si="128"/>
        <v>358001.80000000005</v>
      </c>
      <c r="AO61" s="19">
        <f t="shared" si="128"/>
        <v>18438.9</v>
      </c>
      <c r="AP61" s="19">
        <f t="shared" si="128"/>
        <v>0</v>
      </c>
      <c r="AQ61" s="19">
        <f t="shared" si="128"/>
        <v>0</v>
      </c>
      <c r="AR61" s="19">
        <f t="shared" si="128"/>
        <v>0</v>
      </c>
      <c r="AS61" s="19">
        <f t="shared" si="128"/>
        <v>376440.7</v>
      </c>
      <c r="AT61" s="19">
        <f t="shared" si="128"/>
        <v>5564650.660000001</v>
      </c>
      <c r="AU61" s="19">
        <f t="shared" si="128"/>
        <v>38905160.18</v>
      </c>
      <c r="AV61" s="19">
        <f t="shared" si="128"/>
        <v>430746.08999999997</v>
      </c>
      <c r="AW61" s="19">
        <f t="shared" si="128"/>
        <v>97321.75</v>
      </c>
      <c r="AX61" s="19">
        <f t="shared" si="128"/>
        <v>-0.09999999950173333</v>
      </c>
      <c r="AY61" s="19">
        <f t="shared" si="128"/>
        <v>331144.3</v>
      </c>
      <c r="AZ61" s="19">
        <f t="shared" si="128"/>
        <v>8548114.36</v>
      </c>
      <c r="BA61" s="19">
        <f t="shared" si="128"/>
        <v>24000</v>
      </c>
      <c r="BB61" s="19">
        <f t="shared" si="128"/>
        <v>24495</v>
      </c>
      <c r="BC61" s="19">
        <f t="shared" si="128"/>
        <v>88773.6</v>
      </c>
      <c r="BD61" s="19">
        <f t="shared" si="128"/>
        <v>0</v>
      </c>
      <c r="BE61" s="19">
        <f t="shared" si="128"/>
        <v>103183.95000000001</v>
      </c>
      <c r="BF61" s="19">
        <f t="shared" si="128"/>
        <v>8788566.91</v>
      </c>
      <c r="BG61" s="19">
        <f t="shared" si="128"/>
        <v>0</v>
      </c>
      <c r="BH61" s="19">
        <f t="shared" si="128"/>
        <v>1284561.75</v>
      </c>
      <c r="BI61" s="19">
        <f t="shared" si="128"/>
        <v>0</v>
      </c>
      <c r="BJ61" s="19">
        <f t="shared" si="128"/>
        <v>0</v>
      </c>
      <c r="BK61" s="19">
        <f t="shared" si="128"/>
        <v>0</v>
      </c>
      <c r="BL61" s="19">
        <f t="shared" si="128"/>
        <v>326601.05</v>
      </c>
      <c r="BM61" s="19">
        <f t="shared" si="128"/>
        <v>607797.2</v>
      </c>
      <c r="BN61" s="19">
        <f t="shared" si="128"/>
        <v>0</v>
      </c>
      <c r="BO61" s="19">
        <f aca="true" t="shared" si="129" ref="BO61:CI61">BO4+BO19+BO21+BO24+BO25</f>
        <v>2218960</v>
      </c>
      <c r="BP61" s="19">
        <f t="shared" si="129"/>
        <v>2085234.4500000002</v>
      </c>
      <c r="BQ61" s="19">
        <f t="shared" si="129"/>
        <v>128493.55</v>
      </c>
      <c r="BR61" s="19">
        <f t="shared" si="129"/>
        <v>8783334.91</v>
      </c>
      <c r="BS61" s="19">
        <f t="shared" si="129"/>
        <v>0</v>
      </c>
      <c r="BT61" s="19">
        <f t="shared" si="129"/>
        <v>69672624.21</v>
      </c>
      <c r="BU61" s="19">
        <f t="shared" si="129"/>
        <v>20764354.54</v>
      </c>
      <c r="BV61" s="19">
        <f t="shared" si="129"/>
        <v>72773.84999999999</v>
      </c>
      <c r="BW61" s="19">
        <f t="shared" si="129"/>
        <v>0</v>
      </c>
      <c r="BX61" s="19">
        <f t="shared" si="129"/>
        <v>90509752.60000001</v>
      </c>
      <c r="BY61" s="19">
        <f t="shared" si="129"/>
        <v>49039210.88</v>
      </c>
      <c r="BZ61" s="19">
        <f t="shared" si="129"/>
        <v>15990858.729999999</v>
      </c>
      <c r="CA61" s="19">
        <f t="shared" si="129"/>
        <v>25479682.990000002</v>
      </c>
      <c r="CB61" s="19">
        <f t="shared" si="129"/>
        <v>90509752.60000001</v>
      </c>
      <c r="CC61" s="19">
        <f t="shared" si="129"/>
        <v>0</v>
      </c>
      <c r="CD61" s="19">
        <f t="shared" si="129"/>
        <v>4942006.05</v>
      </c>
      <c r="CE61" s="19">
        <f t="shared" si="129"/>
        <v>5507037.27</v>
      </c>
      <c r="CF61" s="19">
        <f t="shared" si="129"/>
        <v>6698100.46</v>
      </c>
      <c r="CG61" s="19">
        <f t="shared" si="129"/>
        <v>32861476.07</v>
      </c>
      <c r="CH61" s="19">
        <f t="shared" si="129"/>
        <v>40208.60999999991</v>
      </c>
      <c r="CI61" s="19">
        <f t="shared" si="129"/>
        <v>2727979.3600000003</v>
      </c>
      <c r="CJ61" s="154">
        <f t="shared" si="100"/>
        <v>0.7378220257389212</v>
      </c>
      <c r="CK61" s="154">
        <f t="shared" si="101"/>
        <v>0.8221789599733772</v>
      </c>
      <c r="CL61" s="154">
        <f t="shared" si="102"/>
        <v>0.15038904641631942</v>
      </c>
      <c r="CM61" s="154">
        <f t="shared" si="103"/>
        <v>0.16758338116855015</v>
      </c>
      <c r="CN61" s="154">
        <f t="shared" si="104"/>
        <v>0.0012235789382786515</v>
      </c>
      <c r="CO61" s="154">
        <f t="shared" si="105"/>
        <v>0.08301451079644093</v>
      </c>
      <c r="CP61" s="154">
        <f t="shared" si="106"/>
        <v>0.18163375592763725</v>
      </c>
      <c r="CQ61" s="154">
        <f t="shared" si="107"/>
        <v>0.10593061534216404</v>
      </c>
      <c r="CR61" s="19">
        <f t="shared" si="108"/>
        <v>3.746735734367019</v>
      </c>
      <c r="CS61" s="19">
        <f t="shared" si="109"/>
        <v>20633413.32999999</v>
      </c>
      <c r="CT61" s="19">
        <f t="shared" si="110"/>
        <v>33963154.03</v>
      </c>
      <c r="CU61" s="19">
        <f t="shared" si="111"/>
        <v>38905160.18</v>
      </c>
      <c r="CV61" s="19">
        <f t="shared" si="112"/>
        <v>4942006.1499999985</v>
      </c>
      <c r="CW61" s="19">
        <f t="shared" si="113"/>
        <v>0</v>
      </c>
      <c r="CX61" s="19">
        <f t="shared" si="114"/>
        <v>4942006.1499999985</v>
      </c>
      <c r="CY61" s="19">
        <f t="shared" si="115"/>
        <v>333424.43999999855</v>
      </c>
      <c r="CZ61" s="19">
        <f t="shared" si="116"/>
        <v>6698100.46</v>
      </c>
      <c r="DA61" s="19">
        <f t="shared" si="117"/>
        <v>4608581.71</v>
      </c>
      <c r="DB61" s="19">
        <f t="shared" si="118"/>
        <v>-1756094.3100000015</v>
      </c>
      <c r="DC61" s="19">
        <f t="shared" si="119"/>
        <v>-6693816.16</v>
      </c>
      <c r="DD61" s="19">
        <f t="shared" si="120"/>
        <v>333424.4399999976</v>
      </c>
      <c r="DE61" s="19">
        <f t="shared" si="121"/>
        <v>15094268.75</v>
      </c>
      <c r="DF61" s="19">
        <f t="shared" si="122"/>
        <v>1456.4419658360973</v>
      </c>
      <c r="DG61" s="19">
        <f t="shared" si="123"/>
        <v>2.8381880426342847</v>
      </c>
      <c r="DH61" s="19">
        <f t="shared" si="124"/>
        <v>1065.452724641773</v>
      </c>
      <c r="DI61" s="19">
        <f t="shared" si="125"/>
        <v>472.79596668313684</v>
      </c>
      <c r="DJ61" s="19">
        <f t="shared" si="126"/>
        <v>-123.95668172513598</v>
      </c>
      <c r="DK61" s="19">
        <f t="shared" si="127"/>
        <v>4715328.450000003</v>
      </c>
    </row>
    <row r="62" spans="1:115" ht="12.75">
      <c r="A62" s="3" t="s">
        <v>254</v>
      </c>
      <c r="B62" s="62">
        <f>B9+B11+B22+B27</f>
        <v>11827</v>
      </c>
      <c r="C62" s="62">
        <f aca="true" t="shared" si="130" ref="C62:BN62">C9+C11+C22+C27</f>
        <v>43636147</v>
      </c>
      <c r="D62" s="62">
        <f>(D9+D11+D22+D27)/4</f>
        <v>3406.0874999999996</v>
      </c>
      <c r="E62" s="62">
        <f>(E9+E11+E22+E27)/4</f>
        <v>98.78</v>
      </c>
      <c r="F62" s="62">
        <f>(F9+F11+F22+F27)/4</f>
        <v>3.5</v>
      </c>
      <c r="G62" s="19">
        <f t="shared" si="130"/>
        <v>8236164.600000001</v>
      </c>
      <c r="H62" s="19">
        <f t="shared" si="130"/>
        <v>9802167.35</v>
      </c>
      <c r="I62" s="19">
        <f t="shared" si="130"/>
        <v>1362884.55</v>
      </c>
      <c r="J62" s="19">
        <f t="shared" si="130"/>
        <v>544817.9</v>
      </c>
      <c r="K62" s="19">
        <f t="shared" si="130"/>
        <v>2705124.2</v>
      </c>
      <c r="L62" s="19">
        <f t="shared" si="130"/>
        <v>997821.1000000001</v>
      </c>
      <c r="M62" s="19">
        <f t="shared" si="130"/>
        <v>3702945.3</v>
      </c>
      <c r="N62" s="19">
        <f t="shared" si="130"/>
        <v>100000</v>
      </c>
      <c r="O62" s="19">
        <f t="shared" si="130"/>
        <v>989751.8</v>
      </c>
      <c r="P62" s="19">
        <f t="shared" si="130"/>
        <v>2881620</v>
      </c>
      <c r="Q62" s="19">
        <f t="shared" si="130"/>
        <v>67470.6</v>
      </c>
      <c r="R62" s="19">
        <f t="shared" si="130"/>
        <v>650555.09</v>
      </c>
      <c r="S62" s="19">
        <f t="shared" si="130"/>
        <v>21562.1</v>
      </c>
      <c r="T62" s="19">
        <f t="shared" si="130"/>
        <v>1014734.5</v>
      </c>
      <c r="U62" s="19">
        <f t="shared" si="130"/>
        <v>0</v>
      </c>
      <c r="V62" s="19">
        <f t="shared" si="130"/>
        <v>0</v>
      </c>
      <c r="W62" s="19">
        <f t="shared" si="130"/>
        <v>1686851.69</v>
      </c>
      <c r="X62" s="19">
        <f t="shared" si="130"/>
        <v>4002323.5000000005</v>
      </c>
      <c r="Y62" s="19">
        <f t="shared" si="130"/>
        <v>33376997.289999995</v>
      </c>
      <c r="Z62" s="19">
        <f t="shared" si="130"/>
        <v>11954470</v>
      </c>
      <c r="AA62" s="19">
        <f t="shared" si="130"/>
        <v>764944.8500000001</v>
      </c>
      <c r="AB62" s="19">
        <f t="shared" si="130"/>
        <v>261255.35</v>
      </c>
      <c r="AC62" s="19">
        <f t="shared" si="130"/>
        <v>0</v>
      </c>
      <c r="AD62" s="19">
        <f t="shared" si="130"/>
        <v>41597.5</v>
      </c>
      <c r="AE62" s="19">
        <f t="shared" si="130"/>
        <v>13022267.700000001</v>
      </c>
      <c r="AF62" s="19">
        <f t="shared" si="130"/>
        <v>107637.79999999999</v>
      </c>
      <c r="AG62" s="19">
        <f t="shared" si="130"/>
        <v>2297466.9</v>
      </c>
      <c r="AH62" s="19">
        <f t="shared" si="130"/>
        <v>47800</v>
      </c>
      <c r="AI62" s="19">
        <f t="shared" si="130"/>
        <v>11032876.89</v>
      </c>
      <c r="AJ62" s="19">
        <f t="shared" si="130"/>
        <v>145132.2</v>
      </c>
      <c r="AK62" s="19">
        <f t="shared" si="130"/>
        <v>727245.85</v>
      </c>
      <c r="AL62" s="19">
        <f t="shared" si="130"/>
        <v>1016247.85</v>
      </c>
      <c r="AM62" s="19">
        <f t="shared" si="130"/>
        <v>10479</v>
      </c>
      <c r="AN62" s="19">
        <f t="shared" si="130"/>
        <v>0</v>
      </c>
      <c r="AO62" s="19">
        <f t="shared" si="130"/>
        <v>69224.15</v>
      </c>
      <c r="AP62" s="19">
        <f t="shared" si="130"/>
        <v>1022211.4500000001</v>
      </c>
      <c r="AQ62" s="19">
        <f t="shared" si="130"/>
        <v>0</v>
      </c>
      <c r="AR62" s="19">
        <f t="shared" si="130"/>
        <v>0</v>
      </c>
      <c r="AS62" s="19">
        <f t="shared" si="130"/>
        <v>1091435.6</v>
      </c>
      <c r="AT62" s="19">
        <f t="shared" si="130"/>
        <v>4000238.5000000005</v>
      </c>
      <c r="AU62" s="19">
        <f t="shared" si="130"/>
        <v>33451028.290000003</v>
      </c>
      <c r="AV62" s="19">
        <f t="shared" si="130"/>
        <v>74031.4</v>
      </c>
      <c r="AW62" s="19">
        <f t="shared" si="130"/>
        <v>0</v>
      </c>
      <c r="AX62" s="19">
        <f t="shared" si="130"/>
        <v>0.39999999534302333</v>
      </c>
      <c r="AY62" s="19">
        <f t="shared" si="130"/>
        <v>1528607.5999999999</v>
      </c>
      <c r="AZ62" s="19">
        <f t="shared" si="130"/>
        <v>4634048</v>
      </c>
      <c r="BA62" s="19">
        <f t="shared" si="130"/>
        <v>0</v>
      </c>
      <c r="BB62" s="19">
        <f t="shared" si="130"/>
        <v>3179</v>
      </c>
      <c r="BC62" s="19">
        <f t="shared" si="130"/>
        <v>0</v>
      </c>
      <c r="BD62" s="19">
        <f t="shared" si="130"/>
        <v>0</v>
      </c>
      <c r="BE62" s="19">
        <f t="shared" si="130"/>
        <v>451816.5</v>
      </c>
      <c r="BF62" s="19">
        <f t="shared" si="130"/>
        <v>5089043.5</v>
      </c>
      <c r="BG62" s="19">
        <f t="shared" si="130"/>
        <v>0</v>
      </c>
      <c r="BH62" s="19">
        <f t="shared" si="130"/>
        <v>95149.6</v>
      </c>
      <c r="BI62" s="19">
        <f t="shared" si="130"/>
        <v>0</v>
      </c>
      <c r="BJ62" s="19">
        <f t="shared" si="130"/>
        <v>0</v>
      </c>
      <c r="BK62" s="19">
        <f t="shared" si="130"/>
        <v>0</v>
      </c>
      <c r="BL62" s="19">
        <f t="shared" si="130"/>
        <v>516987.8</v>
      </c>
      <c r="BM62" s="19">
        <f t="shared" si="130"/>
        <v>2118267.65</v>
      </c>
      <c r="BN62" s="19">
        <f t="shared" si="130"/>
        <v>0</v>
      </c>
      <c r="BO62" s="19">
        <f aca="true" t="shared" si="131" ref="BO62:CI62">BO9+BO11+BO22+BO27</f>
        <v>2730405.05</v>
      </c>
      <c r="BP62" s="19">
        <f t="shared" si="131"/>
        <v>2080515.25</v>
      </c>
      <c r="BQ62" s="19">
        <f t="shared" si="131"/>
        <v>0</v>
      </c>
      <c r="BR62" s="19">
        <f t="shared" si="131"/>
        <v>4439153.7</v>
      </c>
      <c r="BS62" s="19">
        <f t="shared" si="131"/>
        <v>0</v>
      </c>
      <c r="BT62" s="19">
        <f t="shared" si="131"/>
        <v>40774085.66</v>
      </c>
      <c r="BU62" s="19">
        <f t="shared" si="131"/>
        <v>37548170.75</v>
      </c>
      <c r="BV62" s="19">
        <f t="shared" si="131"/>
        <v>624415.5</v>
      </c>
      <c r="BW62" s="19">
        <f t="shared" si="131"/>
        <v>0</v>
      </c>
      <c r="BX62" s="19">
        <f t="shared" si="131"/>
        <v>78946671.91</v>
      </c>
      <c r="BY62" s="19">
        <f t="shared" si="131"/>
        <v>48415297.07</v>
      </c>
      <c r="BZ62" s="19">
        <f t="shared" si="131"/>
        <v>14525058.71</v>
      </c>
      <c r="CA62" s="19">
        <f t="shared" si="131"/>
        <v>16006316.129999999</v>
      </c>
      <c r="CB62" s="19">
        <f t="shared" si="131"/>
        <v>78946671.91000001</v>
      </c>
      <c r="CC62" s="19">
        <f t="shared" si="131"/>
        <v>0</v>
      </c>
      <c r="CD62" s="19">
        <f t="shared" si="131"/>
        <v>3776976.7</v>
      </c>
      <c r="CE62" s="19">
        <f t="shared" si="131"/>
        <v>4372392.79</v>
      </c>
      <c r="CF62" s="19">
        <f t="shared" si="131"/>
        <v>2358638.45</v>
      </c>
      <c r="CG62" s="19">
        <f t="shared" si="131"/>
        <v>28348875.189999998</v>
      </c>
      <c r="CH62" s="19">
        <f t="shared" si="131"/>
        <v>641825.2500000001</v>
      </c>
      <c r="CI62" s="19">
        <f t="shared" si="131"/>
        <v>3346949.45</v>
      </c>
      <c r="CJ62" s="154">
        <f t="shared" si="100"/>
        <v>1.6013377124416843</v>
      </c>
      <c r="CK62" s="154">
        <f t="shared" si="101"/>
        <v>1.8537783058696427</v>
      </c>
      <c r="CL62" s="154">
        <f t="shared" si="102"/>
        <v>0.13323197744834406</v>
      </c>
      <c r="CM62" s="154">
        <f t="shared" si="103"/>
        <v>0.15423514198342345</v>
      </c>
      <c r="CN62" s="154">
        <f t="shared" si="104"/>
        <v>0.022640236894704117</v>
      </c>
      <c r="CO62" s="154">
        <f t="shared" si="105"/>
        <v>0.11806286590095924</v>
      </c>
      <c r="CP62" s="154">
        <f t="shared" si="106"/>
        <v>0.08976594222351955</v>
      </c>
      <c r="CQ62" s="154">
        <f t="shared" si="107"/>
        <v>0.06557699424958952</v>
      </c>
      <c r="CR62" s="19">
        <f t="shared" si="108"/>
        <v>-1.747604064181069</v>
      </c>
      <c r="CS62" s="19">
        <f t="shared" si="109"/>
        <v>-7641211.410000004</v>
      </c>
      <c r="CT62" s="19">
        <f t="shared" si="110"/>
        <v>29674051.989999995</v>
      </c>
      <c r="CU62" s="19">
        <f t="shared" si="111"/>
        <v>33451028.290000003</v>
      </c>
      <c r="CV62" s="19">
        <f t="shared" si="112"/>
        <v>3776976.300000008</v>
      </c>
      <c r="CW62" s="19">
        <f t="shared" si="113"/>
        <v>0</v>
      </c>
      <c r="CX62" s="19">
        <f t="shared" si="114"/>
        <v>3776976.300000008</v>
      </c>
      <c r="CY62" s="19">
        <f t="shared" si="115"/>
        <v>74031.00000000792</v>
      </c>
      <c r="CZ62" s="19">
        <f t="shared" si="116"/>
        <v>2358638.45</v>
      </c>
      <c r="DA62" s="19">
        <f t="shared" si="117"/>
        <v>3702945.3000000003</v>
      </c>
      <c r="DB62" s="19">
        <f t="shared" si="118"/>
        <v>1418337.850000008</v>
      </c>
      <c r="DC62" s="19">
        <f t="shared" si="119"/>
        <v>-5783460.550000001</v>
      </c>
      <c r="DD62" s="19">
        <f t="shared" si="120"/>
        <v>74031.00000000745</v>
      </c>
      <c r="DE62" s="19">
        <f t="shared" si="121"/>
        <v>12980670.2</v>
      </c>
      <c r="DF62" s="19">
        <f t="shared" si="122"/>
        <v>-646.081965840873</v>
      </c>
      <c r="DG62" s="19">
        <f t="shared" si="123"/>
        <v>54.26779825822272</v>
      </c>
      <c r="DH62" s="19">
        <f t="shared" si="124"/>
        <v>1097.5454637693413</v>
      </c>
      <c r="DI62" s="19">
        <f t="shared" si="125"/>
        <v>199.42829542572082</v>
      </c>
      <c r="DJ62" s="19">
        <f t="shared" si="126"/>
        <v>119.9237211465298</v>
      </c>
      <c r="DK62" s="19">
        <f t="shared" si="127"/>
        <v>-21541854.62</v>
      </c>
    </row>
    <row r="63" spans="1:115" ht="12.75">
      <c r="A63" s="3" t="s">
        <v>255</v>
      </c>
      <c r="B63" s="62">
        <f>B7+B8+B17</f>
        <v>1857</v>
      </c>
      <c r="C63" s="62">
        <f aca="true" t="shared" si="132" ref="C63:BN63">C7+C8+C17</f>
        <v>5307278</v>
      </c>
      <c r="D63" s="62">
        <f>(D7+D8+D17)/3</f>
        <v>2794.463333333333</v>
      </c>
      <c r="E63" s="62">
        <f>(E7+E8+E17)/3</f>
        <v>81.04333333333334</v>
      </c>
      <c r="F63" s="62">
        <f>(F7+F8+F17)/3</f>
        <v>8</v>
      </c>
      <c r="G63" s="19">
        <f t="shared" si="132"/>
        <v>2154644.9</v>
      </c>
      <c r="H63" s="19">
        <f t="shared" si="132"/>
        <v>1786313.15</v>
      </c>
      <c r="I63" s="19">
        <f t="shared" si="132"/>
        <v>173985.95</v>
      </c>
      <c r="J63" s="19">
        <f t="shared" si="132"/>
        <v>8941.3</v>
      </c>
      <c r="K63" s="19">
        <f t="shared" si="132"/>
        <v>266903.5</v>
      </c>
      <c r="L63" s="19">
        <f t="shared" si="132"/>
        <v>602498.05</v>
      </c>
      <c r="M63" s="19">
        <f t="shared" si="132"/>
        <v>869401.5499999999</v>
      </c>
      <c r="N63" s="19">
        <f t="shared" si="132"/>
        <v>0</v>
      </c>
      <c r="O63" s="19">
        <f t="shared" si="132"/>
        <v>271689.55</v>
      </c>
      <c r="P63" s="19">
        <f t="shared" si="132"/>
        <v>547919.7999999999</v>
      </c>
      <c r="Q63" s="19">
        <f t="shared" si="132"/>
        <v>295</v>
      </c>
      <c r="R63" s="19">
        <f t="shared" si="132"/>
        <v>29169</v>
      </c>
      <c r="S63" s="19">
        <f t="shared" si="132"/>
        <v>0</v>
      </c>
      <c r="T63" s="19">
        <f t="shared" si="132"/>
        <v>0</v>
      </c>
      <c r="U63" s="19">
        <f t="shared" si="132"/>
        <v>0</v>
      </c>
      <c r="V63" s="19">
        <f t="shared" si="132"/>
        <v>0</v>
      </c>
      <c r="W63" s="19">
        <f t="shared" si="132"/>
        <v>29169</v>
      </c>
      <c r="X63" s="19">
        <f t="shared" si="132"/>
        <v>1268128.35</v>
      </c>
      <c r="Y63" s="19">
        <f t="shared" si="132"/>
        <v>7110488.550000001</v>
      </c>
      <c r="Z63" s="19">
        <f t="shared" si="132"/>
        <v>1595142.9</v>
      </c>
      <c r="AA63" s="19">
        <f t="shared" si="132"/>
        <v>317456.45</v>
      </c>
      <c r="AB63" s="19">
        <f t="shared" si="132"/>
        <v>13861.449999999999</v>
      </c>
      <c r="AC63" s="19">
        <f t="shared" si="132"/>
        <v>0</v>
      </c>
      <c r="AD63" s="19">
        <f t="shared" si="132"/>
        <v>6995.85</v>
      </c>
      <c r="AE63" s="19">
        <f t="shared" si="132"/>
        <v>1933456.65</v>
      </c>
      <c r="AF63" s="19">
        <f t="shared" si="132"/>
        <v>149588.8</v>
      </c>
      <c r="AG63" s="19">
        <f t="shared" si="132"/>
        <v>562256.45</v>
      </c>
      <c r="AH63" s="19">
        <f t="shared" si="132"/>
        <v>0</v>
      </c>
      <c r="AI63" s="19">
        <f t="shared" si="132"/>
        <v>1372349.9000000001</v>
      </c>
      <c r="AJ63" s="19">
        <f t="shared" si="132"/>
        <v>190898.45</v>
      </c>
      <c r="AK63" s="19">
        <f t="shared" si="132"/>
        <v>198833.8</v>
      </c>
      <c r="AL63" s="19">
        <f t="shared" si="132"/>
        <v>1332260.8</v>
      </c>
      <c r="AM63" s="19">
        <f t="shared" si="132"/>
        <v>298.6</v>
      </c>
      <c r="AN63" s="19">
        <f t="shared" si="132"/>
        <v>33783.05</v>
      </c>
      <c r="AO63" s="19">
        <f t="shared" si="132"/>
        <v>0</v>
      </c>
      <c r="AP63" s="19">
        <f t="shared" si="132"/>
        <v>26200</v>
      </c>
      <c r="AQ63" s="19">
        <f t="shared" si="132"/>
        <v>2000</v>
      </c>
      <c r="AR63" s="19">
        <f t="shared" si="132"/>
        <v>0</v>
      </c>
      <c r="AS63" s="19">
        <f t="shared" si="132"/>
        <v>61983.05</v>
      </c>
      <c r="AT63" s="19">
        <f t="shared" si="132"/>
        <v>1398205.9</v>
      </c>
      <c r="AU63" s="19">
        <f t="shared" si="132"/>
        <v>7200132.4</v>
      </c>
      <c r="AV63" s="19">
        <f t="shared" si="132"/>
        <v>89643.85</v>
      </c>
      <c r="AW63" s="19">
        <f t="shared" si="132"/>
        <v>0</v>
      </c>
      <c r="AX63" s="19">
        <f t="shared" si="132"/>
        <v>-9.094947017729282E-11</v>
      </c>
      <c r="AY63" s="19">
        <f t="shared" si="132"/>
        <v>34553.05</v>
      </c>
      <c r="AZ63" s="19">
        <f t="shared" si="132"/>
        <v>3113248.3</v>
      </c>
      <c r="BA63" s="19">
        <f t="shared" si="132"/>
        <v>0</v>
      </c>
      <c r="BB63" s="19">
        <f t="shared" si="132"/>
        <v>0</v>
      </c>
      <c r="BC63" s="19">
        <f t="shared" si="132"/>
        <v>18519.45</v>
      </c>
      <c r="BD63" s="19">
        <f t="shared" si="132"/>
        <v>0</v>
      </c>
      <c r="BE63" s="19">
        <f t="shared" si="132"/>
        <v>15299.95</v>
      </c>
      <c r="BF63" s="19">
        <f t="shared" si="132"/>
        <v>3147067.6999999997</v>
      </c>
      <c r="BG63" s="19">
        <f t="shared" si="132"/>
        <v>41042.1</v>
      </c>
      <c r="BH63" s="19">
        <f t="shared" si="132"/>
        <v>14942</v>
      </c>
      <c r="BI63" s="19">
        <f t="shared" si="132"/>
        <v>0</v>
      </c>
      <c r="BJ63" s="19">
        <f t="shared" si="132"/>
        <v>0</v>
      </c>
      <c r="BK63" s="19">
        <f t="shared" si="132"/>
        <v>0</v>
      </c>
      <c r="BL63" s="19">
        <f t="shared" si="132"/>
        <v>209728.4</v>
      </c>
      <c r="BM63" s="19">
        <f t="shared" si="132"/>
        <v>1818477.9</v>
      </c>
      <c r="BN63" s="19">
        <f t="shared" si="132"/>
        <v>0</v>
      </c>
      <c r="BO63" s="19">
        <f aca="true" t="shared" si="133" ref="BO63:CI63">BO7+BO8+BO17</f>
        <v>2084190.4</v>
      </c>
      <c r="BP63" s="19">
        <f t="shared" si="133"/>
        <v>2021494.2000000002</v>
      </c>
      <c r="BQ63" s="19">
        <f t="shared" si="133"/>
        <v>62696.2</v>
      </c>
      <c r="BR63" s="19">
        <f t="shared" si="133"/>
        <v>3147067.65</v>
      </c>
      <c r="BS63" s="19">
        <f t="shared" si="133"/>
        <v>0.05000000004656613</v>
      </c>
      <c r="BT63" s="19">
        <f t="shared" si="133"/>
        <v>10543781.1</v>
      </c>
      <c r="BU63" s="19">
        <f t="shared" si="133"/>
        <v>1516950.75</v>
      </c>
      <c r="BV63" s="19">
        <f t="shared" si="133"/>
        <v>54736.5</v>
      </c>
      <c r="BW63" s="19">
        <f t="shared" si="133"/>
        <v>552177.3</v>
      </c>
      <c r="BX63" s="19">
        <f t="shared" si="133"/>
        <v>12667645.65</v>
      </c>
      <c r="BY63" s="19">
        <f t="shared" si="133"/>
        <v>8471770.100000001</v>
      </c>
      <c r="BZ63" s="19">
        <f t="shared" si="133"/>
        <v>2811516.55</v>
      </c>
      <c r="CA63" s="19">
        <f t="shared" si="133"/>
        <v>1384359</v>
      </c>
      <c r="CB63" s="19">
        <f t="shared" si="133"/>
        <v>12667645.65</v>
      </c>
      <c r="CC63" s="19">
        <f t="shared" si="133"/>
        <v>0</v>
      </c>
      <c r="CD63" s="19">
        <f t="shared" si="133"/>
        <v>959045.4</v>
      </c>
      <c r="CE63" s="19">
        <f t="shared" si="133"/>
        <v>926231.35</v>
      </c>
      <c r="CF63" s="19">
        <f t="shared" si="133"/>
        <v>1125573.4499999997</v>
      </c>
      <c r="CG63" s="19">
        <f t="shared" si="133"/>
        <v>5739644.850000001</v>
      </c>
      <c r="CH63" s="19">
        <f t="shared" si="133"/>
        <v>-291021.24999999994</v>
      </c>
      <c r="CI63" s="19">
        <f t="shared" si="133"/>
        <v>-24117.749999999927</v>
      </c>
      <c r="CJ63" s="154">
        <f t="shared" si="100"/>
        <v>0.8520504814679133</v>
      </c>
      <c r="CK63" s="154">
        <f t="shared" si="101"/>
        <v>0.8228972973731747</v>
      </c>
      <c r="CL63" s="154">
        <f t="shared" si="102"/>
        <v>0.16709141855702098</v>
      </c>
      <c r="CM63" s="154">
        <f t="shared" si="103"/>
        <v>0.16137433137522436</v>
      </c>
      <c r="CN63" s="154">
        <f t="shared" si="104"/>
        <v>-0.05070370338331995</v>
      </c>
      <c r="CO63" s="154">
        <f t="shared" si="105"/>
        <v>-0.004201958593309118</v>
      </c>
      <c r="CP63" s="154">
        <f t="shared" si="106"/>
        <v>0.3643223802286025</v>
      </c>
      <c r="CQ63" s="154">
        <f t="shared" si="107"/>
        <v>0.11184580751132178</v>
      </c>
      <c r="CR63" s="19">
        <f t="shared" si="108"/>
        <v>2.2370339764465954</v>
      </c>
      <c r="CS63" s="19">
        <f t="shared" si="109"/>
        <v>2072010.9999999981</v>
      </c>
      <c r="CT63" s="19">
        <f t="shared" si="110"/>
        <v>6241087.000000001</v>
      </c>
      <c r="CU63" s="19">
        <f t="shared" si="111"/>
        <v>7200132.4</v>
      </c>
      <c r="CV63" s="19">
        <f t="shared" si="112"/>
        <v>959045.3999999994</v>
      </c>
      <c r="CW63" s="19">
        <f t="shared" si="113"/>
        <v>0</v>
      </c>
      <c r="CX63" s="19">
        <f t="shared" si="114"/>
        <v>959045.3999999994</v>
      </c>
      <c r="CY63" s="19">
        <f t="shared" si="115"/>
        <v>89643.8499999994</v>
      </c>
      <c r="CZ63" s="19">
        <f t="shared" si="116"/>
        <v>1125573.4499999997</v>
      </c>
      <c r="DA63" s="19">
        <f t="shared" si="117"/>
        <v>869401.55</v>
      </c>
      <c r="DB63" s="19">
        <f t="shared" si="118"/>
        <v>-166528.05000000028</v>
      </c>
      <c r="DC63" s="19">
        <f t="shared" si="119"/>
        <v>-2890895.75</v>
      </c>
      <c r="DD63" s="19">
        <f t="shared" si="120"/>
        <v>89643.84999999963</v>
      </c>
      <c r="DE63" s="19">
        <f t="shared" si="121"/>
        <v>1926460.7999999998</v>
      </c>
      <c r="DF63" s="19">
        <f t="shared" si="122"/>
        <v>1115.7840603123307</v>
      </c>
      <c r="DG63" s="19">
        <f t="shared" si="123"/>
        <v>-156.7158050619278</v>
      </c>
      <c r="DH63" s="19">
        <f t="shared" si="124"/>
        <v>1037.4048465266558</v>
      </c>
      <c r="DI63" s="19">
        <f t="shared" si="125"/>
        <v>606.1246365105006</v>
      </c>
      <c r="DJ63" s="19">
        <f t="shared" si="126"/>
        <v>-89.67584814216494</v>
      </c>
      <c r="DK63" s="19">
        <f t="shared" si="127"/>
        <v>-684769.05</v>
      </c>
    </row>
    <row r="64" spans="1:115" ht="12.75">
      <c r="A64" s="3" t="s">
        <v>256</v>
      </c>
      <c r="B64" s="62">
        <f>B3+B5+B6+B12+B13+B14+B15+B16+B18+B23+B28+B29+B30+B31</f>
        <v>9021</v>
      </c>
      <c r="C64" s="62">
        <f>C3+C5+C6+C12+C13+C14+C15+C16+C18+C23+C28+C29+C30+C31</f>
        <v>31798899</v>
      </c>
      <c r="D64" s="62">
        <f>(D3+D5+D6+D12+D13+D14+D15+D16+D18+D23+D28+D29+D30+D31)/14</f>
        <v>2966.777142857143</v>
      </c>
      <c r="E64" s="62">
        <f>(E3+E5+E6+E12+E13+E14+E15+E16+E18+E23+E28+E29+E30+E31)/14</f>
        <v>86.0407142857143</v>
      </c>
      <c r="F64" s="62">
        <f>(F3+F5+F6+F12+F13+F14+F15+F16+F18+F23+F28+F29+F30+F31)/14</f>
        <v>6.428571428571429</v>
      </c>
      <c r="G64" s="19">
        <f>G3+G5+G6+G12+G13+G14+G15+G16+G18+G23+G28+G29+G30+G31</f>
        <v>6275767.1</v>
      </c>
      <c r="H64" s="19">
        <f aca="true" t="shared" si="134" ref="H64:BS64">H3+H5+H6+H12+H13+H14+H15+H16+H18+H23+H28+H29+H30+H31</f>
        <v>5958318.17</v>
      </c>
      <c r="I64" s="19">
        <f t="shared" si="134"/>
        <v>1165681.55</v>
      </c>
      <c r="J64" s="19">
        <f t="shared" si="134"/>
        <v>436703.7</v>
      </c>
      <c r="K64" s="19">
        <f t="shared" si="134"/>
        <v>1771279.5999999999</v>
      </c>
      <c r="L64" s="19">
        <f t="shared" si="134"/>
        <v>3278738.08</v>
      </c>
      <c r="M64" s="19">
        <f t="shared" si="134"/>
        <v>5050017.68</v>
      </c>
      <c r="N64" s="19">
        <f t="shared" si="134"/>
        <v>176519</v>
      </c>
      <c r="O64" s="19">
        <f t="shared" si="134"/>
        <v>971598.8999999999</v>
      </c>
      <c r="P64" s="19">
        <f t="shared" si="134"/>
        <v>2350914</v>
      </c>
      <c r="Q64" s="19">
        <f t="shared" si="134"/>
        <v>444404.45</v>
      </c>
      <c r="R64" s="19">
        <f t="shared" si="134"/>
        <v>277486.8</v>
      </c>
      <c r="S64" s="19">
        <f t="shared" si="134"/>
        <v>31531.600000000002</v>
      </c>
      <c r="T64" s="19">
        <f t="shared" si="134"/>
        <v>27000</v>
      </c>
      <c r="U64" s="19">
        <f t="shared" si="134"/>
        <v>13000</v>
      </c>
      <c r="V64" s="19">
        <f t="shared" si="134"/>
        <v>0</v>
      </c>
      <c r="W64" s="19">
        <f t="shared" si="134"/>
        <v>349018.39999999997</v>
      </c>
      <c r="X64" s="19">
        <f t="shared" si="134"/>
        <v>3887443.0799999996</v>
      </c>
      <c r="Y64" s="19">
        <f t="shared" si="134"/>
        <v>27066386.029999994</v>
      </c>
      <c r="Z64" s="19">
        <f t="shared" si="134"/>
        <v>5971023.749999999</v>
      </c>
      <c r="AA64" s="19">
        <f t="shared" si="134"/>
        <v>1564945.45</v>
      </c>
      <c r="AB64" s="19">
        <f t="shared" si="134"/>
        <v>158032.95</v>
      </c>
      <c r="AC64" s="19">
        <f t="shared" si="134"/>
        <v>0</v>
      </c>
      <c r="AD64" s="19">
        <f t="shared" si="134"/>
        <v>240532.95</v>
      </c>
      <c r="AE64" s="19">
        <f t="shared" si="134"/>
        <v>7934535.1</v>
      </c>
      <c r="AF64" s="19">
        <f t="shared" si="134"/>
        <v>375365.15</v>
      </c>
      <c r="AG64" s="19">
        <f t="shared" si="134"/>
        <v>1913474.65</v>
      </c>
      <c r="AH64" s="19">
        <f t="shared" si="134"/>
        <v>116220</v>
      </c>
      <c r="AI64" s="19">
        <f t="shared" si="134"/>
        <v>6321621.45</v>
      </c>
      <c r="AJ64" s="19">
        <f t="shared" si="134"/>
        <v>2494212.8499999996</v>
      </c>
      <c r="AK64" s="19">
        <f t="shared" si="134"/>
        <v>672469.05</v>
      </c>
      <c r="AL64" s="19">
        <f t="shared" si="134"/>
        <v>2322314.8</v>
      </c>
      <c r="AM64" s="19">
        <f t="shared" si="134"/>
        <v>441003.95</v>
      </c>
      <c r="AN64" s="19">
        <f t="shared" si="134"/>
        <v>235974.35</v>
      </c>
      <c r="AO64" s="19">
        <f t="shared" si="134"/>
        <v>19409</v>
      </c>
      <c r="AP64" s="19">
        <f t="shared" si="134"/>
        <v>7534.45</v>
      </c>
      <c r="AQ64" s="19">
        <f t="shared" si="134"/>
        <v>22950.75</v>
      </c>
      <c r="AR64" s="19">
        <f t="shared" si="134"/>
        <v>69030.45</v>
      </c>
      <c r="AS64" s="19">
        <f t="shared" si="134"/>
        <v>354899</v>
      </c>
      <c r="AT64" s="19">
        <f t="shared" si="134"/>
        <v>4010748.88</v>
      </c>
      <c r="AU64" s="19">
        <f t="shared" si="134"/>
        <v>26840644.880000003</v>
      </c>
      <c r="AV64" s="19">
        <f t="shared" si="134"/>
        <v>253936.2</v>
      </c>
      <c r="AW64" s="19">
        <f t="shared" si="134"/>
        <v>479677.75</v>
      </c>
      <c r="AX64" s="19">
        <f t="shared" si="134"/>
        <v>-0.4000000030718418</v>
      </c>
      <c r="AY64" s="19">
        <f t="shared" si="134"/>
        <v>801158.5000000001</v>
      </c>
      <c r="AZ64" s="19">
        <f t="shared" si="134"/>
        <v>9434537.28</v>
      </c>
      <c r="BA64" s="19">
        <f t="shared" si="134"/>
        <v>978.75</v>
      </c>
      <c r="BB64" s="19">
        <f t="shared" si="134"/>
        <v>66964.95</v>
      </c>
      <c r="BC64" s="19">
        <f t="shared" si="134"/>
        <v>59319.25</v>
      </c>
      <c r="BD64" s="19">
        <f t="shared" si="134"/>
        <v>0</v>
      </c>
      <c r="BE64" s="19">
        <f t="shared" si="134"/>
        <v>90628.40000000001</v>
      </c>
      <c r="BF64" s="19">
        <f t="shared" si="134"/>
        <v>9652428.629999999</v>
      </c>
      <c r="BG64" s="19">
        <f t="shared" si="134"/>
        <v>979780.1</v>
      </c>
      <c r="BH64" s="19">
        <f t="shared" si="134"/>
        <v>243525</v>
      </c>
      <c r="BI64" s="19">
        <f t="shared" si="134"/>
        <v>0</v>
      </c>
      <c r="BJ64" s="19">
        <f t="shared" si="134"/>
        <v>38088</v>
      </c>
      <c r="BK64" s="19">
        <f t="shared" si="134"/>
        <v>4000</v>
      </c>
      <c r="BL64" s="19">
        <f t="shared" si="134"/>
        <v>656581.2999999999</v>
      </c>
      <c r="BM64" s="19">
        <f t="shared" si="134"/>
        <v>2154716.9</v>
      </c>
      <c r="BN64" s="19">
        <f t="shared" si="134"/>
        <v>25000</v>
      </c>
      <c r="BO64" s="19">
        <f t="shared" si="134"/>
        <v>4101691.3</v>
      </c>
      <c r="BP64" s="19">
        <f t="shared" si="134"/>
        <v>3796090.3</v>
      </c>
      <c r="BQ64" s="19">
        <f t="shared" si="134"/>
        <v>305601</v>
      </c>
      <c r="BR64" s="19">
        <f t="shared" si="134"/>
        <v>9652428.629999999</v>
      </c>
      <c r="BS64" s="19">
        <f t="shared" si="134"/>
        <v>0</v>
      </c>
      <c r="BT64" s="19">
        <f aca="true" t="shared" si="135" ref="BT64:CI64">BT3+BT5+BT6+BT12+BT13+BT14+BT15+BT16+BT18+BT23+BT28+BT29+BT30+BT31</f>
        <v>56458938.269999996</v>
      </c>
      <c r="BU64" s="19">
        <f t="shared" si="135"/>
        <v>19536923.7</v>
      </c>
      <c r="BV64" s="19">
        <f t="shared" si="135"/>
        <v>301632.74999999994</v>
      </c>
      <c r="BW64" s="19">
        <f t="shared" si="135"/>
        <v>1482211.83</v>
      </c>
      <c r="BX64" s="19">
        <f t="shared" si="135"/>
        <v>77779706.55</v>
      </c>
      <c r="BY64" s="19">
        <f t="shared" si="135"/>
        <v>51573436.31999999</v>
      </c>
      <c r="BZ64" s="19">
        <f t="shared" si="135"/>
        <v>12767410.1</v>
      </c>
      <c r="CA64" s="19">
        <f t="shared" si="135"/>
        <v>13438860.13</v>
      </c>
      <c r="CB64" s="19">
        <f t="shared" si="135"/>
        <v>77779706.55000001</v>
      </c>
      <c r="CC64" s="19">
        <f t="shared" si="135"/>
        <v>0</v>
      </c>
      <c r="CD64" s="19">
        <f t="shared" si="135"/>
        <v>4824276.13</v>
      </c>
      <c r="CE64" s="19">
        <f t="shared" si="135"/>
        <v>4818395.53</v>
      </c>
      <c r="CF64" s="19">
        <f t="shared" si="135"/>
        <v>5856338.329999999</v>
      </c>
      <c r="CG64" s="19">
        <f t="shared" si="135"/>
        <v>22033993.05</v>
      </c>
      <c r="CH64" s="19">
        <f t="shared" si="135"/>
        <v>475186.39999999997</v>
      </c>
      <c r="CI64" s="19">
        <f t="shared" si="135"/>
        <v>2246466.0000000005</v>
      </c>
      <c r="CJ64" s="154">
        <f t="shared" si="100"/>
        <v>0.8237700518917938</v>
      </c>
      <c r="CK64" s="154">
        <f t="shared" si="101"/>
        <v>0.8227659090864037</v>
      </c>
      <c r="CL64" s="154">
        <f t="shared" si="102"/>
        <v>0.21894697520565842</v>
      </c>
      <c r="CM64" s="154">
        <f t="shared" si="103"/>
        <v>0.21868008758403418</v>
      </c>
      <c r="CN64" s="154">
        <f t="shared" si="104"/>
        <v>0.021566059266774615</v>
      </c>
      <c r="CO64" s="154">
        <f t="shared" si="105"/>
        <v>0.1019545569839417</v>
      </c>
      <c r="CP64" s="154">
        <f t="shared" si="106"/>
        <v>0.2053943026889829</v>
      </c>
      <c r="CQ64" s="154">
        <f t="shared" si="107"/>
        <v>0.0720414781417598</v>
      </c>
      <c r="CR64" s="19">
        <f t="shared" si="108"/>
        <v>1.0139271298053862</v>
      </c>
      <c r="CS64" s="19">
        <f t="shared" si="109"/>
        <v>4885501.950000003</v>
      </c>
      <c r="CT64" s="19">
        <f t="shared" si="110"/>
        <v>22016368.349999994</v>
      </c>
      <c r="CU64" s="19">
        <f t="shared" si="111"/>
        <v>26771614.430000003</v>
      </c>
      <c r="CV64" s="19">
        <f t="shared" si="112"/>
        <v>4755246.080000009</v>
      </c>
      <c r="CW64" s="19">
        <f t="shared" si="113"/>
        <v>69030.45</v>
      </c>
      <c r="CX64" s="19">
        <f t="shared" si="114"/>
        <v>4824276.53000001</v>
      </c>
      <c r="CY64" s="19">
        <f t="shared" si="115"/>
        <v>-225741.14999999013</v>
      </c>
      <c r="CZ64" s="19">
        <f t="shared" si="116"/>
        <v>5856338.329999999</v>
      </c>
      <c r="DA64" s="19">
        <f t="shared" si="117"/>
        <v>5050017.68</v>
      </c>
      <c r="DB64" s="19">
        <f t="shared" si="118"/>
        <v>-1032061.7999999896</v>
      </c>
      <c r="DC64" s="19">
        <f t="shared" si="119"/>
        <v>-8846107.98</v>
      </c>
      <c r="DD64" s="19">
        <f t="shared" si="120"/>
        <v>-225741.14999999106</v>
      </c>
      <c r="DE64" s="19">
        <f t="shared" si="121"/>
        <v>7694002.149999999</v>
      </c>
      <c r="DF64" s="19">
        <f t="shared" si="122"/>
        <v>541.5698869304958</v>
      </c>
      <c r="DG64" s="19">
        <f t="shared" si="123"/>
        <v>52.67557920407937</v>
      </c>
      <c r="DH64" s="19">
        <f t="shared" si="124"/>
        <v>852.8990300410153</v>
      </c>
      <c r="DI64" s="19">
        <f t="shared" si="125"/>
        <v>649.1894834275578</v>
      </c>
      <c r="DJ64" s="19">
        <f t="shared" si="126"/>
        <v>-114.40658463584853</v>
      </c>
      <c r="DK64" s="19">
        <f t="shared" si="127"/>
        <v>-7580275.3999999985</v>
      </c>
    </row>
    <row r="65" spans="1:115" ht="12.75">
      <c r="A65" s="3" t="s">
        <v>248</v>
      </c>
      <c r="B65" s="62">
        <f>SUM(B60:B64)</f>
        <v>38305</v>
      </c>
      <c r="C65" s="62">
        <f aca="true" t="shared" si="136" ref="C65:BN65">SUM(C60:C64)</f>
        <v>132077817</v>
      </c>
      <c r="D65" s="62">
        <f>MEDIAN(D60:D64)</f>
        <v>2966.777142857143</v>
      </c>
      <c r="E65" s="62">
        <f>MEDIAN(E60:E64)</f>
        <v>86.0407142857143</v>
      </c>
      <c r="F65" s="62">
        <f>MEDIAN(F60:F64)</f>
        <v>6.428571428571429</v>
      </c>
      <c r="G65" s="19">
        <f t="shared" si="136"/>
        <v>27630212.949999996</v>
      </c>
      <c r="H65" s="19">
        <f t="shared" si="136"/>
        <v>30472596.009999998</v>
      </c>
      <c r="I65" s="19">
        <f t="shared" si="136"/>
        <v>3629152.26</v>
      </c>
      <c r="J65" s="19">
        <f t="shared" si="136"/>
        <v>1035650.8500000001</v>
      </c>
      <c r="K65" s="19">
        <f t="shared" si="136"/>
        <v>7701462.35</v>
      </c>
      <c r="L65" s="19">
        <f t="shared" si="136"/>
        <v>7099649.99</v>
      </c>
      <c r="M65" s="19">
        <f t="shared" si="136"/>
        <v>14801112.34</v>
      </c>
      <c r="N65" s="19">
        <f t="shared" si="136"/>
        <v>321036.7</v>
      </c>
      <c r="O65" s="19">
        <f t="shared" si="136"/>
        <v>3984703.2499999995</v>
      </c>
      <c r="P65" s="19">
        <f t="shared" si="136"/>
        <v>9847378.399999999</v>
      </c>
      <c r="Q65" s="19">
        <f t="shared" si="136"/>
        <v>626184.55</v>
      </c>
      <c r="R65" s="19">
        <f t="shared" si="136"/>
        <v>1925261.9600000002</v>
      </c>
      <c r="S65" s="19">
        <f t="shared" si="136"/>
        <v>188656</v>
      </c>
      <c r="T65" s="19">
        <f t="shared" si="136"/>
        <v>1167000.5</v>
      </c>
      <c r="U65" s="19">
        <f t="shared" si="136"/>
        <v>13000</v>
      </c>
      <c r="V65" s="19">
        <f t="shared" si="136"/>
        <v>0</v>
      </c>
      <c r="W65" s="19">
        <f t="shared" si="136"/>
        <v>3293918.46</v>
      </c>
      <c r="X65" s="19">
        <f t="shared" si="136"/>
        <v>15197285.940000001</v>
      </c>
      <c r="Y65" s="19">
        <f t="shared" si="136"/>
        <v>110839231.70999998</v>
      </c>
      <c r="Z65" s="19">
        <f t="shared" si="136"/>
        <v>33220397.599999998</v>
      </c>
      <c r="AA65" s="19">
        <f t="shared" si="136"/>
        <v>5162496.15</v>
      </c>
      <c r="AB65" s="19">
        <f t="shared" si="136"/>
        <v>712573.05</v>
      </c>
      <c r="AC65" s="19">
        <f t="shared" si="136"/>
        <v>0</v>
      </c>
      <c r="AD65" s="19">
        <f t="shared" si="136"/>
        <v>411798.70000000007</v>
      </c>
      <c r="AE65" s="19">
        <f t="shared" si="136"/>
        <v>39507265.5</v>
      </c>
      <c r="AF65" s="19">
        <f t="shared" si="136"/>
        <v>745860.3</v>
      </c>
      <c r="AG65" s="19">
        <f t="shared" si="136"/>
        <v>6520529.5</v>
      </c>
      <c r="AH65" s="19">
        <f t="shared" si="136"/>
        <v>185720</v>
      </c>
      <c r="AI65" s="19">
        <f t="shared" si="136"/>
        <v>32843143.459999997</v>
      </c>
      <c r="AJ65" s="19">
        <f t="shared" si="136"/>
        <v>3756429.2499999995</v>
      </c>
      <c r="AK65" s="19">
        <f t="shared" si="136"/>
        <v>2526239.95</v>
      </c>
      <c r="AL65" s="19">
        <f t="shared" si="136"/>
        <v>7234024.59</v>
      </c>
      <c r="AM65" s="19">
        <f t="shared" si="136"/>
        <v>566600.45</v>
      </c>
      <c r="AN65" s="19">
        <f t="shared" si="136"/>
        <v>751336.1000000001</v>
      </c>
      <c r="AO65" s="19">
        <f t="shared" si="136"/>
        <v>120801.54999999999</v>
      </c>
      <c r="AP65" s="19">
        <f t="shared" si="136"/>
        <v>1065648.8499999999</v>
      </c>
      <c r="AQ65" s="19">
        <f t="shared" si="136"/>
        <v>24950.75</v>
      </c>
      <c r="AR65" s="19">
        <f t="shared" si="136"/>
        <v>69030.45</v>
      </c>
      <c r="AS65" s="19">
        <f t="shared" si="136"/>
        <v>2031767.7000000002</v>
      </c>
      <c r="AT65" s="19">
        <f t="shared" si="136"/>
        <v>15443724.090000004</v>
      </c>
      <c r="AU65" s="19">
        <f t="shared" si="136"/>
        <v>111175584.79000002</v>
      </c>
      <c r="AV65" s="19">
        <f t="shared" si="136"/>
        <v>913352.48</v>
      </c>
      <c r="AW65" s="19">
        <f t="shared" si="136"/>
        <v>576999.5</v>
      </c>
      <c r="AX65" s="19">
        <f t="shared" si="136"/>
        <v>-0.1000000077289549</v>
      </c>
      <c r="AY65" s="19">
        <f t="shared" si="136"/>
        <v>2698641.85</v>
      </c>
      <c r="AZ65" s="19">
        <f t="shared" si="136"/>
        <v>26223072.339999996</v>
      </c>
      <c r="BA65" s="19">
        <f t="shared" si="136"/>
        <v>24978.75</v>
      </c>
      <c r="BB65" s="19">
        <f t="shared" si="136"/>
        <v>94638.95</v>
      </c>
      <c r="BC65" s="19">
        <f t="shared" si="136"/>
        <v>166612.3</v>
      </c>
      <c r="BD65" s="19">
        <f t="shared" si="136"/>
        <v>0</v>
      </c>
      <c r="BE65" s="19">
        <f t="shared" si="136"/>
        <v>663186.2999999999</v>
      </c>
      <c r="BF65" s="19">
        <f t="shared" si="136"/>
        <v>27172488.64</v>
      </c>
      <c r="BG65" s="19">
        <f t="shared" si="136"/>
        <v>1030546.2</v>
      </c>
      <c r="BH65" s="19">
        <f t="shared" si="136"/>
        <v>1643040.35</v>
      </c>
      <c r="BI65" s="19">
        <f t="shared" si="136"/>
        <v>0</v>
      </c>
      <c r="BJ65" s="19">
        <f t="shared" si="136"/>
        <v>188043.95</v>
      </c>
      <c r="BK65" s="19">
        <f t="shared" si="136"/>
        <v>4000</v>
      </c>
      <c r="BL65" s="19">
        <f t="shared" si="136"/>
        <v>1765723.5499999998</v>
      </c>
      <c r="BM65" s="19">
        <f t="shared" si="136"/>
        <v>6897842.15</v>
      </c>
      <c r="BN65" s="19">
        <f t="shared" si="136"/>
        <v>25000</v>
      </c>
      <c r="BO65" s="19">
        <f aca="true" t="shared" si="137" ref="BO65:CI65">SUM(BO60:BO64)</f>
        <v>11554196.2</v>
      </c>
      <c r="BP65" s="19">
        <f t="shared" si="137"/>
        <v>10358562</v>
      </c>
      <c r="BQ65" s="19">
        <f t="shared" si="137"/>
        <v>540512.4</v>
      </c>
      <c r="BR65" s="19">
        <f t="shared" si="137"/>
        <v>26517366.79</v>
      </c>
      <c r="BS65" s="19">
        <f t="shared" si="137"/>
        <v>0.05000000004656613</v>
      </c>
      <c r="BT65" s="19">
        <f t="shared" si="137"/>
        <v>187826568.46999997</v>
      </c>
      <c r="BU65" s="19">
        <f t="shared" si="137"/>
        <v>81316504.59</v>
      </c>
      <c r="BV65" s="19">
        <f t="shared" si="137"/>
        <v>1132923.25</v>
      </c>
      <c r="BW65" s="19">
        <f t="shared" si="137"/>
        <v>2034389.1300000001</v>
      </c>
      <c r="BX65" s="19">
        <f t="shared" si="137"/>
        <v>272310385.44</v>
      </c>
      <c r="BY65" s="19">
        <f t="shared" si="137"/>
        <v>165515789.72</v>
      </c>
      <c r="BZ65" s="19">
        <f t="shared" si="137"/>
        <v>49209502.38999999</v>
      </c>
      <c r="CA65" s="19">
        <f t="shared" si="137"/>
        <v>57585093.330000006</v>
      </c>
      <c r="CB65" s="19">
        <f t="shared" si="137"/>
        <v>272310385.44000006</v>
      </c>
      <c r="CC65" s="19">
        <f t="shared" si="137"/>
        <v>0</v>
      </c>
      <c r="CD65" s="19">
        <f t="shared" si="137"/>
        <v>15137465.32</v>
      </c>
      <c r="CE65" s="19">
        <f t="shared" si="137"/>
        <v>16399616.079999998</v>
      </c>
      <c r="CF65" s="19">
        <f t="shared" si="137"/>
        <v>16158804.79</v>
      </c>
      <c r="CG65" s="19">
        <f t="shared" si="137"/>
        <v>93133492.55</v>
      </c>
      <c r="CH65" s="19">
        <f t="shared" si="137"/>
        <v>533497.01</v>
      </c>
      <c r="CI65" s="19">
        <f t="shared" si="137"/>
        <v>8234959.360000001</v>
      </c>
      <c r="CJ65" s="154">
        <f t="shared" si="100"/>
        <v>0.9367936253161457</v>
      </c>
      <c r="CK65" s="154">
        <f t="shared" si="101"/>
        <v>1.0149027909631674</v>
      </c>
      <c r="CL65" s="154">
        <f t="shared" si="102"/>
        <v>0.1625351407483537</v>
      </c>
      <c r="CM65" s="154">
        <f t="shared" si="103"/>
        <v>0.17608720161756672</v>
      </c>
      <c r="CN65" s="154">
        <f t="shared" si="104"/>
        <v>0.005728304559324722</v>
      </c>
      <c r="CO65" s="154">
        <f t="shared" si="105"/>
        <v>0.08842103022797035</v>
      </c>
      <c r="CP65" s="154">
        <f t="shared" si="106"/>
        <v>0.15398958913826663</v>
      </c>
      <c r="CQ65" s="154">
        <f t="shared" si="107"/>
        <v>0.0801253984023426</v>
      </c>
      <c r="CR65" s="19">
        <f t="shared" si="108"/>
        <v>1.3604451861046234</v>
      </c>
      <c r="CS65" s="19">
        <f t="shared" si="109"/>
        <v>22310778.74999997</v>
      </c>
      <c r="CT65" s="19">
        <f t="shared" si="110"/>
        <v>96038119.36999999</v>
      </c>
      <c r="CU65" s="19">
        <f t="shared" si="111"/>
        <v>111106554.34000002</v>
      </c>
      <c r="CV65" s="19">
        <f t="shared" si="112"/>
        <v>15068434.970000029</v>
      </c>
      <c r="CW65" s="19">
        <f t="shared" si="113"/>
        <v>69030.45</v>
      </c>
      <c r="CX65" s="19">
        <f t="shared" si="114"/>
        <v>15137465.420000028</v>
      </c>
      <c r="CY65" s="19">
        <f t="shared" si="115"/>
        <v>336353.080000028</v>
      </c>
      <c r="CZ65" s="19">
        <f t="shared" si="116"/>
        <v>16158804.79</v>
      </c>
      <c r="DA65" s="19">
        <f t="shared" si="117"/>
        <v>14801112.34</v>
      </c>
      <c r="DB65" s="19">
        <f t="shared" si="118"/>
        <v>-1021339.3699999712</v>
      </c>
      <c r="DC65" s="19">
        <f t="shared" si="119"/>
        <v>-25159674.34</v>
      </c>
      <c r="DD65" s="19">
        <f t="shared" si="120"/>
        <v>336353.080000028</v>
      </c>
      <c r="DE65" s="19">
        <f t="shared" si="121"/>
        <v>39095466.8</v>
      </c>
      <c r="DF65" s="19">
        <f t="shared" si="122"/>
        <v>582.4508223469513</v>
      </c>
      <c r="DG65" s="19">
        <f t="shared" si="123"/>
        <v>13.927607623025715</v>
      </c>
      <c r="DH65" s="19">
        <f t="shared" si="124"/>
        <v>1020.6361258321367</v>
      </c>
      <c r="DI65" s="19">
        <f t="shared" si="125"/>
        <v>421.8458370969847</v>
      </c>
      <c r="DJ65" s="19">
        <f t="shared" si="126"/>
        <v>-26.663343427750196</v>
      </c>
      <c r="DK65" s="19">
        <f t="shared" si="127"/>
        <v>-25765800.39</v>
      </c>
    </row>
  </sheetData>
  <printOptions/>
  <pageMargins left="0.7480314960629921" right="0.3937007874015748" top="0.7874015748031497" bottom="0.3937007874015748" header="0.3937007874015748" footer="0.2755905511811024"/>
  <pageSetup horizontalDpi="300" verticalDpi="300" orientation="landscape" paperSize="9" scale="95" r:id="rId1"/>
  <headerFooter alignWithMargins="0">
    <oddHeader>&amp;L&amp;"Arial,Fett"&amp;14Ortsgemeinden Kanton Glarus: Erhebung Finanzkennzahlen vom April 2002&amp;RKennzahlen Jahr 2000</oddHeader>
    <oddFooter>&amp;L&amp;8BHP Bern&amp;R&amp;8&amp;F/&amp;A/&amp;Pvon &amp;N</oddFooter>
  </headerFooter>
  <colBreaks count="2" manualBreakCount="2">
    <brk id="71" max="65535" man="1"/>
    <brk id="8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11"/>
  <dimension ref="A1:DN65"/>
  <sheetViews>
    <sheetView workbookViewId="0" topLeftCell="A1">
      <pane xSplit="6" ySplit="2" topLeftCell="CD47" activePane="bottomRight" state="frozen"/>
      <selection pane="topLeft" activeCell="N5" sqref="N5"/>
      <selection pane="topRight" activeCell="N5" sqref="N5"/>
      <selection pane="bottomLeft" activeCell="N5" sqref="N5"/>
      <selection pane="bottomRight" activeCell="CD60" sqref="CD60:CD65"/>
    </sheetView>
  </sheetViews>
  <sheetFormatPr defaultColWidth="11.421875" defaultRowHeight="12.75"/>
  <cols>
    <col min="1" max="1" width="14.140625" style="3" customWidth="1"/>
    <col min="2" max="2" width="9.7109375" style="3" customWidth="1"/>
    <col min="3" max="3" width="13.140625" style="3" customWidth="1"/>
    <col min="4" max="4" width="10.140625" style="3" customWidth="1"/>
    <col min="5" max="5" width="9.7109375" style="3" customWidth="1"/>
    <col min="6" max="6" width="8.28125" style="3" customWidth="1"/>
    <col min="7" max="38" width="12.140625" style="0" customWidth="1"/>
    <col min="39" max="50" width="12.57421875" style="0" customWidth="1"/>
    <col min="51" max="70" width="11.28125" style="0" customWidth="1"/>
    <col min="71" max="80" width="12.28125" style="0" customWidth="1"/>
    <col min="81" max="81" width="13.8515625" style="0" customWidth="1"/>
    <col min="82" max="82" width="14.140625" style="0" customWidth="1"/>
    <col min="83" max="83" width="13.7109375" style="0" customWidth="1"/>
    <col min="84" max="84" width="12.57421875" style="0" customWidth="1"/>
    <col min="85" max="85" width="13.421875" style="0" customWidth="1"/>
    <col min="86" max="87" width="13.140625" style="0" customWidth="1"/>
    <col min="88" max="95" width="12.421875" style="0" customWidth="1"/>
    <col min="96" max="96" width="14.28125" style="0" customWidth="1"/>
    <col min="97" max="114" width="12.421875" style="0" customWidth="1"/>
    <col min="115" max="115" width="11.57421875" style="0" customWidth="1"/>
  </cols>
  <sheetData>
    <row r="1" spans="1:117" s="2" customFormat="1" ht="15.75" customHeight="1" thickBot="1">
      <c r="A1" s="48"/>
      <c r="B1" s="23" t="s">
        <v>74</v>
      </c>
      <c r="C1" s="23"/>
      <c r="D1" s="23"/>
      <c r="E1" s="23"/>
      <c r="F1" s="55"/>
      <c r="G1" s="21" t="s">
        <v>62</v>
      </c>
      <c r="H1" s="21"/>
      <c r="I1" s="21"/>
      <c r="J1" s="21"/>
      <c r="K1" s="21"/>
      <c r="L1" s="21"/>
      <c r="M1" s="21" t="s">
        <v>67</v>
      </c>
      <c r="N1" s="21"/>
      <c r="O1" s="21"/>
      <c r="P1" s="21"/>
      <c r="Q1" s="21"/>
      <c r="R1" s="21"/>
      <c r="S1" s="21" t="s">
        <v>67</v>
      </c>
      <c r="T1" s="21"/>
      <c r="U1" s="21"/>
      <c r="V1" s="21"/>
      <c r="W1" s="21"/>
      <c r="X1" s="21"/>
      <c r="Y1" s="21" t="s">
        <v>67</v>
      </c>
      <c r="Z1" s="21"/>
      <c r="AA1" s="21"/>
      <c r="AB1" s="21"/>
      <c r="AC1" s="21"/>
      <c r="AD1" s="21"/>
      <c r="AE1" s="21"/>
      <c r="AF1" s="21" t="s">
        <v>67</v>
      </c>
      <c r="AG1" s="21"/>
      <c r="AH1" s="21"/>
      <c r="AI1" s="21"/>
      <c r="AJ1" s="21"/>
      <c r="AK1" s="21"/>
      <c r="AL1" s="21" t="s">
        <v>67</v>
      </c>
      <c r="AM1" s="21"/>
      <c r="AN1" s="21"/>
      <c r="AO1" s="21"/>
      <c r="AP1" s="21"/>
      <c r="AQ1" s="21" t="s">
        <v>67</v>
      </c>
      <c r="AR1" s="21"/>
      <c r="AS1" s="21"/>
      <c r="AT1" s="21"/>
      <c r="AU1" s="21"/>
      <c r="AV1" s="21" t="s">
        <v>67</v>
      </c>
      <c r="AW1" s="21"/>
      <c r="AX1" s="21"/>
      <c r="AY1" s="21"/>
      <c r="AZ1" s="21" t="s">
        <v>63</v>
      </c>
      <c r="BA1" s="21"/>
      <c r="BB1" s="21"/>
      <c r="BC1" s="21"/>
      <c r="BD1" s="21"/>
      <c r="BE1" s="21"/>
      <c r="BF1" s="21" t="s">
        <v>138</v>
      </c>
      <c r="BG1" s="21"/>
      <c r="BH1" s="21"/>
      <c r="BI1" s="21"/>
      <c r="BJ1" s="21"/>
      <c r="BK1" s="21"/>
      <c r="BL1" s="21" t="s">
        <v>138</v>
      </c>
      <c r="BM1" s="21"/>
      <c r="BN1" s="21"/>
      <c r="BO1" s="21"/>
      <c r="BP1" s="21"/>
      <c r="BQ1" s="21" t="s">
        <v>138</v>
      </c>
      <c r="BS1" s="21"/>
      <c r="BT1" s="58" t="s">
        <v>64</v>
      </c>
      <c r="BU1" s="21"/>
      <c r="BV1" s="21"/>
      <c r="BW1" s="21"/>
      <c r="BX1" s="21"/>
      <c r="BY1" s="21"/>
      <c r="BZ1" s="21"/>
      <c r="CA1" s="21"/>
      <c r="CB1" s="21"/>
      <c r="CC1" s="21"/>
      <c r="CD1" s="58" t="s">
        <v>65</v>
      </c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</row>
    <row r="2" spans="1:117" s="1" customFormat="1" ht="89.25" customHeight="1">
      <c r="A2" s="49"/>
      <c r="B2" s="45" t="s">
        <v>75</v>
      </c>
      <c r="C2" s="20" t="s">
        <v>37</v>
      </c>
      <c r="D2" s="56" t="s">
        <v>68</v>
      </c>
      <c r="E2" s="20" t="s">
        <v>52</v>
      </c>
      <c r="F2" s="135" t="s">
        <v>212</v>
      </c>
      <c r="G2" s="130" t="s">
        <v>76</v>
      </c>
      <c r="H2" s="54" t="s">
        <v>77</v>
      </c>
      <c r="I2" s="54" t="s">
        <v>78</v>
      </c>
      <c r="J2" s="54" t="s">
        <v>79</v>
      </c>
      <c r="K2" s="54" t="s">
        <v>80</v>
      </c>
      <c r="L2" s="54" t="s">
        <v>81</v>
      </c>
      <c r="M2" s="54" t="s">
        <v>82</v>
      </c>
      <c r="N2" s="54" t="s">
        <v>83</v>
      </c>
      <c r="O2" s="54" t="s">
        <v>84</v>
      </c>
      <c r="P2" s="54" t="s">
        <v>85</v>
      </c>
      <c r="Q2" s="54" t="s">
        <v>86</v>
      </c>
      <c r="R2" s="54" t="s">
        <v>87</v>
      </c>
      <c r="S2" s="54" t="s">
        <v>88</v>
      </c>
      <c r="T2" s="54" t="s">
        <v>89</v>
      </c>
      <c r="U2" s="54" t="s">
        <v>90</v>
      </c>
      <c r="V2" s="54" t="s">
        <v>91</v>
      </c>
      <c r="W2" s="54" t="s">
        <v>92</v>
      </c>
      <c r="X2" s="54" t="s">
        <v>93</v>
      </c>
      <c r="Y2" s="54" t="s">
        <v>94</v>
      </c>
      <c r="Z2" s="54" t="s">
        <v>95</v>
      </c>
      <c r="AA2" s="54" t="s">
        <v>96</v>
      </c>
      <c r="AB2" s="54" t="s">
        <v>97</v>
      </c>
      <c r="AC2" s="54" t="s">
        <v>215</v>
      </c>
      <c r="AD2" s="54" t="s">
        <v>98</v>
      </c>
      <c r="AE2" s="54" t="s">
        <v>99</v>
      </c>
      <c r="AF2" s="54" t="s">
        <v>100</v>
      </c>
      <c r="AG2" s="54" t="s">
        <v>101</v>
      </c>
      <c r="AH2" s="54" t="s">
        <v>102</v>
      </c>
      <c r="AI2" s="54" t="s">
        <v>103</v>
      </c>
      <c r="AJ2" s="54" t="s">
        <v>104</v>
      </c>
      <c r="AK2" s="54" t="s">
        <v>105</v>
      </c>
      <c r="AL2" s="54" t="s">
        <v>106</v>
      </c>
      <c r="AM2" s="54" t="s">
        <v>107</v>
      </c>
      <c r="AN2" s="36" t="s">
        <v>108</v>
      </c>
      <c r="AO2" s="36" t="s">
        <v>109</v>
      </c>
      <c r="AP2" s="36" t="s">
        <v>110</v>
      </c>
      <c r="AQ2" s="36" t="s">
        <v>111</v>
      </c>
      <c r="AR2" s="36" t="s">
        <v>112</v>
      </c>
      <c r="AS2" s="36" t="s">
        <v>113</v>
      </c>
      <c r="AT2" s="36" t="s">
        <v>114</v>
      </c>
      <c r="AU2" s="36" t="s">
        <v>115</v>
      </c>
      <c r="AV2" s="36" t="s">
        <v>116</v>
      </c>
      <c r="AW2" s="36" t="s">
        <v>117</v>
      </c>
      <c r="AX2" s="36" t="s">
        <v>118</v>
      </c>
      <c r="AY2" s="54" t="s">
        <v>139</v>
      </c>
      <c r="AZ2" s="54" t="s">
        <v>119</v>
      </c>
      <c r="BA2" s="54" t="s">
        <v>120</v>
      </c>
      <c r="BB2" s="54" t="s">
        <v>121</v>
      </c>
      <c r="BC2" s="54" t="s">
        <v>122</v>
      </c>
      <c r="BD2" s="54" t="s">
        <v>123</v>
      </c>
      <c r="BE2" s="54" t="s">
        <v>124</v>
      </c>
      <c r="BF2" s="54" t="s">
        <v>125</v>
      </c>
      <c r="BG2" s="54" t="s">
        <v>126</v>
      </c>
      <c r="BH2" s="54" t="s">
        <v>127</v>
      </c>
      <c r="BI2" s="54" t="s">
        <v>128</v>
      </c>
      <c r="BJ2" s="54" t="s">
        <v>129</v>
      </c>
      <c r="BK2" s="54" t="s">
        <v>130</v>
      </c>
      <c r="BL2" s="54" t="s">
        <v>132</v>
      </c>
      <c r="BM2" s="54" t="s">
        <v>131</v>
      </c>
      <c r="BN2" s="54" t="s">
        <v>133</v>
      </c>
      <c r="BO2" s="54" t="s">
        <v>134</v>
      </c>
      <c r="BP2" s="54" t="s">
        <v>135</v>
      </c>
      <c r="BQ2" s="54" t="s">
        <v>136</v>
      </c>
      <c r="BR2" s="54" t="s">
        <v>137</v>
      </c>
      <c r="BS2" s="54" t="s">
        <v>118</v>
      </c>
      <c r="BT2" s="36" t="s">
        <v>140</v>
      </c>
      <c r="BU2" s="36" t="s">
        <v>141</v>
      </c>
      <c r="BV2" s="36" t="s">
        <v>146</v>
      </c>
      <c r="BW2" s="36" t="s">
        <v>142</v>
      </c>
      <c r="BX2" s="36" t="s">
        <v>143</v>
      </c>
      <c r="BY2" s="36" t="s">
        <v>144</v>
      </c>
      <c r="BZ2" s="36" t="s">
        <v>145</v>
      </c>
      <c r="CA2" s="36" t="s">
        <v>147</v>
      </c>
      <c r="CB2" s="36" t="s">
        <v>148</v>
      </c>
      <c r="CC2" s="36" t="s">
        <v>118</v>
      </c>
      <c r="CD2" s="131" t="s">
        <v>149</v>
      </c>
      <c r="CE2" s="131" t="s">
        <v>150</v>
      </c>
      <c r="CF2" s="131" t="s">
        <v>60</v>
      </c>
      <c r="CG2" s="131" t="s">
        <v>151</v>
      </c>
      <c r="CH2" s="131" t="s">
        <v>152</v>
      </c>
      <c r="CI2" s="131" t="s">
        <v>153</v>
      </c>
      <c r="CJ2" s="131" t="s">
        <v>46</v>
      </c>
      <c r="CK2" s="131" t="s">
        <v>249</v>
      </c>
      <c r="CL2" s="131" t="s">
        <v>45</v>
      </c>
      <c r="CM2" s="131" t="s">
        <v>69</v>
      </c>
      <c r="CN2" s="131" t="s">
        <v>43</v>
      </c>
      <c r="CO2" s="131" t="s">
        <v>44</v>
      </c>
      <c r="CP2" s="131" t="s">
        <v>154</v>
      </c>
      <c r="CQ2" s="131" t="s">
        <v>156</v>
      </c>
      <c r="CR2" s="131" t="s">
        <v>155</v>
      </c>
      <c r="CS2" s="131" t="s">
        <v>161</v>
      </c>
      <c r="CT2" s="131" t="s">
        <v>164</v>
      </c>
      <c r="CU2" s="131" t="s">
        <v>165</v>
      </c>
      <c r="CV2" s="131" t="s">
        <v>163</v>
      </c>
      <c r="CW2" s="131" t="s">
        <v>167</v>
      </c>
      <c r="CX2" s="131" t="s">
        <v>149</v>
      </c>
      <c r="CY2" s="131" t="s">
        <v>168</v>
      </c>
      <c r="CZ2" s="131" t="s">
        <v>173</v>
      </c>
      <c r="DA2" s="131" t="s">
        <v>178</v>
      </c>
      <c r="DB2" s="131" t="s">
        <v>179</v>
      </c>
      <c r="DC2" s="131" t="s">
        <v>181</v>
      </c>
      <c r="DD2" s="131" t="s">
        <v>184</v>
      </c>
      <c r="DE2" s="131" t="s">
        <v>190</v>
      </c>
      <c r="DF2" s="131" t="s">
        <v>198</v>
      </c>
      <c r="DG2" s="131" t="s">
        <v>194</v>
      </c>
      <c r="DH2" s="131" t="s">
        <v>195</v>
      </c>
      <c r="DI2" s="131" t="s">
        <v>196</v>
      </c>
      <c r="DJ2" s="131" t="s">
        <v>199</v>
      </c>
      <c r="DK2" s="131" t="s">
        <v>250</v>
      </c>
      <c r="DL2" s="131"/>
      <c r="DM2" s="132"/>
    </row>
    <row r="3" spans="1:117" s="5" customFormat="1" ht="12.75" customHeight="1">
      <c r="A3" s="50" t="s">
        <v>38</v>
      </c>
      <c r="B3" s="41">
        <v>172</v>
      </c>
      <c r="C3" s="6">
        <v>392011</v>
      </c>
      <c r="D3" s="63">
        <v>2279.13</v>
      </c>
      <c r="E3" s="63">
        <v>68.71</v>
      </c>
      <c r="F3" s="127">
        <v>8</v>
      </c>
      <c r="G3" s="133">
        <v>164017.45</v>
      </c>
      <c r="H3" s="43">
        <v>201760.35</v>
      </c>
      <c r="I3" s="43">
        <v>7507.55</v>
      </c>
      <c r="J3" s="43">
        <v>0</v>
      </c>
      <c r="K3" s="43">
        <v>28678.4</v>
      </c>
      <c r="L3" s="43">
        <v>0</v>
      </c>
      <c r="M3" s="43">
        <f aca="true" t="shared" si="0" ref="M3:M31">SUM(K3:L3)</f>
        <v>28678.4</v>
      </c>
      <c r="N3" s="43">
        <v>200</v>
      </c>
      <c r="O3" s="43">
        <v>161855.85</v>
      </c>
      <c r="P3" s="43">
        <v>96846.45</v>
      </c>
      <c r="Q3" s="43">
        <v>1120.35</v>
      </c>
      <c r="R3" s="43">
        <v>47981.4</v>
      </c>
      <c r="S3" s="43">
        <v>0</v>
      </c>
      <c r="T3" s="43">
        <v>0</v>
      </c>
      <c r="U3" s="43">
        <v>0</v>
      </c>
      <c r="V3" s="43">
        <v>0</v>
      </c>
      <c r="W3" s="43">
        <f aca="true" t="shared" si="1" ref="W3:W14">SUM(R3:V3)</f>
        <v>47981.4</v>
      </c>
      <c r="X3" s="43">
        <v>142907.9</v>
      </c>
      <c r="Y3" s="43">
        <f aca="true" t="shared" si="2" ref="Y3:Y14">SUM(G3:X3)-M3-W3</f>
        <v>852875.7000000001</v>
      </c>
      <c r="Z3" s="43">
        <v>255589.85</v>
      </c>
      <c r="AA3" s="43">
        <v>6604.45</v>
      </c>
      <c r="AB3" s="43">
        <v>0</v>
      </c>
      <c r="AC3" s="43">
        <v>5130.95</v>
      </c>
      <c r="AD3" s="43">
        <v>6977.5</v>
      </c>
      <c r="AE3" s="43">
        <f aca="true" t="shared" si="3" ref="AE3:AE14">SUM(Z3:AD3)</f>
        <v>274302.75</v>
      </c>
      <c r="AF3" s="43">
        <v>47.1</v>
      </c>
      <c r="AG3" s="43">
        <v>61884.55</v>
      </c>
      <c r="AH3" s="43">
        <v>0</v>
      </c>
      <c r="AI3" s="43">
        <v>135355.7</v>
      </c>
      <c r="AJ3" s="43">
        <v>283052.05</v>
      </c>
      <c r="AK3" s="43">
        <v>22541.85</v>
      </c>
      <c r="AL3" s="43">
        <v>127872.4</v>
      </c>
      <c r="AM3" s="43">
        <v>1179.3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f aca="true" t="shared" si="4" ref="AS3:AS14">SUM(AN3:AR3)</f>
        <v>0</v>
      </c>
      <c r="AT3" s="4">
        <v>129932</v>
      </c>
      <c r="AU3" s="4">
        <f aca="true" t="shared" si="5" ref="AU3:AU14">SUM(Z3:AT3)-AE3-AH3-AS3</f>
        <v>1036167.7000000002</v>
      </c>
      <c r="AV3" s="4">
        <v>183292</v>
      </c>
      <c r="AW3" s="4">
        <v>0</v>
      </c>
      <c r="AX3" s="4">
        <f aca="true" t="shared" si="6" ref="AX3:AX14">Y3-AU3+AV3-AW3</f>
        <v>-1.1641532182693481E-10</v>
      </c>
      <c r="AY3" s="43">
        <v>22327.8</v>
      </c>
      <c r="AZ3" s="43">
        <v>71851.95</v>
      </c>
      <c r="BA3" s="43">
        <v>0</v>
      </c>
      <c r="BB3" s="43">
        <v>0</v>
      </c>
      <c r="BC3" s="43">
        <v>0</v>
      </c>
      <c r="BD3" s="43">
        <v>0</v>
      </c>
      <c r="BE3" s="43">
        <v>0</v>
      </c>
      <c r="BF3" s="43">
        <f aca="true" t="shared" si="7" ref="BF3:BF14">SUM(AZ3:BE3)</f>
        <v>71851.95</v>
      </c>
      <c r="BG3" s="43">
        <v>0</v>
      </c>
      <c r="BH3" s="43">
        <v>0</v>
      </c>
      <c r="BI3" s="43">
        <v>0</v>
      </c>
      <c r="BJ3" s="43">
        <v>0</v>
      </c>
      <c r="BK3" s="43">
        <v>0</v>
      </c>
      <c r="BL3" s="43">
        <v>0</v>
      </c>
      <c r="BM3" s="43">
        <v>28600</v>
      </c>
      <c r="BN3" s="43">
        <v>0</v>
      </c>
      <c r="BO3" s="43">
        <f aca="true" t="shared" si="8" ref="BO3:BO14">SUM(BG3:BN3)</f>
        <v>28600</v>
      </c>
      <c r="BP3" s="43">
        <v>28600</v>
      </c>
      <c r="BQ3" s="43">
        <v>0</v>
      </c>
      <c r="BR3" s="43">
        <v>71851.95</v>
      </c>
      <c r="BS3" s="43">
        <f aca="true" t="shared" si="9" ref="BS3:BS14">+BF3-BO3+BP3+BQ3-BR3</f>
        <v>0</v>
      </c>
      <c r="BT3" s="4">
        <v>1572485.2</v>
      </c>
      <c r="BU3" s="4">
        <v>197271</v>
      </c>
      <c r="BV3" s="4">
        <v>0</v>
      </c>
      <c r="BW3" s="4">
        <v>0</v>
      </c>
      <c r="BX3" s="4">
        <f aca="true" t="shared" si="10" ref="BX3:BX14">SUM(BT3:BW3)</f>
        <v>1769756.2</v>
      </c>
      <c r="BY3" s="4">
        <v>782195.95</v>
      </c>
      <c r="BZ3" s="4">
        <v>134479.7</v>
      </c>
      <c r="CA3" s="4">
        <v>853080.55</v>
      </c>
      <c r="CB3" s="4">
        <f aca="true" t="shared" si="11" ref="CB3:CB14">SUM(BY3:CA3)</f>
        <v>1769756.2</v>
      </c>
      <c r="CC3" s="4">
        <f aca="true" t="shared" si="12" ref="CC3:CC14">BX3-CB3</f>
        <v>0</v>
      </c>
      <c r="CD3" s="74">
        <f aca="true" t="shared" si="13" ref="CD3:CD14">K3+L3+AV3-AW3</f>
        <v>211970.4</v>
      </c>
      <c r="CE3" s="76">
        <f aca="true" t="shared" si="14" ref="CE3:CE14">CD3+W3-AS3</f>
        <v>259951.8</v>
      </c>
      <c r="CF3" s="76">
        <f aca="true" t="shared" si="15" ref="CF3:CF14">BR3-BP3</f>
        <v>43251.95</v>
      </c>
      <c r="CG3" s="76">
        <f aca="true" t="shared" si="16" ref="CG3:CG10">AU3-AM3-AT3-AS3</f>
        <v>905056.4000000001</v>
      </c>
      <c r="CH3" s="76">
        <f aca="true" t="shared" si="17" ref="CH3:CH14">I3-AG3+AY3+AH3+BQ3</f>
        <v>-32049.2</v>
      </c>
      <c r="CI3" s="37">
        <f aca="true" t="shared" si="18" ref="CI3:CI14">CH3+K3</f>
        <v>-3370.7999999999993</v>
      </c>
      <c r="CJ3" s="59">
        <f>IF(CF3=0,"-",(CD3/CF3))</f>
        <v>4.900828748761617</v>
      </c>
      <c r="CK3" s="59">
        <f>IF(CF3=0,"-",(CE3/CF3))</f>
        <v>6.010175263774235</v>
      </c>
      <c r="CL3" s="141">
        <f>IF(CG3=0,"-",(CD3/CG3*1))</f>
        <v>0.23420684059026595</v>
      </c>
      <c r="CM3" s="141">
        <f>IF(CE3=0,"-",(CE3/CG3))</f>
        <v>0.28722165823035994</v>
      </c>
      <c r="CN3" s="141">
        <f>IF(CG3=0,"-",(CH3/CG3))</f>
        <v>-0.03541127381674777</v>
      </c>
      <c r="CO3" s="141">
        <f>IF(CG3=0,"-",(CI3/CG3))</f>
        <v>-0.003724408777176758</v>
      </c>
      <c r="CP3" s="141">
        <f>IF(BU3+K3+L3=0,"-",((K3+L3)/(BU3+K3+L3)))</f>
        <v>0.12692399271695345</v>
      </c>
      <c r="CQ3" s="141">
        <f>IF(BU3+K3+L3=0,"-",((K3)/(BU3+K3+L3)))</f>
        <v>0.12692399271695345</v>
      </c>
      <c r="CR3" s="142">
        <f>IF(CE3=0,"-",(CS3/CE3))</f>
        <v>3.040137633207387</v>
      </c>
      <c r="CS3" s="76">
        <f>BT3-BY3</f>
        <v>790289.25</v>
      </c>
      <c r="CT3" s="80">
        <f aca="true" t="shared" si="19" ref="CT3:CT14">Y3-K3-L3-V3</f>
        <v>824197.3</v>
      </c>
      <c r="CU3" s="80">
        <f aca="true" t="shared" si="20" ref="CU3:CU14">AU3-AR3</f>
        <v>1036167.7000000002</v>
      </c>
      <c r="CV3" s="80">
        <f aca="true" t="shared" si="21" ref="CV3:CV14">CU3-CT3</f>
        <v>211970.40000000014</v>
      </c>
      <c r="CW3" s="80">
        <f aca="true" t="shared" si="22" ref="CW3:CW14">-V3+AR3</f>
        <v>0</v>
      </c>
      <c r="CX3" s="80">
        <f aca="true" t="shared" si="23" ref="CX3:CX14">CV3+CW3</f>
        <v>211970.40000000014</v>
      </c>
      <c r="CY3" s="80">
        <f aca="true" t="shared" si="24" ref="CY3:CY31">CX3-K3-L3</f>
        <v>183292.00000000015</v>
      </c>
      <c r="CZ3" s="80">
        <f aca="true" t="shared" si="25" ref="CZ3:CZ14">BR3-BP3</f>
        <v>43251.95</v>
      </c>
      <c r="DA3" s="80">
        <f aca="true" t="shared" si="26" ref="DA3:DA14">K3+L3</f>
        <v>28678.4</v>
      </c>
      <c r="DB3" s="80">
        <f aca="true" t="shared" si="27" ref="DB3:DB14">-CZ3+DA3+CY3</f>
        <v>168718.45000000016</v>
      </c>
      <c r="DC3" s="80">
        <f aca="true" t="shared" si="28" ref="DC3:DC31">-BP3-DA3</f>
        <v>-57278.4</v>
      </c>
      <c r="DD3" s="80">
        <f aca="true" t="shared" si="29" ref="DD3:DD31">DB3+DC3+BR3</f>
        <v>183292.00000000017</v>
      </c>
      <c r="DE3" s="80">
        <f aca="true" t="shared" si="30" ref="DE3:DE14">Z3+AA3+AB3</f>
        <v>262194.3</v>
      </c>
      <c r="DF3" s="80">
        <f aca="true" t="shared" si="31" ref="DF3:DF31">CS3/B3</f>
        <v>4594.704941860465</v>
      </c>
      <c r="DG3" s="80">
        <f aca="true" t="shared" si="32" ref="DG3:DG14">CH3/B3</f>
        <v>-186.33255813953488</v>
      </c>
      <c r="DH3" s="80">
        <f aca="true" t="shared" si="33" ref="DH3:DH31">DE3/B3</f>
        <v>1524.385465116279</v>
      </c>
      <c r="DI3" s="81">
        <f aca="true" t="shared" si="34" ref="DI3:DI31">CZ3/B3</f>
        <v>251.46482558139533</v>
      </c>
      <c r="DJ3" s="76">
        <f aca="true" t="shared" si="35" ref="DJ3:DJ31">DB3/B3</f>
        <v>980.9212209302335</v>
      </c>
      <c r="DK3" s="147">
        <f>CA3-BW3-BU3</f>
        <v>655809.55</v>
      </c>
      <c r="DL3" s="64"/>
      <c r="DM3" s="65"/>
    </row>
    <row r="4" spans="1:117" ht="12.75">
      <c r="A4" s="51" t="s">
        <v>0</v>
      </c>
      <c r="B4" s="46">
        <v>1925</v>
      </c>
      <c r="C4" s="38">
        <v>4676221</v>
      </c>
      <c r="D4" s="66">
        <v>2429.21</v>
      </c>
      <c r="E4" s="66">
        <v>73.24</v>
      </c>
      <c r="F4" s="128">
        <v>3</v>
      </c>
      <c r="G4" s="134">
        <v>2708531.2</v>
      </c>
      <c r="H4" s="42">
        <v>3092442.25</v>
      </c>
      <c r="I4" s="42">
        <v>143563.75</v>
      </c>
      <c r="J4" s="42">
        <v>6777.85</v>
      </c>
      <c r="K4" s="42">
        <v>454578</v>
      </c>
      <c r="L4" s="42">
        <v>0</v>
      </c>
      <c r="M4" s="43">
        <f t="shared" si="0"/>
        <v>454578</v>
      </c>
      <c r="N4" s="42">
        <v>0</v>
      </c>
      <c r="O4" s="42">
        <v>596227.65</v>
      </c>
      <c r="P4" s="42">
        <v>677468.9</v>
      </c>
      <c r="Q4" s="42">
        <v>0</v>
      </c>
      <c r="R4" s="42">
        <v>51216.65</v>
      </c>
      <c r="S4" s="42">
        <v>0</v>
      </c>
      <c r="T4" s="42">
        <v>0</v>
      </c>
      <c r="U4" s="42">
        <v>0</v>
      </c>
      <c r="V4" s="42">
        <v>0</v>
      </c>
      <c r="W4" s="43">
        <f t="shared" si="1"/>
        <v>51216.65</v>
      </c>
      <c r="X4" s="42">
        <v>832699</v>
      </c>
      <c r="Y4" s="43">
        <f t="shared" si="2"/>
        <v>8563505.250000002</v>
      </c>
      <c r="Z4" s="42">
        <v>2143992.85</v>
      </c>
      <c r="AA4" s="42">
        <v>0</v>
      </c>
      <c r="AB4" s="42">
        <v>0</v>
      </c>
      <c r="AC4" s="42">
        <v>0</v>
      </c>
      <c r="AD4" s="42">
        <v>0</v>
      </c>
      <c r="AE4" s="43">
        <f t="shared" si="3"/>
        <v>2143992.85</v>
      </c>
      <c r="AF4" s="42">
        <v>0</v>
      </c>
      <c r="AG4" s="42">
        <v>185287.5</v>
      </c>
      <c r="AH4" s="42">
        <v>0</v>
      </c>
      <c r="AI4" s="42">
        <v>2790377.25</v>
      </c>
      <c r="AJ4" s="42">
        <v>785556</v>
      </c>
      <c r="AK4" s="42">
        <v>28334.4</v>
      </c>
      <c r="AL4" s="42">
        <v>1132067.9</v>
      </c>
      <c r="AM4" s="42">
        <v>0</v>
      </c>
      <c r="AN4" s="38">
        <v>358935.8</v>
      </c>
      <c r="AO4" s="38">
        <v>0</v>
      </c>
      <c r="AP4" s="38">
        <v>0</v>
      </c>
      <c r="AQ4" s="38">
        <v>0</v>
      </c>
      <c r="AR4" s="38">
        <v>0</v>
      </c>
      <c r="AS4" s="4">
        <f t="shared" si="4"/>
        <v>358935.8</v>
      </c>
      <c r="AT4" s="38">
        <v>832699</v>
      </c>
      <c r="AU4" s="4">
        <f t="shared" si="5"/>
        <v>8257250.700000002</v>
      </c>
      <c r="AV4" s="38">
        <v>0</v>
      </c>
      <c r="AW4" s="38">
        <v>306254.55</v>
      </c>
      <c r="AX4" s="4">
        <f t="shared" si="6"/>
        <v>0</v>
      </c>
      <c r="AY4" s="42">
        <v>0</v>
      </c>
      <c r="AZ4" s="42">
        <v>2924255.05</v>
      </c>
      <c r="BA4" s="42">
        <v>0</v>
      </c>
      <c r="BB4" s="42">
        <v>45895</v>
      </c>
      <c r="BC4" s="42">
        <v>200372.4</v>
      </c>
      <c r="BD4" s="42">
        <v>0</v>
      </c>
      <c r="BE4" s="42">
        <v>108262.1</v>
      </c>
      <c r="BF4" s="43">
        <f t="shared" si="7"/>
        <v>3278784.55</v>
      </c>
      <c r="BG4" s="42">
        <v>0</v>
      </c>
      <c r="BH4" s="42">
        <v>929142.85</v>
      </c>
      <c r="BI4" s="42">
        <v>0</v>
      </c>
      <c r="BJ4" s="42">
        <v>0</v>
      </c>
      <c r="BK4" s="42">
        <v>0</v>
      </c>
      <c r="BL4" s="42">
        <v>0</v>
      </c>
      <c r="BM4" s="42">
        <f>434433.8</f>
        <v>434433.8</v>
      </c>
      <c r="BN4" s="42">
        <v>0</v>
      </c>
      <c r="BO4" s="43">
        <f t="shared" si="8"/>
        <v>1363576.65</v>
      </c>
      <c r="BP4" s="42">
        <v>1363576.65</v>
      </c>
      <c r="BQ4" s="42">
        <v>0</v>
      </c>
      <c r="BR4" s="42">
        <v>3278784.55</v>
      </c>
      <c r="BS4" s="43">
        <f t="shared" si="9"/>
        <v>0</v>
      </c>
      <c r="BT4" s="38">
        <v>16546056</v>
      </c>
      <c r="BU4" s="38">
        <v>5160932.4</v>
      </c>
      <c r="BV4" s="38">
        <v>218984.35</v>
      </c>
      <c r="BW4" s="38">
        <v>0</v>
      </c>
      <c r="BX4" s="4">
        <f t="shared" si="10"/>
        <v>21925972.75</v>
      </c>
      <c r="BY4" s="38">
        <v>7302274.8</v>
      </c>
      <c r="BZ4" s="38">
        <v>1826376.56</v>
      </c>
      <c r="CA4" s="38">
        <v>12797321.39</v>
      </c>
      <c r="CB4" s="4">
        <f t="shared" si="11"/>
        <v>21925972.75</v>
      </c>
      <c r="CC4" s="4">
        <f t="shared" si="12"/>
        <v>0</v>
      </c>
      <c r="CD4" s="74">
        <f t="shared" si="13"/>
        <v>148323.45</v>
      </c>
      <c r="CE4" s="76">
        <f>CD4+W4-AS4</f>
        <v>-159395.69999999998</v>
      </c>
      <c r="CF4" s="76">
        <f t="shared" si="15"/>
        <v>1915207.9</v>
      </c>
      <c r="CG4" s="76">
        <f t="shared" si="16"/>
        <v>7065615.900000002</v>
      </c>
      <c r="CH4" s="76">
        <f t="shared" si="17"/>
        <v>-41723.75</v>
      </c>
      <c r="CI4" s="37">
        <f t="shared" si="18"/>
        <v>412854.25</v>
      </c>
      <c r="CJ4" s="59">
        <f aca="true" t="shared" si="36" ref="CJ4:CJ31">IF(CF4=0,"-",(CD4/CF4))</f>
        <v>0.07744509094808977</v>
      </c>
      <c r="CK4" s="59">
        <f aca="true" t="shared" si="37" ref="CK4:CK31">IF(CF4=0,"-",(CE4/CF4))</f>
        <v>-0.0832263171011356</v>
      </c>
      <c r="CL4" s="141">
        <f aca="true" t="shared" si="38" ref="CL4:CL31">IF(CG4=0,"-",(CD4/CG4*1))</f>
        <v>0.020992288867556465</v>
      </c>
      <c r="CM4" s="141">
        <f aca="true" t="shared" si="39" ref="CM4:CM31">IF(CE4=0,"-",(CE4/CG4))</f>
        <v>-0.0225593497093438</v>
      </c>
      <c r="CN4" s="141">
        <f aca="true" t="shared" si="40" ref="CN4:CN31">IF(CG4=0,"-",(CH4/CG4))</f>
        <v>-0.0059051823068955655</v>
      </c>
      <c r="CO4" s="141">
        <f aca="true" t="shared" si="41" ref="CO4:CO31">IF(CG4=0,"-",(CI4/CG4))</f>
        <v>0.05843145959858926</v>
      </c>
      <c r="CP4" s="141">
        <f aca="true" t="shared" si="42" ref="CP4:CP31">IF(BU4+K4+L4=0,"-",((K4+L4)/(BU4+K4+L4)))</f>
        <v>0.08095043328563686</v>
      </c>
      <c r="CQ4" s="141">
        <f aca="true" t="shared" si="43" ref="CQ4:CQ31">IF(BU4+K4+L4=0,"-",((K4)/(BU4+K4+L4)))</f>
        <v>0.08095043328563686</v>
      </c>
      <c r="CR4" s="142">
        <f aca="true" t="shared" si="44" ref="CR4:CR31">IF(CE4=0,"-",(CS4/CE4))</f>
        <v>-57.99266354111184</v>
      </c>
      <c r="CS4" s="76">
        <f aca="true" t="shared" si="45" ref="CS4:CS31">BT4-BY4</f>
        <v>9243781.2</v>
      </c>
      <c r="CT4" s="80">
        <f t="shared" si="19"/>
        <v>8108927.250000002</v>
      </c>
      <c r="CU4" s="80">
        <f t="shared" si="20"/>
        <v>8257250.700000002</v>
      </c>
      <c r="CV4" s="80">
        <f t="shared" si="21"/>
        <v>148323.4500000002</v>
      </c>
      <c r="CW4" s="80">
        <f t="shared" si="22"/>
        <v>0</v>
      </c>
      <c r="CX4" s="80">
        <f t="shared" si="23"/>
        <v>148323.4500000002</v>
      </c>
      <c r="CY4" s="80">
        <f t="shared" si="24"/>
        <v>-306254.5499999998</v>
      </c>
      <c r="CZ4" s="80">
        <f t="shared" si="25"/>
        <v>1915207.9</v>
      </c>
      <c r="DA4" s="80">
        <f t="shared" si="26"/>
        <v>454578</v>
      </c>
      <c r="DB4" s="80">
        <f t="shared" si="27"/>
        <v>-1766884.4499999997</v>
      </c>
      <c r="DC4" s="80">
        <f t="shared" si="28"/>
        <v>-1818154.65</v>
      </c>
      <c r="DD4" s="80">
        <f t="shared" si="29"/>
        <v>-306254.5499999998</v>
      </c>
      <c r="DE4" s="80">
        <f t="shared" si="30"/>
        <v>2143992.85</v>
      </c>
      <c r="DF4" s="80">
        <f t="shared" si="31"/>
        <v>4801.964259740259</v>
      </c>
      <c r="DG4" s="80">
        <f t="shared" si="32"/>
        <v>-21.674675324675324</v>
      </c>
      <c r="DH4" s="80">
        <f t="shared" si="33"/>
        <v>1113.7625194805196</v>
      </c>
      <c r="DI4" s="81">
        <f t="shared" si="34"/>
        <v>994.9131948051947</v>
      </c>
      <c r="DJ4" s="76">
        <f t="shared" si="35"/>
        <v>-917.8620519480518</v>
      </c>
      <c r="DK4" s="147">
        <f>CA4-BW4-BU4</f>
        <v>7636388.99</v>
      </c>
      <c r="DL4" s="67"/>
      <c r="DM4" s="68"/>
    </row>
    <row r="5" spans="1:117" ht="12.75">
      <c r="A5" s="52" t="s">
        <v>32</v>
      </c>
      <c r="B5" s="41">
        <v>456</v>
      </c>
      <c r="C5" s="4">
        <v>1363362</v>
      </c>
      <c r="D5" s="69">
        <v>2989.83</v>
      </c>
      <c r="E5" s="69">
        <v>90.14</v>
      </c>
      <c r="F5" s="8">
        <v>6</v>
      </c>
      <c r="G5" s="133">
        <f>663369.9-33216.95</f>
        <v>630152.9500000001</v>
      </c>
      <c r="H5" s="43">
        <f>545574.4-3768.15</f>
        <v>541806.25</v>
      </c>
      <c r="I5" s="43">
        <f>516248.05-186131.45</f>
        <v>330116.6</v>
      </c>
      <c r="J5" s="43">
        <v>1733999</v>
      </c>
      <c r="K5" s="43">
        <v>347013.85</v>
      </c>
      <c r="L5" s="43">
        <v>0</v>
      </c>
      <c r="M5" s="43">
        <f t="shared" si="0"/>
        <v>347013.85</v>
      </c>
      <c r="N5" s="43">
        <v>0</v>
      </c>
      <c r="O5" s="43">
        <v>69351.7</v>
      </c>
      <c r="P5" s="43">
        <f>180210.15-2635</f>
        <v>177575.15</v>
      </c>
      <c r="Q5" s="43">
        <f>54225.1-32319.1</f>
        <v>21906</v>
      </c>
      <c r="R5" s="43">
        <v>352657.1</v>
      </c>
      <c r="S5" s="43">
        <v>0</v>
      </c>
      <c r="T5" s="43">
        <v>0</v>
      </c>
      <c r="U5" s="43">
        <v>0</v>
      </c>
      <c r="V5" s="43">
        <v>0</v>
      </c>
      <c r="W5" s="43">
        <f t="shared" si="1"/>
        <v>352657.1</v>
      </c>
      <c r="X5" s="43">
        <v>101365</v>
      </c>
      <c r="Y5" s="43">
        <f t="shared" si="2"/>
        <v>4305943.600000001</v>
      </c>
      <c r="Z5" s="43">
        <f>474360</f>
        <v>474360</v>
      </c>
      <c r="AA5" s="43">
        <v>0</v>
      </c>
      <c r="AB5" s="43">
        <v>19806.05</v>
      </c>
      <c r="AC5" s="43">
        <v>0</v>
      </c>
      <c r="AD5" s="43">
        <f>202293.65-9112.25</f>
        <v>193181.4</v>
      </c>
      <c r="AE5" s="43">
        <f t="shared" si="3"/>
        <v>687347.45</v>
      </c>
      <c r="AF5" s="43">
        <v>815</v>
      </c>
      <c r="AG5" s="43">
        <f>203366-61467.5</f>
        <v>141898.5</v>
      </c>
      <c r="AH5" s="43">
        <v>0</v>
      </c>
      <c r="AI5" s="43">
        <f>1117216.95-3917.35</f>
        <v>1113299.5999999999</v>
      </c>
      <c r="AJ5" s="43">
        <v>6230.25</v>
      </c>
      <c r="AK5" s="43">
        <v>7119.7</v>
      </c>
      <c r="AL5" s="43">
        <v>135752.85</v>
      </c>
      <c r="AM5" s="43">
        <v>26655.05</v>
      </c>
      <c r="AN5" s="4">
        <f>26584+0.21</f>
        <v>26584.21</v>
      </c>
      <c r="AO5" s="4">
        <v>0</v>
      </c>
      <c r="AP5" s="4">
        <v>0</v>
      </c>
      <c r="AQ5" s="4">
        <v>0</v>
      </c>
      <c r="AR5" s="4">
        <v>0</v>
      </c>
      <c r="AS5" s="4">
        <f t="shared" si="4"/>
        <v>26584.21</v>
      </c>
      <c r="AT5" s="4">
        <v>101365</v>
      </c>
      <c r="AU5" s="4">
        <f t="shared" si="5"/>
        <v>2247067.6100000003</v>
      </c>
      <c r="AV5" s="4">
        <v>0</v>
      </c>
      <c r="AW5" s="4">
        <v>2058875.99</v>
      </c>
      <c r="AX5" s="144">
        <f t="shared" si="6"/>
        <v>0</v>
      </c>
      <c r="AY5" s="43">
        <v>0</v>
      </c>
      <c r="AZ5" s="43">
        <v>468991</v>
      </c>
      <c r="BA5" s="43">
        <v>0</v>
      </c>
      <c r="BB5" s="43">
        <v>0</v>
      </c>
      <c r="BC5" s="43">
        <v>0</v>
      </c>
      <c r="BD5" s="43">
        <v>0</v>
      </c>
      <c r="BE5" s="43">
        <v>0</v>
      </c>
      <c r="BF5" s="43">
        <f t="shared" si="7"/>
        <v>468991</v>
      </c>
      <c r="BG5" s="43">
        <v>0</v>
      </c>
      <c r="BH5" s="43">
        <f>82852</f>
        <v>82852</v>
      </c>
      <c r="BI5" s="43">
        <v>0</v>
      </c>
      <c r="BJ5" s="43">
        <v>0</v>
      </c>
      <c r="BK5" s="43">
        <v>0</v>
      </c>
      <c r="BL5" s="43">
        <v>0</v>
      </c>
      <c r="BM5" s="43">
        <v>0</v>
      </c>
      <c r="BN5" s="43">
        <v>0</v>
      </c>
      <c r="BO5" s="43">
        <f t="shared" si="8"/>
        <v>82852</v>
      </c>
      <c r="BP5" s="43">
        <v>82852</v>
      </c>
      <c r="BQ5" s="43">
        <v>0</v>
      </c>
      <c r="BR5" s="43">
        <v>468991</v>
      </c>
      <c r="BS5" s="43">
        <f t="shared" si="9"/>
        <v>0</v>
      </c>
      <c r="BT5" s="4">
        <v>4761524.25</v>
      </c>
      <c r="BU5" s="4">
        <v>1200344.1</v>
      </c>
      <c r="BV5" s="4">
        <v>0</v>
      </c>
      <c r="BW5" s="4">
        <v>2621335.77</v>
      </c>
      <c r="BX5" s="4">
        <f t="shared" si="10"/>
        <v>8583204.12</v>
      </c>
      <c r="BY5" s="4">
        <v>8583204.12</v>
      </c>
      <c r="BZ5" s="4">
        <v>0</v>
      </c>
      <c r="CA5" s="4">
        <v>0</v>
      </c>
      <c r="CB5" s="4">
        <f t="shared" si="11"/>
        <v>8583204.12</v>
      </c>
      <c r="CC5" s="4">
        <f t="shared" si="12"/>
        <v>0</v>
      </c>
      <c r="CD5" s="74">
        <f t="shared" si="13"/>
        <v>-1711862.1400000001</v>
      </c>
      <c r="CE5" s="76">
        <f t="shared" si="14"/>
        <v>-1385789.25</v>
      </c>
      <c r="CF5" s="76">
        <f t="shared" si="15"/>
        <v>386139</v>
      </c>
      <c r="CG5" s="76">
        <f t="shared" si="16"/>
        <v>2092463.3500000006</v>
      </c>
      <c r="CH5" s="76">
        <f t="shared" si="17"/>
        <v>188218.09999999998</v>
      </c>
      <c r="CI5" s="37">
        <f t="shared" si="18"/>
        <v>535231.95</v>
      </c>
      <c r="CJ5" s="59">
        <f t="shared" si="36"/>
        <v>-4.433279570310174</v>
      </c>
      <c r="CK5" s="59">
        <f t="shared" si="37"/>
        <v>-3.5888352380878388</v>
      </c>
      <c r="CL5" s="141">
        <f t="shared" si="38"/>
        <v>-0.8181085417816277</v>
      </c>
      <c r="CM5" s="141">
        <f t="shared" si="39"/>
        <v>-0.6622764742808994</v>
      </c>
      <c r="CN5" s="141">
        <f t="shared" si="40"/>
        <v>0.08995048826064261</v>
      </c>
      <c r="CO5" s="141">
        <f t="shared" si="41"/>
        <v>0.25579035828751784</v>
      </c>
      <c r="CP5" s="141">
        <f t="shared" si="42"/>
        <v>0.224262168944167</v>
      </c>
      <c r="CQ5" s="141">
        <f t="shared" si="43"/>
        <v>0.224262168944167</v>
      </c>
      <c r="CR5" s="142">
        <f t="shared" si="44"/>
        <v>2.7577641188947015</v>
      </c>
      <c r="CS5" s="76">
        <f t="shared" si="45"/>
        <v>-3821679.869999999</v>
      </c>
      <c r="CT5" s="80">
        <f t="shared" si="19"/>
        <v>3958929.7500000005</v>
      </c>
      <c r="CU5" s="80">
        <f t="shared" si="20"/>
        <v>2247067.6100000003</v>
      </c>
      <c r="CV5" s="80">
        <f t="shared" si="21"/>
        <v>-1711862.1400000001</v>
      </c>
      <c r="CW5" s="80">
        <f t="shared" si="22"/>
        <v>0</v>
      </c>
      <c r="CX5" s="80">
        <f t="shared" si="23"/>
        <v>-1711862.1400000001</v>
      </c>
      <c r="CY5" s="80">
        <f t="shared" si="24"/>
        <v>-2058875.9900000002</v>
      </c>
      <c r="CZ5" s="80">
        <f t="shared" si="25"/>
        <v>386139</v>
      </c>
      <c r="DA5" s="80">
        <f t="shared" si="26"/>
        <v>347013.85</v>
      </c>
      <c r="DB5" s="80">
        <f t="shared" si="27"/>
        <v>-2098001.14</v>
      </c>
      <c r="DC5" s="80">
        <f t="shared" si="28"/>
        <v>-429865.85</v>
      </c>
      <c r="DD5" s="80">
        <f t="shared" si="29"/>
        <v>-2058875.9900000002</v>
      </c>
      <c r="DE5" s="80">
        <f t="shared" si="30"/>
        <v>494166.05</v>
      </c>
      <c r="DF5" s="80">
        <f t="shared" si="31"/>
        <v>-8380.876907894735</v>
      </c>
      <c r="DG5" s="80">
        <f t="shared" si="32"/>
        <v>412.7589912280701</v>
      </c>
      <c r="DH5" s="80">
        <f t="shared" si="33"/>
        <v>1083.6974780701755</v>
      </c>
      <c r="DI5" s="81">
        <f t="shared" si="34"/>
        <v>846.796052631579</v>
      </c>
      <c r="DJ5" s="76">
        <f t="shared" si="35"/>
        <v>-4600.879692982457</v>
      </c>
      <c r="DK5" s="147">
        <f aca="true" t="shared" si="46" ref="DK5:DK31">CA5-BW5-BU5</f>
        <v>-3821679.87</v>
      </c>
      <c r="DL5" s="64"/>
      <c r="DM5" s="65"/>
    </row>
    <row r="6" spans="1:117" ht="12.75">
      <c r="A6" s="51" t="s">
        <v>1</v>
      </c>
      <c r="B6" s="46">
        <v>257</v>
      </c>
      <c r="C6" s="38">
        <v>666076</v>
      </c>
      <c r="D6" s="66">
        <v>2591.73</v>
      </c>
      <c r="E6" s="73">
        <v>78.14</v>
      </c>
      <c r="F6" s="128">
        <v>10</v>
      </c>
      <c r="G6" s="134">
        <v>571534.45</v>
      </c>
      <c r="H6" s="42">
        <v>276374.4</v>
      </c>
      <c r="I6" s="42">
        <v>21060.15</v>
      </c>
      <c r="J6" s="42">
        <v>0</v>
      </c>
      <c r="K6" s="42">
        <v>63155.45</v>
      </c>
      <c r="L6" s="42">
        <v>0</v>
      </c>
      <c r="M6" s="43">
        <f t="shared" si="0"/>
        <v>63155.45</v>
      </c>
      <c r="N6" s="42">
        <v>147143.05</v>
      </c>
      <c r="O6" s="42">
        <v>163009.9</v>
      </c>
      <c r="P6" s="42">
        <v>383624.35</v>
      </c>
      <c r="Q6" s="42">
        <v>782.4</v>
      </c>
      <c r="R6" s="42">
        <v>15191.9</v>
      </c>
      <c r="S6" s="42">
        <v>0</v>
      </c>
      <c r="T6" s="42">
        <v>0</v>
      </c>
      <c r="U6" s="42">
        <v>0</v>
      </c>
      <c r="V6" s="42">
        <v>0</v>
      </c>
      <c r="W6" s="43">
        <f t="shared" si="1"/>
        <v>15191.9</v>
      </c>
      <c r="X6" s="42">
        <v>168514.2</v>
      </c>
      <c r="Y6" s="43">
        <f t="shared" si="2"/>
        <v>1810390.2499999995</v>
      </c>
      <c r="Z6" s="42">
        <v>137533.8</v>
      </c>
      <c r="AA6" s="42">
        <v>0</v>
      </c>
      <c r="AB6" s="42">
        <v>5060.6</v>
      </c>
      <c r="AC6" s="42">
        <v>0</v>
      </c>
      <c r="AD6" s="42">
        <v>450</v>
      </c>
      <c r="AE6" s="43">
        <f t="shared" si="3"/>
        <v>143044.4</v>
      </c>
      <c r="AF6" s="42">
        <v>0</v>
      </c>
      <c r="AG6" s="42">
        <v>61170.9</v>
      </c>
      <c r="AH6" s="42">
        <v>0</v>
      </c>
      <c r="AI6" s="42">
        <v>193678.1</v>
      </c>
      <c r="AJ6" s="42">
        <v>582941</v>
      </c>
      <c r="AK6" s="42">
        <v>101335.7</v>
      </c>
      <c r="AL6" s="42">
        <v>541560.9</v>
      </c>
      <c r="AM6" s="42">
        <v>0</v>
      </c>
      <c r="AN6" s="38">
        <v>7724.85</v>
      </c>
      <c r="AO6" s="38">
        <v>0</v>
      </c>
      <c r="AP6" s="38">
        <v>0</v>
      </c>
      <c r="AQ6" s="38">
        <v>0</v>
      </c>
      <c r="AR6" s="38">
        <v>0</v>
      </c>
      <c r="AS6" s="4">
        <f t="shared" si="4"/>
        <v>7724.85</v>
      </c>
      <c r="AT6" s="38">
        <v>161428.35</v>
      </c>
      <c r="AU6" s="4">
        <f t="shared" si="5"/>
        <v>1792884.2000000002</v>
      </c>
      <c r="AV6" s="38">
        <v>0</v>
      </c>
      <c r="AW6" s="38">
        <v>17506.05</v>
      </c>
      <c r="AX6" s="4">
        <f t="shared" si="6"/>
        <v>-6.511982064694166E-10</v>
      </c>
      <c r="AY6" s="42">
        <v>3046.7</v>
      </c>
      <c r="AZ6" s="42">
        <v>53848.45</v>
      </c>
      <c r="BA6" s="42">
        <v>0</v>
      </c>
      <c r="BB6" s="42">
        <v>0</v>
      </c>
      <c r="BC6" s="42">
        <v>0</v>
      </c>
      <c r="BD6" s="42">
        <v>0</v>
      </c>
      <c r="BE6" s="42">
        <v>29599.95</v>
      </c>
      <c r="BF6" s="43">
        <f t="shared" si="7"/>
        <v>83448.4</v>
      </c>
      <c r="BG6" s="42">
        <v>0</v>
      </c>
      <c r="BH6" s="42">
        <v>0</v>
      </c>
      <c r="BI6" s="42">
        <v>0</v>
      </c>
      <c r="BJ6" s="42">
        <v>0</v>
      </c>
      <c r="BK6" s="42">
        <v>0</v>
      </c>
      <c r="BL6" s="42">
        <v>0</v>
      </c>
      <c r="BM6" s="42">
        <v>0</v>
      </c>
      <c r="BN6" s="42">
        <v>0</v>
      </c>
      <c r="BO6" s="43">
        <f t="shared" si="8"/>
        <v>0</v>
      </c>
      <c r="BP6" s="42">
        <v>0</v>
      </c>
      <c r="BQ6" s="42">
        <v>0</v>
      </c>
      <c r="BR6" s="42">
        <v>83448.4</v>
      </c>
      <c r="BS6" s="43">
        <f t="shared" si="9"/>
        <v>0</v>
      </c>
      <c r="BT6" s="38">
        <v>1905033.73</v>
      </c>
      <c r="BU6" s="38">
        <v>612830.75</v>
      </c>
      <c r="BV6" s="38">
        <v>5924.85</v>
      </c>
      <c r="BW6" s="38">
        <v>0</v>
      </c>
      <c r="BX6" s="4">
        <f t="shared" si="10"/>
        <v>2523789.33</v>
      </c>
      <c r="BY6" s="38">
        <v>1016194.62</v>
      </c>
      <c r="BZ6" s="38">
        <v>455061.15</v>
      </c>
      <c r="CA6" s="38">
        <v>1052533.56</v>
      </c>
      <c r="CB6" s="4">
        <f t="shared" si="11"/>
        <v>2523789.33</v>
      </c>
      <c r="CC6" s="4">
        <f t="shared" si="12"/>
        <v>0</v>
      </c>
      <c r="CD6" s="74">
        <f t="shared" si="13"/>
        <v>45649.399999999994</v>
      </c>
      <c r="CE6" s="76">
        <f t="shared" si="14"/>
        <v>53116.45</v>
      </c>
      <c r="CF6" s="76">
        <f t="shared" si="15"/>
        <v>83448.4</v>
      </c>
      <c r="CG6" s="76">
        <f t="shared" si="16"/>
        <v>1623731</v>
      </c>
      <c r="CH6" s="76">
        <f t="shared" si="17"/>
        <v>-37064.05</v>
      </c>
      <c r="CI6" s="37">
        <f t="shared" si="18"/>
        <v>26091.399999999994</v>
      </c>
      <c r="CJ6" s="59">
        <f t="shared" si="36"/>
        <v>0.5470374506880898</v>
      </c>
      <c r="CK6" s="59">
        <f t="shared" si="37"/>
        <v>0.6365184952617426</v>
      </c>
      <c r="CL6" s="141">
        <f t="shared" si="38"/>
        <v>0.02811389324955919</v>
      </c>
      <c r="CM6" s="141">
        <f t="shared" si="39"/>
        <v>0.03271259217197922</v>
      </c>
      <c r="CN6" s="141">
        <f t="shared" si="40"/>
        <v>-0.022826471872496125</v>
      </c>
      <c r="CO6" s="141">
        <f t="shared" si="41"/>
        <v>0.016068794646403865</v>
      </c>
      <c r="CP6" s="141">
        <f t="shared" si="42"/>
        <v>0.09342712913370126</v>
      </c>
      <c r="CQ6" s="141">
        <f t="shared" si="43"/>
        <v>0.09342712913370126</v>
      </c>
      <c r="CR6" s="142">
        <f t="shared" si="44"/>
        <v>16.73378228401936</v>
      </c>
      <c r="CS6" s="76">
        <f t="shared" si="45"/>
        <v>888839.11</v>
      </c>
      <c r="CT6" s="80">
        <f t="shared" si="19"/>
        <v>1747234.7999999996</v>
      </c>
      <c r="CU6" s="80">
        <f t="shared" si="20"/>
        <v>1792884.2000000002</v>
      </c>
      <c r="CV6" s="80">
        <f t="shared" si="21"/>
        <v>45649.400000000605</v>
      </c>
      <c r="CW6" s="80">
        <f t="shared" si="22"/>
        <v>0</v>
      </c>
      <c r="CX6" s="80">
        <f t="shared" si="23"/>
        <v>45649.400000000605</v>
      </c>
      <c r="CY6" s="80">
        <f t="shared" si="24"/>
        <v>-17506.04999999939</v>
      </c>
      <c r="CZ6" s="80">
        <f t="shared" si="25"/>
        <v>83448.4</v>
      </c>
      <c r="DA6" s="80">
        <f t="shared" si="26"/>
        <v>63155.45</v>
      </c>
      <c r="DB6" s="80">
        <f t="shared" si="27"/>
        <v>-37798.99999999939</v>
      </c>
      <c r="DC6" s="80">
        <f t="shared" si="28"/>
        <v>-63155.45</v>
      </c>
      <c r="DD6" s="80">
        <f t="shared" si="29"/>
        <v>-17506.04999999939</v>
      </c>
      <c r="DE6" s="80">
        <f t="shared" si="30"/>
        <v>142594.4</v>
      </c>
      <c r="DF6" s="80">
        <f t="shared" si="31"/>
        <v>3458.5179377431905</v>
      </c>
      <c r="DG6" s="80">
        <f t="shared" si="32"/>
        <v>-144.21809338521402</v>
      </c>
      <c r="DH6" s="80">
        <f t="shared" si="33"/>
        <v>554.8420233463034</v>
      </c>
      <c r="DI6" s="81">
        <f t="shared" si="34"/>
        <v>324.7019455252918</v>
      </c>
      <c r="DJ6" s="76">
        <f t="shared" si="35"/>
        <v>-147.07782101167078</v>
      </c>
      <c r="DK6" s="147">
        <f t="shared" si="46"/>
        <v>439702.81000000006</v>
      </c>
      <c r="DL6" s="67"/>
      <c r="DM6" s="68"/>
    </row>
    <row r="7" spans="1:117" ht="12.75">
      <c r="A7" s="52" t="s">
        <v>2</v>
      </c>
      <c r="B7" s="41">
        <v>746</v>
      </c>
      <c r="C7" s="4">
        <v>1745012</v>
      </c>
      <c r="D7" s="69">
        <v>2339.16</v>
      </c>
      <c r="E7" s="69">
        <v>70.52</v>
      </c>
      <c r="F7" s="8">
        <v>8</v>
      </c>
      <c r="G7" s="133">
        <v>918736.65</v>
      </c>
      <c r="H7" s="43">
        <v>590159.65</v>
      </c>
      <c r="I7" s="43">
        <v>8201.5</v>
      </c>
      <c r="J7" s="43">
        <v>89288.05</v>
      </c>
      <c r="K7" s="43">
        <v>52171.35</v>
      </c>
      <c r="L7" s="43">
        <v>317003.2</v>
      </c>
      <c r="M7" s="43">
        <f t="shared" si="0"/>
        <v>369174.55</v>
      </c>
      <c r="N7" s="43">
        <v>0</v>
      </c>
      <c r="O7" s="43">
        <v>131697.95</v>
      </c>
      <c r="P7" s="43">
        <v>299047.3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50000</v>
      </c>
      <c r="W7" s="43">
        <f t="shared" si="1"/>
        <v>50000</v>
      </c>
      <c r="X7" s="43">
        <v>318833.35</v>
      </c>
      <c r="Y7" s="43">
        <f t="shared" si="2"/>
        <v>2775139.0000000005</v>
      </c>
      <c r="Z7" s="43">
        <v>689345.7</v>
      </c>
      <c r="AA7" s="43">
        <v>0</v>
      </c>
      <c r="AB7" s="43">
        <v>11268.8</v>
      </c>
      <c r="AC7" s="43">
        <v>0</v>
      </c>
      <c r="AD7" s="43">
        <v>0</v>
      </c>
      <c r="AE7" s="43">
        <f t="shared" si="3"/>
        <v>700614.5</v>
      </c>
      <c r="AF7" s="43">
        <v>123853.3</v>
      </c>
      <c r="AG7" s="43">
        <v>251174.85</v>
      </c>
      <c r="AH7" s="43">
        <v>0</v>
      </c>
      <c r="AI7" s="43">
        <v>655258.95</v>
      </c>
      <c r="AJ7" s="43">
        <v>313623.1</v>
      </c>
      <c r="AK7" s="43">
        <v>25484.25</v>
      </c>
      <c r="AL7" s="43">
        <v>308003.25</v>
      </c>
      <c r="AM7" s="43">
        <v>0</v>
      </c>
      <c r="AN7" s="4">
        <v>10600</v>
      </c>
      <c r="AO7" s="4">
        <v>0</v>
      </c>
      <c r="AP7" s="4">
        <v>0</v>
      </c>
      <c r="AQ7" s="4">
        <v>2000</v>
      </c>
      <c r="AR7" s="4">
        <v>0</v>
      </c>
      <c r="AS7" s="4">
        <f t="shared" si="4"/>
        <v>12600</v>
      </c>
      <c r="AT7" s="4">
        <v>385381.8</v>
      </c>
      <c r="AU7" s="4">
        <f t="shared" si="5"/>
        <v>2775994</v>
      </c>
      <c r="AV7" s="4">
        <v>855</v>
      </c>
      <c r="AW7" s="4">
        <v>0</v>
      </c>
      <c r="AX7" s="4">
        <f t="shared" si="6"/>
        <v>4.656612873077393E-10</v>
      </c>
      <c r="AY7" s="43">
        <v>0</v>
      </c>
      <c r="AZ7" s="43">
        <v>774080.75</v>
      </c>
      <c r="BA7" s="43">
        <v>0</v>
      </c>
      <c r="BB7" s="43">
        <v>0</v>
      </c>
      <c r="BC7" s="43">
        <v>0</v>
      </c>
      <c r="BD7" s="43">
        <v>0</v>
      </c>
      <c r="BE7" s="43">
        <v>0</v>
      </c>
      <c r="BF7" s="43">
        <f t="shared" si="7"/>
        <v>774080.75</v>
      </c>
      <c r="BG7" s="43">
        <v>0</v>
      </c>
      <c r="BH7" s="43">
        <v>0</v>
      </c>
      <c r="BI7" s="43">
        <v>0</v>
      </c>
      <c r="BJ7" s="43">
        <v>0</v>
      </c>
      <c r="BK7" s="43">
        <v>0</v>
      </c>
      <c r="BL7" s="43">
        <v>35000</v>
      </c>
      <c r="BM7" s="43">
        <v>427605.8</v>
      </c>
      <c r="BN7" s="43">
        <v>0</v>
      </c>
      <c r="BO7" s="43">
        <f t="shared" si="8"/>
        <v>462605.8</v>
      </c>
      <c r="BP7" s="43">
        <v>462605.8</v>
      </c>
      <c r="BQ7" s="43">
        <v>0</v>
      </c>
      <c r="BR7" s="43">
        <v>774080.75</v>
      </c>
      <c r="BS7" s="43">
        <f t="shared" si="9"/>
        <v>0</v>
      </c>
      <c r="BT7" s="4">
        <v>4085205</v>
      </c>
      <c r="BU7" s="4">
        <v>141385</v>
      </c>
      <c r="BV7" s="4">
        <v>0</v>
      </c>
      <c r="BW7" s="4">
        <v>0</v>
      </c>
      <c r="BX7" s="4">
        <f t="shared" si="10"/>
        <v>4226590</v>
      </c>
      <c r="BY7" s="4">
        <v>1321895</v>
      </c>
      <c r="BZ7" s="4">
        <v>1519480</v>
      </c>
      <c r="CA7" s="4">
        <v>1385215</v>
      </c>
      <c r="CB7" s="4">
        <f t="shared" si="11"/>
        <v>4226590</v>
      </c>
      <c r="CC7" s="4">
        <f t="shared" si="12"/>
        <v>0</v>
      </c>
      <c r="CD7" s="74">
        <f t="shared" si="13"/>
        <v>370029.55</v>
      </c>
      <c r="CE7" s="76">
        <f t="shared" si="14"/>
        <v>407429.55</v>
      </c>
      <c r="CF7" s="76">
        <f t="shared" si="15"/>
        <v>311474.95</v>
      </c>
      <c r="CG7" s="76">
        <f t="shared" si="16"/>
        <v>2378012.2</v>
      </c>
      <c r="CH7" s="76">
        <f t="shared" si="17"/>
        <v>-242973.35</v>
      </c>
      <c r="CI7" s="37">
        <f t="shared" si="18"/>
        <v>-190802</v>
      </c>
      <c r="CJ7" s="59">
        <f t="shared" si="36"/>
        <v>1.1879913617451419</v>
      </c>
      <c r="CK7" s="59">
        <f t="shared" si="37"/>
        <v>1.3080652232226058</v>
      </c>
      <c r="CL7" s="141">
        <f t="shared" si="38"/>
        <v>0.15560456334075998</v>
      </c>
      <c r="CM7" s="141">
        <f t="shared" si="39"/>
        <v>0.17133198475600755</v>
      </c>
      <c r="CN7" s="141">
        <f t="shared" si="40"/>
        <v>-0.10217498043113488</v>
      </c>
      <c r="CO7" s="141">
        <f t="shared" si="41"/>
        <v>-0.08023592141369165</v>
      </c>
      <c r="CP7" s="141">
        <f t="shared" si="42"/>
        <v>0.7230783363076843</v>
      </c>
      <c r="CQ7" s="141">
        <f t="shared" si="43"/>
        <v>0.10218465211354874</v>
      </c>
      <c r="CR7" s="142">
        <f t="shared" si="44"/>
        <v>6.7823013819198925</v>
      </c>
      <c r="CS7" s="76">
        <f t="shared" si="45"/>
        <v>2763310</v>
      </c>
      <c r="CT7" s="80">
        <f t="shared" si="19"/>
        <v>2355964.45</v>
      </c>
      <c r="CU7" s="80">
        <f t="shared" si="20"/>
        <v>2775994</v>
      </c>
      <c r="CV7" s="80">
        <f t="shared" si="21"/>
        <v>420029.5499999998</v>
      </c>
      <c r="CW7" s="80">
        <f t="shared" si="22"/>
        <v>-50000</v>
      </c>
      <c r="CX7" s="80">
        <f t="shared" si="23"/>
        <v>370029.5499999998</v>
      </c>
      <c r="CY7" s="80">
        <f t="shared" si="24"/>
        <v>854.9999999998254</v>
      </c>
      <c r="CZ7" s="80">
        <f t="shared" si="25"/>
        <v>311474.95</v>
      </c>
      <c r="DA7" s="80">
        <f t="shared" si="26"/>
        <v>369174.55</v>
      </c>
      <c r="DB7" s="80">
        <f t="shared" si="27"/>
        <v>58554.5999999998</v>
      </c>
      <c r="DC7" s="80">
        <f t="shared" si="28"/>
        <v>-831780.35</v>
      </c>
      <c r="DD7" s="80">
        <f t="shared" si="29"/>
        <v>854.9999999997672</v>
      </c>
      <c r="DE7" s="80">
        <f t="shared" si="30"/>
        <v>700614.5</v>
      </c>
      <c r="DF7" s="80">
        <f t="shared" si="31"/>
        <v>3704.1689008042895</v>
      </c>
      <c r="DG7" s="80">
        <f t="shared" si="32"/>
        <v>-325.7015415549598</v>
      </c>
      <c r="DH7" s="80">
        <f t="shared" si="33"/>
        <v>939.161528150134</v>
      </c>
      <c r="DI7" s="81">
        <f t="shared" si="34"/>
        <v>417.52674262734587</v>
      </c>
      <c r="DJ7" s="76">
        <f t="shared" si="35"/>
        <v>78.49142091152788</v>
      </c>
      <c r="DK7" s="147">
        <f t="shared" si="46"/>
        <v>1243830</v>
      </c>
      <c r="DL7" s="64"/>
      <c r="DM7" s="65"/>
    </row>
    <row r="8" spans="1:117" ht="12.75">
      <c r="A8" s="51" t="s">
        <v>3</v>
      </c>
      <c r="B8" s="46">
        <v>659</v>
      </c>
      <c r="C8" s="38">
        <v>1714109</v>
      </c>
      <c r="D8" s="66">
        <v>2601.08</v>
      </c>
      <c r="E8" s="66">
        <v>78.42</v>
      </c>
      <c r="F8" s="128">
        <v>8</v>
      </c>
      <c r="G8" s="134">
        <v>703781.15</v>
      </c>
      <c r="H8" s="42">
        <v>664206.8</v>
      </c>
      <c r="I8" s="42">
        <v>20026.5</v>
      </c>
      <c r="J8" s="42">
        <v>0</v>
      </c>
      <c r="K8" s="42">
        <v>59984.65</v>
      </c>
      <c r="L8" s="42">
        <v>235700</v>
      </c>
      <c r="M8" s="43">
        <f t="shared" si="0"/>
        <v>295684.65</v>
      </c>
      <c r="N8" s="42">
        <v>0</v>
      </c>
      <c r="O8" s="42">
        <v>114617.15</v>
      </c>
      <c r="P8" s="42">
        <v>199152.6</v>
      </c>
      <c r="Q8" s="42">
        <v>0</v>
      </c>
      <c r="R8" s="42">
        <v>0</v>
      </c>
      <c r="S8" s="42">
        <v>0</v>
      </c>
      <c r="T8" s="42">
        <v>300000</v>
      </c>
      <c r="U8" s="42">
        <v>0</v>
      </c>
      <c r="V8" s="42">
        <v>0</v>
      </c>
      <c r="W8" s="43">
        <f t="shared" si="1"/>
        <v>300000</v>
      </c>
      <c r="X8" s="42">
        <v>690782.85</v>
      </c>
      <c r="Y8" s="43">
        <f t="shared" si="2"/>
        <v>2988251.7</v>
      </c>
      <c r="Z8" s="42">
        <v>646071.4</v>
      </c>
      <c r="AA8" s="42">
        <v>46170.4</v>
      </c>
      <c r="AB8" s="42">
        <v>0</v>
      </c>
      <c r="AC8" s="42">
        <v>0</v>
      </c>
      <c r="AD8" s="42">
        <v>5200</v>
      </c>
      <c r="AE8" s="43">
        <f t="shared" si="3"/>
        <v>697441.8</v>
      </c>
      <c r="AF8" s="42">
        <v>0</v>
      </c>
      <c r="AG8" s="42">
        <v>81425.15</v>
      </c>
      <c r="AH8" s="42">
        <v>0</v>
      </c>
      <c r="AI8" s="42">
        <v>466493.3</v>
      </c>
      <c r="AJ8" s="42">
        <v>9760.25</v>
      </c>
      <c r="AK8" s="42">
        <v>10647.85</v>
      </c>
      <c r="AL8" s="42">
        <v>1012910.3</v>
      </c>
      <c r="AM8" s="42">
        <v>0</v>
      </c>
      <c r="AN8" s="38">
        <v>51083.85</v>
      </c>
      <c r="AO8" s="38">
        <v>0</v>
      </c>
      <c r="AP8" s="38">
        <v>0</v>
      </c>
      <c r="AQ8" s="38">
        <v>0</v>
      </c>
      <c r="AR8" s="38">
        <v>0</v>
      </c>
      <c r="AS8" s="4">
        <f t="shared" si="4"/>
        <v>51083.85</v>
      </c>
      <c r="AT8" s="38">
        <v>690782.85</v>
      </c>
      <c r="AU8" s="4">
        <f t="shared" si="5"/>
        <v>3020545.35</v>
      </c>
      <c r="AV8" s="38">
        <v>32293.65</v>
      </c>
      <c r="AW8" s="38">
        <v>0</v>
      </c>
      <c r="AX8" s="4">
        <f t="shared" si="6"/>
        <v>9.458744898438454E-11</v>
      </c>
      <c r="AY8" s="42">
        <v>6196.95</v>
      </c>
      <c r="AZ8" s="42">
        <v>183394.25</v>
      </c>
      <c r="BA8" s="42">
        <v>0</v>
      </c>
      <c r="BB8" s="42">
        <v>0</v>
      </c>
      <c r="BC8" s="42">
        <v>0</v>
      </c>
      <c r="BD8" s="42">
        <v>0</v>
      </c>
      <c r="BE8" s="42">
        <v>65027.4</v>
      </c>
      <c r="BF8" s="43">
        <f t="shared" si="7"/>
        <v>248421.65</v>
      </c>
      <c r="BG8" s="42">
        <v>0</v>
      </c>
      <c r="BH8" s="42">
        <v>7378</v>
      </c>
      <c r="BI8" s="42">
        <v>0</v>
      </c>
      <c r="BJ8" s="42">
        <v>0</v>
      </c>
      <c r="BK8" s="42">
        <v>0</v>
      </c>
      <c r="BL8" s="42">
        <v>40400</v>
      </c>
      <c r="BM8" s="42">
        <v>267959</v>
      </c>
      <c r="BN8" s="42">
        <v>0</v>
      </c>
      <c r="BO8" s="43">
        <f t="shared" si="8"/>
        <v>315737</v>
      </c>
      <c r="BP8" s="42">
        <v>315737</v>
      </c>
      <c r="BQ8" s="42">
        <v>0</v>
      </c>
      <c r="BR8" s="42">
        <v>248421.65</v>
      </c>
      <c r="BS8" s="43">
        <f t="shared" si="9"/>
        <v>0</v>
      </c>
      <c r="BT8" s="38">
        <v>1130636.85</v>
      </c>
      <c r="BU8" s="38">
        <v>401909</v>
      </c>
      <c r="BV8" s="38">
        <v>5820.35</v>
      </c>
      <c r="BW8" s="38">
        <v>72297.2</v>
      </c>
      <c r="BX8" s="4">
        <f t="shared" si="10"/>
        <v>1610663.4000000001</v>
      </c>
      <c r="BY8" s="38">
        <v>440916.2</v>
      </c>
      <c r="BZ8" s="38">
        <v>1169747.2</v>
      </c>
      <c r="CA8" s="38">
        <v>0</v>
      </c>
      <c r="CB8" s="4">
        <f t="shared" si="11"/>
        <v>1610663.4</v>
      </c>
      <c r="CC8" s="4">
        <f t="shared" si="12"/>
        <v>0</v>
      </c>
      <c r="CD8" s="74">
        <f t="shared" si="13"/>
        <v>327978.30000000005</v>
      </c>
      <c r="CE8" s="76">
        <f t="shared" si="14"/>
        <v>576894.4500000001</v>
      </c>
      <c r="CF8" s="76">
        <f t="shared" si="15"/>
        <v>-67315.35</v>
      </c>
      <c r="CG8" s="76">
        <f t="shared" si="16"/>
        <v>2278678.65</v>
      </c>
      <c r="CH8" s="76">
        <f t="shared" si="17"/>
        <v>-55201.7</v>
      </c>
      <c r="CI8" s="37">
        <f t="shared" si="18"/>
        <v>4782.950000000004</v>
      </c>
      <c r="CJ8" s="59">
        <f t="shared" si="36"/>
        <v>-4.872266132464587</v>
      </c>
      <c r="CK8" s="59">
        <f t="shared" si="37"/>
        <v>-8.570028232787916</v>
      </c>
      <c r="CL8" s="141">
        <f t="shared" si="38"/>
        <v>0.1439335467508769</v>
      </c>
      <c r="CM8" s="141">
        <f t="shared" si="39"/>
        <v>0.2531706039375057</v>
      </c>
      <c r="CN8" s="141">
        <f t="shared" si="40"/>
        <v>-0.024225311454074493</v>
      </c>
      <c r="CO8" s="141">
        <f t="shared" si="41"/>
        <v>0.002099001541968195</v>
      </c>
      <c r="CP8" s="141">
        <f t="shared" si="42"/>
        <v>0.4238637349981612</v>
      </c>
      <c r="CQ8" s="141">
        <f t="shared" si="43"/>
        <v>0.08598795301534067</v>
      </c>
      <c r="CR8" s="142">
        <f t="shared" si="44"/>
        <v>1.1955751177706773</v>
      </c>
      <c r="CS8" s="76">
        <f t="shared" si="45"/>
        <v>689720.6500000001</v>
      </c>
      <c r="CT8" s="80">
        <f t="shared" si="19"/>
        <v>2692567.0500000003</v>
      </c>
      <c r="CU8" s="80">
        <f t="shared" si="20"/>
        <v>3020545.35</v>
      </c>
      <c r="CV8" s="80">
        <f t="shared" si="21"/>
        <v>327978.2999999998</v>
      </c>
      <c r="CW8" s="80">
        <f t="shared" si="22"/>
        <v>0</v>
      </c>
      <c r="CX8" s="80">
        <f t="shared" si="23"/>
        <v>327978.2999999998</v>
      </c>
      <c r="CY8" s="80">
        <f t="shared" si="24"/>
        <v>32293.64999999979</v>
      </c>
      <c r="CZ8" s="80">
        <f t="shared" si="25"/>
        <v>-67315.35</v>
      </c>
      <c r="DA8" s="80">
        <f t="shared" si="26"/>
        <v>295684.65</v>
      </c>
      <c r="DB8" s="80">
        <f t="shared" si="27"/>
        <v>395293.6499999998</v>
      </c>
      <c r="DC8" s="80">
        <f t="shared" si="28"/>
        <v>-611421.65</v>
      </c>
      <c r="DD8" s="80">
        <f t="shared" si="29"/>
        <v>32293.64999999976</v>
      </c>
      <c r="DE8" s="80">
        <f t="shared" si="30"/>
        <v>692241.8</v>
      </c>
      <c r="DF8" s="80">
        <f t="shared" si="31"/>
        <v>1046.6170713201823</v>
      </c>
      <c r="DG8" s="80">
        <f t="shared" si="32"/>
        <v>-83.7658573596358</v>
      </c>
      <c r="DH8" s="80">
        <f t="shared" si="33"/>
        <v>1050.4427921092565</v>
      </c>
      <c r="DI8" s="81">
        <f t="shared" si="34"/>
        <v>-102.14772382397572</v>
      </c>
      <c r="DJ8" s="76">
        <f t="shared" si="35"/>
        <v>599.8386191198783</v>
      </c>
      <c r="DK8" s="147">
        <f t="shared" si="46"/>
        <v>-474206.2</v>
      </c>
      <c r="DL8" s="67"/>
      <c r="DM8" s="68"/>
    </row>
    <row r="9" spans="1:117" ht="12.75">
      <c r="A9" s="52" t="s">
        <v>4</v>
      </c>
      <c r="B9" s="41">
        <v>2792</v>
      </c>
      <c r="C9" s="4">
        <v>10012131</v>
      </c>
      <c r="D9" s="69">
        <v>3586.01</v>
      </c>
      <c r="E9" s="69">
        <v>108.11</v>
      </c>
      <c r="F9" s="8">
        <v>4</v>
      </c>
      <c r="G9" s="133">
        <v>1868462</v>
      </c>
      <c r="H9" s="43">
        <v>1435164.65</v>
      </c>
      <c r="I9" s="43">
        <v>330834.25</v>
      </c>
      <c r="J9" s="43">
        <v>184043.65</v>
      </c>
      <c r="K9" s="43">
        <v>150500</v>
      </c>
      <c r="L9" s="43">
        <v>145096.15</v>
      </c>
      <c r="M9" s="43">
        <f t="shared" si="0"/>
        <v>295596.15</v>
      </c>
      <c r="N9" s="43">
        <v>0</v>
      </c>
      <c r="O9" s="43">
        <v>187919.15</v>
      </c>
      <c r="P9" s="43">
        <v>601386.95</v>
      </c>
      <c r="Q9" s="43">
        <v>0</v>
      </c>
      <c r="R9" s="43">
        <v>305591.85</v>
      </c>
      <c r="S9" s="43">
        <v>0</v>
      </c>
      <c r="T9" s="43">
        <v>246221.25</v>
      </c>
      <c r="U9" s="43">
        <v>0</v>
      </c>
      <c r="V9" s="43">
        <v>0</v>
      </c>
      <c r="W9" s="43">
        <f t="shared" si="1"/>
        <v>551813.1</v>
      </c>
      <c r="X9" s="43">
        <v>1255620.1</v>
      </c>
      <c r="Y9" s="43">
        <f t="shared" si="2"/>
        <v>6710840</v>
      </c>
      <c r="Z9" s="43">
        <v>2665845.6</v>
      </c>
      <c r="AA9" s="43">
        <v>51274.95</v>
      </c>
      <c r="AB9" s="43">
        <v>28255.1</v>
      </c>
      <c r="AC9" s="43">
        <v>0</v>
      </c>
      <c r="AD9" s="43">
        <v>9292</v>
      </c>
      <c r="AE9" s="43">
        <f t="shared" si="3"/>
        <v>2754667.6500000004</v>
      </c>
      <c r="AF9" s="43">
        <v>23873.6</v>
      </c>
      <c r="AG9" s="43">
        <v>903220</v>
      </c>
      <c r="AH9" s="43">
        <v>226260</v>
      </c>
      <c r="AI9" s="43">
        <v>1292908.85</v>
      </c>
      <c r="AJ9" s="43">
        <v>37342.3</v>
      </c>
      <c r="AK9" s="43">
        <v>81583.25</v>
      </c>
      <c r="AL9" s="43">
        <v>279607.75</v>
      </c>
      <c r="AM9" s="43">
        <v>0</v>
      </c>
      <c r="AN9" s="4">
        <v>9619.65</v>
      </c>
      <c r="AO9" s="4">
        <v>72617.55</v>
      </c>
      <c r="AP9" s="4">
        <v>0</v>
      </c>
      <c r="AQ9" s="4">
        <v>0</v>
      </c>
      <c r="AR9" s="4">
        <v>0</v>
      </c>
      <c r="AS9" s="4">
        <f t="shared" si="4"/>
        <v>82237.2</v>
      </c>
      <c r="AT9" s="4">
        <v>1255620.1</v>
      </c>
      <c r="AU9" s="4">
        <f t="shared" si="5"/>
        <v>6711060.699999998</v>
      </c>
      <c r="AV9" s="4">
        <v>220.7</v>
      </c>
      <c r="AW9" s="4">
        <v>0</v>
      </c>
      <c r="AX9" s="4">
        <f t="shared" si="6"/>
        <v>1.6763692656240892E-09</v>
      </c>
      <c r="AY9" s="43">
        <f>1031481.5</f>
        <v>1031481.5</v>
      </c>
      <c r="AZ9" s="43">
        <v>2257432.1</v>
      </c>
      <c r="BA9" s="43">
        <v>0</v>
      </c>
      <c r="BB9" s="43">
        <v>8698</v>
      </c>
      <c r="BC9" s="43">
        <v>0</v>
      </c>
      <c r="BD9" s="43">
        <v>0</v>
      </c>
      <c r="BE9" s="43">
        <v>90187.9</v>
      </c>
      <c r="BF9" s="43">
        <f t="shared" si="7"/>
        <v>2356318</v>
      </c>
      <c r="BG9" s="43">
        <v>0</v>
      </c>
      <c r="BH9" s="43">
        <v>27010.4</v>
      </c>
      <c r="BI9" s="43">
        <v>0</v>
      </c>
      <c r="BJ9" s="43">
        <v>0</v>
      </c>
      <c r="BK9" s="43">
        <v>0</v>
      </c>
      <c r="BL9" s="43">
        <v>134295.25</v>
      </c>
      <c r="BM9" s="43">
        <v>132112.95</v>
      </c>
      <c r="BN9" s="43">
        <v>0</v>
      </c>
      <c r="BO9" s="43">
        <f t="shared" si="8"/>
        <v>293418.6</v>
      </c>
      <c r="BP9" s="43">
        <v>150425.35</v>
      </c>
      <c r="BQ9" s="43">
        <v>0</v>
      </c>
      <c r="BR9" s="43">
        <v>2213324.75</v>
      </c>
      <c r="BS9" s="43">
        <f t="shared" si="9"/>
        <v>0</v>
      </c>
      <c r="BT9" s="4">
        <v>15123867.85</v>
      </c>
      <c r="BU9" s="4">
        <v>1486503.65</v>
      </c>
      <c r="BV9" s="4">
        <v>1468319.95</v>
      </c>
      <c r="BW9" s="4">
        <v>0</v>
      </c>
      <c r="BX9" s="4">
        <f t="shared" si="10"/>
        <v>18078691.45</v>
      </c>
      <c r="BY9" s="4">
        <v>8702302.8</v>
      </c>
      <c r="BZ9" s="4">
        <v>3047204.75</v>
      </c>
      <c r="CA9" s="4">
        <v>6329183.9</v>
      </c>
      <c r="CB9" s="4">
        <f t="shared" si="11"/>
        <v>18078691.450000003</v>
      </c>
      <c r="CC9" s="4">
        <f t="shared" si="12"/>
        <v>0</v>
      </c>
      <c r="CD9" s="74">
        <f t="shared" si="13"/>
        <v>295816.85000000003</v>
      </c>
      <c r="CE9" s="76">
        <f t="shared" si="14"/>
        <v>765392.75</v>
      </c>
      <c r="CF9" s="76">
        <f t="shared" si="15"/>
        <v>2062899.4</v>
      </c>
      <c r="CG9" s="76">
        <f t="shared" si="16"/>
        <v>5373203.399999998</v>
      </c>
      <c r="CH9" s="76">
        <f t="shared" si="17"/>
        <v>685355.75</v>
      </c>
      <c r="CI9" s="37">
        <f t="shared" si="18"/>
        <v>835855.75</v>
      </c>
      <c r="CJ9" s="59">
        <f t="shared" si="36"/>
        <v>0.14339858259690222</v>
      </c>
      <c r="CK9" s="59">
        <f t="shared" si="37"/>
        <v>0.3710276662061175</v>
      </c>
      <c r="CL9" s="141">
        <f t="shared" si="38"/>
        <v>0.05505409491849874</v>
      </c>
      <c r="CM9" s="141">
        <f t="shared" si="39"/>
        <v>0.14244626399216534</v>
      </c>
      <c r="CN9" s="141">
        <f t="shared" si="40"/>
        <v>0.12755068047489143</v>
      </c>
      <c r="CO9" s="141">
        <f t="shared" si="41"/>
        <v>0.1555600426367631</v>
      </c>
      <c r="CP9" s="141">
        <f t="shared" si="42"/>
        <v>0.16586958261260118</v>
      </c>
      <c r="CQ9" s="141">
        <f t="shared" si="43"/>
        <v>0.08445093815733552</v>
      </c>
      <c r="CR9" s="142">
        <f t="shared" si="44"/>
        <v>8.389895318449252</v>
      </c>
      <c r="CS9" s="76">
        <f t="shared" si="45"/>
        <v>6421565.049999999</v>
      </c>
      <c r="CT9" s="80">
        <f t="shared" si="19"/>
        <v>6415243.85</v>
      </c>
      <c r="CU9" s="80">
        <f t="shared" si="20"/>
        <v>6711060.699999998</v>
      </c>
      <c r="CV9" s="80">
        <f t="shared" si="21"/>
        <v>295816.8499999987</v>
      </c>
      <c r="CW9" s="80">
        <f t="shared" si="22"/>
        <v>0</v>
      </c>
      <c r="CX9" s="80">
        <f t="shared" si="23"/>
        <v>295816.8499999987</v>
      </c>
      <c r="CY9" s="80">
        <f t="shared" si="24"/>
        <v>220.69999999870197</v>
      </c>
      <c r="CZ9" s="80">
        <f t="shared" si="25"/>
        <v>2062899.4</v>
      </c>
      <c r="DA9" s="80">
        <f t="shared" si="26"/>
        <v>295596.15</v>
      </c>
      <c r="DB9" s="80">
        <f t="shared" si="27"/>
        <v>-1767082.5500000012</v>
      </c>
      <c r="DC9" s="80">
        <f t="shared" si="28"/>
        <v>-446021.5</v>
      </c>
      <c r="DD9" s="80">
        <f t="shared" si="29"/>
        <v>220.69999999878928</v>
      </c>
      <c r="DE9" s="80">
        <f t="shared" si="30"/>
        <v>2745375.6500000004</v>
      </c>
      <c r="DF9" s="80">
        <f t="shared" si="31"/>
        <v>2299.9874820916903</v>
      </c>
      <c r="DG9" s="80">
        <f t="shared" si="32"/>
        <v>245.47125716332377</v>
      </c>
      <c r="DH9" s="80">
        <f t="shared" si="33"/>
        <v>983.3007342406878</v>
      </c>
      <c r="DI9" s="81">
        <f t="shared" si="34"/>
        <v>738.8608166189111</v>
      </c>
      <c r="DJ9" s="76">
        <f t="shared" si="35"/>
        <v>-632.9092227793701</v>
      </c>
      <c r="DK9" s="147">
        <f t="shared" si="46"/>
        <v>4842680.25</v>
      </c>
      <c r="DL9" s="64"/>
      <c r="DM9" s="65"/>
    </row>
    <row r="10" spans="1:117" ht="12.75">
      <c r="A10" s="51" t="s">
        <v>5</v>
      </c>
      <c r="B10" s="46">
        <v>529</v>
      </c>
      <c r="C10" s="38">
        <v>1124605</v>
      </c>
      <c r="D10" s="66">
        <v>2125.91</v>
      </c>
      <c r="E10" s="66">
        <v>64.09</v>
      </c>
      <c r="F10" s="128">
        <v>8</v>
      </c>
      <c r="G10" s="134">
        <v>448946.65</v>
      </c>
      <c r="H10" s="42">
        <v>190755.05</v>
      </c>
      <c r="I10" s="42">
        <v>32928.25</v>
      </c>
      <c r="J10" s="42">
        <v>7288.9</v>
      </c>
      <c r="K10" s="42">
        <v>22073</v>
      </c>
      <c r="L10" s="42">
        <v>7462.75</v>
      </c>
      <c r="M10" s="43">
        <f t="shared" si="0"/>
        <v>29535.75</v>
      </c>
      <c r="N10" s="42">
        <v>0</v>
      </c>
      <c r="O10" s="42">
        <v>92057.45</v>
      </c>
      <c r="P10" s="42">
        <v>136025.65</v>
      </c>
      <c r="Q10" s="42">
        <v>10404.75</v>
      </c>
      <c r="R10" s="42">
        <v>56643.95</v>
      </c>
      <c r="S10" s="42">
        <v>67548</v>
      </c>
      <c r="T10" s="42">
        <v>180000</v>
      </c>
      <c r="U10" s="42">
        <v>0</v>
      </c>
      <c r="V10" s="42">
        <v>0</v>
      </c>
      <c r="W10" s="43">
        <f t="shared" si="1"/>
        <v>304191.95</v>
      </c>
      <c r="X10" s="42">
        <v>148623.1</v>
      </c>
      <c r="Y10" s="43">
        <f t="shared" si="2"/>
        <v>1400757.5</v>
      </c>
      <c r="Z10" s="42">
        <v>416935.65</v>
      </c>
      <c r="AA10" s="42">
        <v>38135.1</v>
      </c>
      <c r="AB10" s="42">
        <v>14012.75</v>
      </c>
      <c r="AC10" s="42">
        <v>0</v>
      </c>
      <c r="AD10" s="42">
        <v>47035.6</v>
      </c>
      <c r="AE10" s="43">
        <f t="shared" si="3"/>
        <v>516119.1</v>
      </c>
      <c r="AF10" s="42">
        <v>79.2</v>
      </c>
      <c r="AG10" s="42">
        <v>41258.55</v>
      </c>
      <c r="AH10" s="42">
        <v>0</v>
      </c>
      <c r="AI10" s="42">
        <v>469681.8</v>
      </c>
      <c r="AJ10" s="42">
        <v>76282.45</v>
      </c>
      <c r="AK10" s="42">
        <v>10399.85</v>
      </c>
      <c r="AL10" s="42">
        <v>116992.35</v>
      </c>
      <c r="AM10" s="42">
        <v>10404.75</v>
      </c>
      <c r="AN10" s="38">
        <v>43935.15</v>
      </c>
      <c r="AO10" s="38">
        <v>12131.75</v>
      </c>
      <c r="AP10" s="38">
        <v>0</v>
      </c>
      <c r="AQ10" s="38">
        <v>0</v>
      </c>
      <c r="AR10" s="38">
        <v>0</v>
      </c>
      <c r="AS10" s="4">
        <f t="shared" si="4"/>
        <v>56066.9</v>
      </c>
      <c r="AT10" s="38">
        <v>148623.1</v>
      </c>
      <c r="AU10" s="4">
        <f t="shared" si="5"/>
        <v>1445908.0500000003</v>
      </c>
      <c r="AV10" s="38">
        <v>45150.55</v>
      </c>
      <c r="AW10" s="38">
        <v>0</v>
      </c>
      <c r="AX10" s="4">
        <f t="shared" si="6"/>
        <v>-2.764863893389702E-10</v>
      </c>
      <c r="AY10" s="42">
        <v>3257.2</v>
      </c>
      <c r="AZ10" s="42">
        <v>22681.25</v>
      </c>
      <c r="BA10" s="42">
        <v>0</v>
      </c>
      <c r="BB10" s="42">
        <v>0</v>
      </c>
      <c r="BC10" s="42">
        <v>15852.3</v>
      </c>
      <c r="BD10" s="42">
        <v>0</v>
      </c>
      <c r="BE10" s="42">
        <v>0</v>
      </c>
      <c r="BF10" s="43">
        <f t="shared" si="7"/>
        <v>38533.55</v>
      </c>
      <c r="BG10" s="42">
        <v>0</v>
      </c>
      <c r="BH10" s="42">
        <v>8389.55</v>
      </c>
      <c r="BI10" s="42">
        <v>0</v>
      </c>
      <c r="BJ10" s="42">
        <v>0</v>
      </c>
      <c r="BK10" s="42">
        <v>0</v>
      </c>
      <c r="BL10" s="42">
        <v>0</v>
      </c>
      <c r="BM10" s="42">
        <v>0</v>
      </c>
      <c r="BN10" s="42">
        <v>0</v>
      </c>
      <c r="BO10" s="43">
        <f t="shared" si="8"/>
        <v>8389.55</v>
      </c>
      <c r="BP10" s="42">
        <v>8389.55</v>
      </c>
      <c r="BQ10" s="42">
        <v>0</v>
      </c>
      <c r="BR10" s="42">
        <v>38533.55</v>
      </c>
      <c r="BS10" s="43">
        <f t="shared" si="9"/>
        <v>0</v>
      </c>
      <c r="BT10" s="38">
        <v>2543367.3</v>
      </c>
      <c r="BU10" s="38">
        <v>220350.7</v>
      </c>
      <c r="BV10" s="38">
        <v>10006.9</v>
      </c>
      <c r="BW10" s="38">
        <v>0</v>
      </c>
      <c r="BX10" s="4">
        <f t="shared" si="10"/>
        <v>2773724.9</v>
      </c>
      <c r="BY10" s="38">
        <v>650994.6</v>
      </c>
      <c r="BZ10" s="38">
        <v>1439632.6</v>
      </c>
      <c r="CA10" s="38">
        <v>683097.7</v>
      </c>
      <c r="CB10" s="4">
        <f t="shared" si="11"/>
        <v>2773724.9000000004</v>
      </c>
      <c r="CC10" s="4">
        <f t="shared" si="12"/>
        <v>0</v>
      </c>
      <c r="CD10" s="74">
        <f t="shared" si="13"/>
        <v>74686.3</v>
      </c>
      <c r="CE10" s="76">
        <f t="shared" si="14"/>
        <v>322811.35</v>
      </c>
      <c r="CF10" s="76">
        <f t="shared" si="15"/>
        <v>30144.000000000004</v>
      </c>
      <c r="CG10" s="76">
        <f t="shared" si="16"/>
        <v>1230813.3000000003</v>
      </c>
      <c r="CH10" s="76">
        <f t="shared" si="17"/>
        <v>-5073.100000000003</v>
      </c>
      <c r="CI10" s="37">
        <f t="shared" si="18"/>
        <v>16999.899999999998</v>
      </c>
      <c r="CJ10" s="59">
        <f t="shared" si="36"/>
        <v>2.477650610403397</v>
      </c>
      <c r="CK10" s="59">
        <f t="shared" si="37"/>
        <v>10.70897525212314</v>
      </c>
      <c r="CL10" s="141">
        <f t="shared" si="38"/>
        <v>0.060680446010780015</v>
      </c>
      <c r="CM10" s="141">
        <f t="shared" si="39"/>
        <v>0.2622748307968397</v>
      </c>
      <c r="CN10" s="141">
        <f t="shared" si="40"/>
        <v>-0.004121746165726355</v>
      </c>
      <c r="CO10" s="141">
        <f t="shared" si="41"/>
        <v>0.013811924196789224</v>
      </c>
      <c r="CP10" s="141">
        <f t="shared" si="42"/>
        <v>0.11819668493429715</v>
      </c>
      <c r="CQ10" s="141">
        <f t="shared" si="43"/>
        <v>0.08833212044910799</v>
      </c>
      <c r="CR10" s="142">
        <f t="shared" si="44"/>
        <v>5.862162839069939</v>
      </c>
      <c r="CS10" s="76">
        <f t="shared" si="45"/>
        <v>1892372.6999999997</v>
      </c>
      <c r="CT10" s="80">
        <f t="shared" si="19"/>
        <v>1371221.75</v>
      </c>
      <c r="CU10" s="80">
        <f t="shared" si="20"/>
        <v>1445908.0500000003</v>
      </c>
      <c r="CV10" s="80">
        <f t="shared" si="21"/>
        <v>74686.30000000028</v>
      </c>
      <c r="CW10" s="80">
        <f t="shared" si="22"/>
        <v>0</v>
      </c>
      <c r="CX10" s="80">
        <f t="shared" si="23"/>
        <v>74686.30000000028</v>
      </c>
      <c r="CY10" s="80">
        <f t="shared" si="24"/>
        <v>45150.55000000028</v>
      </c>
      <c r="CZ10" s="80">
        <f t="shared" si="25"/>
        <v>30144.000000000004</v>
      </c>
      <c r="DA10" s="80">
        <f t="shared" si="26"/>
        <v>29535.75</v>
      </c>
      <c r="DB10" s="80">
        <f t="shared" si="27"/>
        <v>44542.30000000028</v>
      </c>
      <c r="DC10" s="80">
        <f t="shared" si="28"/>
        <v>-37925.3</v>
      </c>
      <c r="DD10" s="80">
        <f t="shared" si="29"/>
        <v>45150.55000000028</v>
      </c>
      <c r="DE10" s="80">
        <f t="shared" si="30"/>
        <v>469083.5</v>
      </c>
      <c r="DF10" s="80">
        <f t="shared" si="31"/>
        <v>3577.264083175803</v>
      </c>
      <c r="DG10" s="80">
        <f t="shared" si="32"/>
        <v>-9.589981096408323</v>
      </c>
      <c r="DH10" s="80">
        <f t="shared" si="33"/>
        <v>886.7362948960302</v>
      </c>
      <c r="DI10" s="81">
        <f t="shared" si="34"/>
        <v>56.982986767485826</v>
      </c>
      <c r="DJ10" s="76">
        <f t="shared" si="35"/>
        <v>84.20094517958465</v>
      </c>
      <c r="DK10" s="147">
        <f t="shared" si="46"/>
        <v>462746.99999999994</v>
      </c>
      <c r="DL10" s="67"/>
      <c r="DM10" s="68"/>
    </row>
    <row r="11" spans="1:117" ht="12.75">
      <c r="A11" s="52" t="s">
        <v>6</v>
      </c>
      <c r="B11" s="41">
        <v>5737</v>
      </c>
      <c r="C11" s="4">
        <v>22294501</v>
      </c>
      <c r="D11" s="69">
        <v>3886.09</v>
      </c>
      <c r="E11" s="69">
        <v>117.16</v>
      </c>
      <c r="F11" s="8">
        <v>4</v>
      </c>
      <c r="G11" s="133">
        <v>4646450.25</v>
      </c>
      <c r="H11" s="43">
        <v>2495925.35</v>
      </c>
      <c r="I11" s="43">
        <v>921896.35</v>
      </c>
      <c r="J11" s="43">
        <v>160500</v>
      </c>
      <c r="K11" s="43">
        <v>2397452.65</v>
      </c>
      <c r="L11" s="43">
        <v>24610.1</v>
      </c>
      <c r="M11" s="43">
        <f t="shared" si="0"/>
        <v>2422062.75</v>
      </c>
      <c r="N11" s="43">
        <v>0</v>
      </c>
      <c r="O11" s="43">
        <v>574469.05</v>
      </c>
      <c r="P11" s="43">
        <v>1484395.65</v>
      </c>
      <c r="Q11" s="43">
        <v>71560.9</v>
      </c>
      <c r="R11" s="43">
        <v>69228.45</v>
      </c>
      <c r="S11" s="43">
        <v>0</v>
      </c>
      <c r="T11" s="43">
        <v>180000</v>
      </c>
      <c r="U11" s="43">
        <v>0</v>
      </c>
      <c r="V11" s="43">
        <v>0</v>
      </c>
      <c r="W11" s="43">
        <f t="shared" si="1"/>
        <v>249228.45</v>
      </c>
      <c r="X11" s="43">
        <v>1931247.9</v>
      </c>
      <c r="Y11" s="43">
        <f t="shared" si="2"/>
        <v>14957736.649999999</v>
      </c>
      <c r="Z11" s="43">
        <v>5407606.05</v>
      </c>
      <c r="AA11" s="43">
        <v>532909.6</v>
      </c>
      <c r="AB11" s="43">
        <v>50735.75</v>
      </c>
      <c r="AC11" s="43">
        <v>0</v>
      </c>
      <c r="AD11" s="43">
        <v>22410.5</v>
      </c>
      <c r="AE11" s="43">
        <f t="shared" si="3"/>
        <v>6013661.899999999</v>
      </c>
      <c r="AF11" s="43">
        <v>30752</v>
      </c>
      <c r="AG11" s="43">
        <v>1094016.95</v>
      </c>
      <c r="AH11" s="43">
        <v>0</v>
      </c>
      <c r="AI11" s="43">
        <v>3158221.85</v>
      </c>
      <c r="AJ11" s="43">
        <v>76383.55</v>
      </c>
      <c r="AK11" s="43">
        <v>582110.91</v>
      </c>
      <c r="AL11" s="43">
        <v>497269.15</v>
      </c>
      <c r="AM11" s="43">
        <v>0</v>
      </c>
      <c r="AN11" s="4">
        <v>0</v>
      </c>
      <c r="AO11" s="4">
        <v>0</v>
      </c>
      <c r="AP11" s="4">
        <v>649439.35</v>
      </c>
      <c r="AQ11" s="4">
        <v>0</v>
      </c>
      <c r="AR11" s="4">
        <v>0</v>
      </c>
      <c r="AS11" s="4">
        <f t="shared" si="4"/>
        <v>649439.35</v>
      </c>
      <c r="AT11" s="4">
        <v>1931822.9</v>
      </c>
      <c r="AU11" s="4">
        <f t="shared" si="5"/>
        <v>14033678.56</v>
      </c>
      <c r="AV11" s="4">
        <v>0</v>
      </c>
      <c r="AW11" s="4">
        <v>924058.09</v>
      </c>
      <c r="AX11" s="4">
        <f t="shared" si="6"/>
        <v>-1.979060471057892E-09</v>
      </c>
      <c r="AY11" s="43">
        <v>476209.05</v>
      </c>
      <c r="AZ11" s="43">
        <v>4945037.45</v>
      </c>
      <c r="BA11" s="43">
        <v>0</v>
      </c>
      <c r="BB11" s="43">
        <v>0</v>
      </c>
      <c r="BC11" s="43">
        <v>0</v>
      </c>
      <c r="BD11" s="43">
        <v>0</v>
      </c>
      <c r="BE11" s="43">
        <v>445712.4</v>
      </c>
      <c r="BF11" s="43">
        <f t="shared" si="7"/>
        <v>5390749.850000001</v>
      </c>
      <c r="BG11" s="43">
        <v>0</v>
      </c>
      <c r="BH11" s="43">
        <v>0</v>
      </c>
      <c r="BI11" s="43">
        <v>0</v>
      </c>
      <c r="BJ11" s="43">
        <v>0</v>
      </c>
      <c r="BK11" s="43">
        <v>0</v>
      </c>
      <c r="BL11" s="43">
        <v>0</v>
      </c>
      <c r="BM11" s="43">
        <v>2778521.3</v>
      </c>
      <c r="BN11" s="43">
        <v>0</v>
      </c>
      <c r="BO11" s="43">
        <f t="shared" si="8"/>
        <v>2778521.3</v>
      </c>
      <c r="BP11" s="43">
        <v>2778521.3</v>
      </c>
      <c r="BQ11" s="43">
        <v>0</v>
      </c>
      <c r="BR11" s="43">
        <v>5390749.85</v>
      </c>
      <c r="BS11" s="43">
        <f t="shared" si="9"/>
        <v>0</v>
      </c>
      <c r="BT11" s="4">
        <v>7653620.64</v>
      </c>
      <c r="BU11" s="4">
        <v>32024460.5</v>
      </c>
      <c r="BV11" s="4">
        <v>0</v>
      </c>
      <c r="BW11" s="4">
        <v>0</v>
      </c>
      <c r="BX11" s="4">
        <f t="shared" si="10"/>
        <v>39678081.14</v>
      </c>
      <c r="BY11" s="4">
        <v>26832375.9</v>
      </c>
      <c r="BZ11" s="4">
        <v>7914090.7</v>
      </c>
      <c r="CA11" s="4">
        <v>4931614.54</v>
      </c>
      <c r="CB11" s="4">
        <f t="shared" si="11"/>
        <v>39678081.14</v>
      </c>
      <c r="CC11" s="4">
        <f t="shared" si="12"/>
        <v>0</v>
      </c>
      <c r="CD11" s="74">
        <f t="shared" si="13"/>
        <v>1498004.6600000001</v>
      </c>
      <c r="CE11" s="76">
        <f t="shared" si="14"/>
        <v>1097793.7600000002</v>
      </c>
      <c r="CF11" s="76">
        <f t="shared" si="15"/>
        <v>2612228.55</v>
      </c>
      <c r="CG11" s="76">
        <f>AU11-AM11-AT11-AS11</f>
        <v>11452416.31</v>
      </c>
      <c r="CH11" s="76">
        <f t="shared" si="17"/>
        <v>304088.45</v>
      </c>
      <c r="CI11" s="37">
        <f t="shared" si="18"/>
        <v>2701541.1</v>
      </c>
      <c r="CJ11" s="59">
        <f t="shared" si="36"/>
        <v>0.5734584977260127</v>
      </c>
      <c r="CK11" s="59">
        <f t="shared" si="37"/>
        <v>0.4202518037711518</v>
      </c>
      <c r="CL11" s="141">
        <f t="shared" si="38"/>
        <v>0.1308024978704254</v>
      </c>
      <c r="CM11" s="141">
        <f t="shared" si="39"/>
        <v>0.09585695544803333</v>
      </c>
      <c r="CN11" s="141">
        <f t="shared" si="40"/>
        <v>0.026552339852898694</v>
      </c>
      <c r="CO11" s="141">
        <f t="shared" si="41"/>
        <v>0.23589267337767605</v>
      </c>
      <c r="CP11" s="141">
        <f t="shared" si="42"/>
        <v>0.07031370720410804</v>
      </c>
      <c r="CQ11" s="141">
        <f t="shared" si="43"/>
        <v>0.06959926354831761</v>
      </c>
      <c r="CR11" s="142">
        <f t="shared" si="44"/>
        <v>-17.470271702036268</v>
      </c>
      <c r="CS11" s="76">
        <f t="shared" si="45"/>
        <v>-19178755.259999998</v>
      </c>
      <c r="CT11" s="80">
        <f t="shared" si="19"/>
        <v>12535673.899999999</v>
      </c>
      <c r="CU11" s="80">
        <f t="shared" si="20"/>
        <v>14033678.56</v>
      </c>
      <c r="CV11" s="80">
        <f t="shared" si="21"/>
        <v>1498004.660000002</v>
      </c>
      <c r="CW11" s="80">
        <f t="shared" si="22"/>
        <v>0</v>
      </c>
      <c r="CX11" s="80">
        <f t="shared" si="23"/>
        <v>1498004.660000002</v>
      </c>
      <c r="CY11" s="80">
        <f t="shared" si="24"/>
        <v>-924058.0899999979</v>
      </c>
      <c r="CZ11" s="80">
        <f t="shared" si="25"/>
        <v>2612228.55</v>
      </c>
      <c r="DA11" s="80">
        <f t="shared" si="26"/>
        <v>2422062.75</v>
      </c>
      <c r="DB11" s="80">
        <f t="shared" si="27"/>
        <v>-1114223.8899999978</v>
      </c>
      <c r="DC11" s="80">
        <f t="shared" si="28"/>
        <v>-5200584.05</v>
      </c>
      <c r="DD11" s="80">
        <f t="shared" si="29"/>
        <v>-924058.089999998</v>
      </c>
      <c r="DE11" s="80">
        <f t="shared" si="30"/>
        <v>5991251.399999999</v>
      </c>
      <c r="DF11" s="80">
        <f t="shared" si="31"/>
        <v>-3342.9937702632033</v>
      </c>
      <c r="DG11" s="80">
        <f t="shared" si="32"/>
        <v>53.00478473069549</v>
      </c>
      <c r="DH11" s="80">
        <f t="shared" si="33"/>
        <v>1044.3178316193132</v>
      </c>
      <c r="DI11" s="81">
        <f t="shared" si="34"/>
        <v>455.3300592644239</v>
      </c>
      <c r="DJ11" s="76">
        <f t="shared" si="35"/>
        <v>-194.21716750915076</v>
      </c>
      <c r="DK11" s="147">
        <f t="shared" si="46"/>
        <v>-27092845.96</v>
      </c>
      <c r="DL11" s="64"/>
      <c r="DM11" s="65"/>
    </row>
    <row r="12" spans="1:117" ht="12.75">
      <c r="A12" s="51" t="s">
        <v>7</v>
      </c>
      <c r="B12" s="46">
        <v>633</v>
      </c>
      <c r="C12" s="38">
        <v>1416528</v>
      </c>
      <c r="D12" s="66">
        <v>2237.8</v>
      </c>
      <c r="E12" s="66">
        <v>67.47</v>
      </c>
      <c r="F12" s="128">
        <v>8</v>
      </c>
      <c r="G12" s="134">
        <v>472325.9</v>
      </c>
      <c r="H12" s="42">
        <v>311982.04</v>
      </c>
      <c r="I12" s="42">
        <v>-3791.65</v>
      </c>
      <c r="J12" s="42">
        <v>403241.65</v>
      </c>
      <c r="K12" s="42">
        <v>0</v>
      </c>
      <c r="L12" s="42">
        <v>0</v>
      </c>
      <c r="M12" s="43">
        <f t="shared" si="0"/>
        <v>0</v>
      </c>
      <c r="N12" s="42">
        <v>0</v>
      </c>
      <c r="O12" s="42">
        <v>89308.3</v>
      </c>
      <c r="P12" s="42">
        <v>141258.35</v>
      </c>
      <c r="Q12" s="42">
        <v>0</v>
      </c>
      <c r="R12" s="42">
        <v>8365</v>
      </c>
      <c r="S12" s="42">
        <v>0</v>
      </c>
      <c r="T12" s="42">
        <v>0</v>
      </c>
      <c r="U12" s="42">
        <v>0</v>
      </c>
      <c r="V12" s="42">
        <v>0</v>
      </c>
      <c r="W12" s="43">
        <f t="shared" si="1"/>
        <v>8365</v>
      </c>
      <c r="X12" s="42">
        <v>0</v>
      </c>
      <c r="Y12" s="43">
        <f t="shared" si="2"/>
        <v>1422689.59</v>
      </c>
      <c r="Z12" s="42">
        <v>110000</v>
      </c>
      <c r="AA12" s="42">
        <v>0</v>
      </c>
      <c r="AB12" s="42">
        <v>0</v>
      </c>
      <c r="AC12" s="42">
        <v>0</v>
      </c>
      <c r="AD12" s="42">
        <v>3745.5</v>
      </c>
      <c r="AE12" s="43">
        <f t="shared" si="3"/>
        <v>113745.5</v>
      </c>
      <c r="AF12" s="42">
        <v>0</v>
      </c>
      <c r="AG12" s="42">
        <v>96262.88</v>
      </c>
      <c r="AH12" s="42">
        <v>0</v>
      </c>
      <c r="AI12" s="42">
        <v>454851.45</v>
      </c>
      <c r="AJ12" s="42">
        <v>557740.2</v>
      </c>
      <c r="AK12" s="42">
        <v>2478</v>
      </c>
      <c r="AL12" s="42">
        <v>179549</v>
      </c>
      <c r="AM12" s="42">
        <v>0</v>
      </c>
      <c r="AN12" s="38">
        <v>20044</v>
      </c>
      <c r="AO12" s="38">
        <v>0</v>
      </c>
      <c r="AP12" s="38">
        <v>0</v>
      </c>
      <c r="AQ12" s="38">
        <v>0</v>
      </c>
      <c r="AR12" s="38">
        <v>0</v>
      </c>
      <c r="AS12" s="4">
        <f t="shared" si="4"/>
        <v>20044</v>
      </c>
      <c r="AT12" s="38">
        <v>0</v>
      </c>
      <c r="AU12" s="4">
        <f t="shared" si="5"/>
        <v>1424671.03</v>
      </c>
      <c r="AV12" s="38">
        <v>1981.44</v>
      </c>
      <c r="AW12" s="38">
        <v>0</v>
      </c>
      <c r="AX12" s="4">
        <f t="shared" si="6"/>
        <v>5.5933924159035087E-11</v>
      </c>
      <c r="AY12" s="42">
        <v>0</v>
      </c>
      <c r="AZ12" s="42">
        <v>502921.25</v>
      </c>
      <c r="BA12" s="42">
        <v>0</v>
      </c>
      <c r="BB12" s="42">
        <v>0</v>
      </c>
      <c r="BC12" s="42">
        <v>10000</v>
      </c>
      <c r="BD12" s="42">
        <v>0</v>
      </c>
      <c r="BE12" s="42">
        <v>0</v>
      </c>
      <c r="BF12" s="43">
        <f t="shared" si="7"/>
        <v>512921.25</v>
      </c>
      <c r="BG12" s="42">
        <v>0</v>
      </c>
      <c r="BH12" s="42">
        <v>0</v>
      </c>
      <c r="BI12" s="42">
        <v>0</v>
      </c>
      <c r="BJ12" s="42">
        <v>0</v>
      </c>
      <c r="BK12" s="42">
        <v>0</v>
      </c>
      <c r="BL12" s="42">
        <v>0</v>
      </c>
      <c r="BM12" s="42">
        <v>102350</v>
      </c>
      <c r="BN12" s="42">
        <v>0</v>
      </c>
      <c r="BO12" s="43">
        <f t="shared" si="8"/>
        <v>102350</v>
      </c>
      <c r="BP12" s="42">
        <v>102350</v>
      </c>
      <c r="BQ12" s="42">
        <v>0</v>
      </c>
      <c r="BR12" s="42">
        <v>512921.25</v>
      </c>
      <c r="BS12" s="43">
        <f t="shared" si="9"/>
        <v>0</v>
      </c>
      <c r="BT12" s="38">
        <v>2023136.62</v>
      </c>
      <c r="BU12" s="38">
        <v>903629.8</v>
      </c>
      <c r="BV12" s="38">
        <v>0</v>
      </c>
      <c r="BW12" s="38">
        <v>0</v>
      </c>
      <c r="BX12" s="4">
        <f t="shared" si="10"/>
        <v>2926766.42</v>
      </c>
      <c r="BY12" s="38">
        <v>2781551.2</v>
      </c>
      <c r="BZ12" s="38">
        <v>136413.7</v>
      </c>
      <c r="CA12" s="38">
        <v>8801.52</v>
      </c>
      <c r="CB12" s="4">
        <f t="shared" si="11"/>
        <v>2926766.4200000004</v>
      </c>
      <c r="CC12" s="4">
        <f t="shared" si="12"/>
        <v>0</v>
      </c>
      <c r="CD12" s="74">
        <f t="shared" si="13"/>
        <v>1981.44</v>
      </c>
      <c r="CE12" s="76">
        <f t="shared" si="14"/>
        <v>-9697.56</v>
      </c>
      <c r="CF12" s="76">
        <f t="shared" si="15"/>
        <v>410571.25</v>
      </c>
      <c r="CG12" s="76">
        <f aca="true" t="shared" si="47" ref="CG12:CG31">AU12-AM12-AT12-AS12</f>
        <v>1404627.03</v>
      </c>
      <c r="CH12" s="76">
        <f t="shared" si="17"/>
        <v>-100054.53</v>
      </c>
      <c r="CI12" s="37">
        <f t="shared" si="18"/>
        <v>-100054.53</v>
      </c>
      <c r="CJ12" s="59">
        <f t="shared" si="36"/>
        <v>0.004826056378764953</v>
      </c>
      <c r="CK12" s="59">
        <f t="shared" si="37"/>
        <v>-0.02361967624377011</v>
      </c>
      <c r="CL12" s="141">
        <f t="shared" si="38"/>
        <v>0.0014106520504592597</v>
      </c>
      <c r="CM12" s="141">
        <f t="shared" si="39"/>
        <v>-0.006904010668226995</v>
      </c>
      <c r="CN12" s="141">
        <f t="shared" si="40"/>
        <v>-0.07123209781887793</v>
      </c>
      <c r="CO12" s="141">
        <f t="shared" si="41"/>
        <v>-0.07123209781887793</v>
      </c>
      <c r="CP12" s="141">
        <f t="shared" si="42"/>
        <v>0</v>
      </c>
      <c r="CQ12" s="141">
        <f t="shared" si="43"/>
        <v>0</v>
      </c>
      <c r="CR12" s="142">
        <f t="shared" si="44"/>
        <v>78.2067427270365</v>
      </c>
      <c r="CS12" s="76">
        <f t="shared" si="45"/>
        <v>-758414.5800000001</v>
      </c>
      <c r="CT12" s="80">
        <f t="shared" si="19"/>
        <v>1422689.59</v>
      </c>
      <c r="CU12" s="80">
        <f t="shared" si="20"/>
        <v>1424671.03</v>
      </c>
      <c r="CV12" s="80">
        <f t="shared" si="21"/>
        <v>1981.4399999999441</v>
      </c>
      <c r="CW12" s="80">
        <f t="shared" si="22"/>
        <v>0</v>
      </c>
      <c r="CX12" s="80">
        <f t="shared" si="23"/>
        <v>1981.4399999999441</v>
      </c>
      <c r="CY12" s="80">
        <f t="shared" si="24"/>
        <v>1981.4399999999441</v>
      </c>
      <c r="CZ12" s="80">
        <f t="shared" si="25"/>
        <v>410571.25</v>
      </c>
      <c r="DA12" s="80">
        <f t="shared" si="26"/>
        <v>0</v>
      </c>
      <c r="DB12" s="80">
        <f t="shared" si="27"/>
        <v>-408589.81000000006</v>
      </c>
      <c r="DC12" s="80">
        <f t="shared" si="28"/>
        <v>-102350</v>
      </c>
      <c r="DD12" s="80">
        <f t="shared" si="29"/>
        <v>1981.4399999999441</v>
      </c>
      <c r="DE12" s="80">
        <f t="shared" si="30"/>
        <v>110000</v>
      </c>
      <c r="DF12" s="80">
        <f t="shared" si="31"/>
        <v>-1198.127298578199</v>
      </c>
      <c r="DG12" s="80">
        <f t="shared" si="32"/>
        <v>-158.06402843601896</v>
      </c>
      <c r="DH12" s="80">
        <f t="shared" si="33"/>
        <v>173.77567140600317</v>
      </c>
      <c r="DI12" s="81">
        <f t="shared" si="34"/>
        <v>648.6117693522907</v>
      </c>
      <c r="DJ12" s="76">
        <f t="shared" si="35"/>
        <v>-645.4815323854662</v>
      </c>
      <c r="DK12" s="147">
        <f t="shared" si="46"/>
        <v>-894828.28</v>
      </c>
      <c r="DL12" s="67"/>
      <c r="DM12" s="68"/>
    </row>
    <row r="13" spans="1:117" ht="12.75">
      <c r="A13" s="52" t="s">
        <v>8</v>
      </c>
      <c r="B13" s="41">
        <v>339</v>
      </c>
      <c r="C13" s="4">
        <v>719249</v>
      </c>
      <c r="D13" s="69">
        <v>2121.68</v>
      </c>
      <c r="E13" s="69">
        <v>63.97</v>
      </c>
      <c r="F13" s="8">
        <v>8</v>
      </c>
      <c r="G13" s="133">
        <v>184579.45</v>
      </c>
      <c r="H13" s="43">
        <v>145267.9</v>
      </c>
      <c r="I13" s="43">
        <v>9579.15</v>
      </c>
      <c r="J13" s="43">
        <v>0</v>
      </c>
      <c r="K13" s="43">
        <v>8500</v>
      </c>
      <c r="L13" s="43">
        <v>0</v>
      </c>
      <c r="M13" s="43">
        <f t="shared" si="0"/>
        <v>8500</v>
      </c>
      <c r="N13" s="43">
        <v>0</v>
      </c>
      <c r="O13" s="43">
        <v>62879.95</v>
      </c>
      <c r="P13" s="43">
        <v>143109.1</v>
      </c>
      <c r="Q13" s="43">
        <v>0</v>
      </c>
      <c r="R13" s="43">
        <v>14000</v>
      </c>
      <c r="S13" s="43">
        <v>0</v>
      </c>
      <c r="T13" s="43">
        <v>0</v>
      </c>
      <c r="U13" s="43">
        <v>0</v>
      </c>
      <c r="V13" s="43">
        <v>0</v>
      </c>
      <c r="W13" s="43">
        <f t="shared" si="1"/>
        <v>14000</v>
      </c>
      <c r="X13" s="43">
        <v>74864.25</v>
      </c>
      <c r="Y13" s="43">
        <f t="shared" si="2"/>
        <v>642779.8</v>
      </c>
      <c r="Z13" s="43">
        <v>64202.65</v>
      </c>
      <c r="AA13" s="43">
        <v>31619.9</v>
      </c>
      <c r="AB13" s="43">
        <v>0</v>
      </c>
      <c r="AC13" s="43">
        <v>0</v>
      </c>
      <c r="AD13" s="43">
        <v>6908.8</v>
      </c>
      <c r="AE13" s="43">
        <f t="shared" si="3"/>
        <v>102731.35</v>
      </c>
      <c r="AF13" s="43">
        <v>0</v>
      </c>
      <c r="AG13" s="43">
        <v>36042.8</v>
      </c>
      <c r="AH13" s="43">
        <v>0</v>
      </c>
      <c r="AI13" s="43">
        <v>117578.6</v>
      </c>
      <c r="AJ13" s="43">
        <v>287170.9</v>
      </c>
      <c r="AK13" s="43">
        <v>6206.05</v>
      </c>
      <c r="AL13" s="43">
        <v>17071</v>
      </c>
      <c r="AM13" s="43">
        <v>0</v>
      </c>
      <c r="AN13" s="4">
        <v>1000</v>
      </c>
      <c r="AO13" s="4">
        <v>0</v>
      </c>
      <c r="AP13" s="4">
        <v>0</v>
      </c>
      <c r="AQ13" s="4">
        <v>0</v>
      </c>
      <c r="AR13" s="4">
        <v>0</v>
      </c>
      <c r="AS13" s="4">
        <f t="shared" si="4"/>
        <v>1000</v>
      </c>
      <c r="AT13" s="4">
        <v>107817.9</v>
      </c>
      <c r="AU13" s="4">
        <f t="shared" si="5"/>
        <v>675618.6000000001</v>
      </c>
      <c r="AV13" s="4">
        <v>32838.8</v>
      </c>
      <c r="AW13" s="4">
        <v>0</v>
      </c>
      <c r="AX13" s="4">
        <f t="shared" si="6"/>
        <v>-4.3655745685100555E-11</v>
      </c>
      <c r="AY13" s="43">
        <v>0</v>
      </c>
      <c r="AZ13" s="43">
        <v>139173.4</v>
      </c>
      <c r="BA13" s="43">
        <v>0</v>
      </c>
      <c r="BB13" s="43">
        <v>0</v>
      </c>
      <c r="BC13" s="43">
        <v>867.1</v>
      </c>
      <c r="BD13" s="43">
        <v>0</v>
      </c>
      <c r="BE13" s="43">
        <v>1228.5</v>
      </c>
      <c r="BF13" s="43">
        <f t="shared" si="7"/>
        <v>141269</v>
      </c>
      <c r="BG13" s="43">
        <v>0</v>
      </c>
      <c r="BH13" s="43">
        <v>0</v>
      </c>
      <c r="BI13" s="43">
        <v>0</v>
      </c>
      <c r="BJ13" s="43">
        <v>0</v>
      </c>
      <c r="BK13" s="43">
        <v>0</v>
      </c>
      <c r="BL13" s="43">
        <v>0</v>
      </c>
      <c r="BM13" s="43">
        <v>33229</v>
      </c>
      <c r="BN13" s="43">
        <v>45000</v>
      </c>
      <c r="BO13" s="43">
        <f t="shared" si="8"/>
        <v>78229</v>
      </c>
      <c r="BP13" s="43">
        <v>78229</v>
      </c>
      <c r="BQ13" s="43">
        <v>0</v>
      </c>
      <c r="BR13" s="43">
        <v>141269</v>
      </c>
      <c r="BS13" s="43">
        <f t="shared" si="9"/>
        <v>0</v>
      </c>
      <c r="BT13" s="4">
        <v>1535624.99</v>
      </c>
      <c r="BU13" s="4">
        <v>69507</v>
      </c>
      <c r="BV13" s="4">
        <v>100000</v>
      </c>
      <c r="BW13" s="4">
        <v>0</v>
      </c>
      <c r="BX13" s="4">
        <f t="shared" si="10"/>
        <v>1705131.99</v>
      </c>
      <c r="BY13" s="4">
        <v>683757.85</v>
      </c>
      <c r="BZ13" s="4">
        <v>499940.05</v>
      </c>
      <c r="CA13" s="4">
        <v>521434.09</v>
      </c>
      <c r="CB13" s="4">
        <f t="shared" si="11"/>
        <v>1705131.99</v>
      </c>
      <c r="CC13" s="4">
        <f t="shared" si="12"/>
        <v>0</v>
      </c>
      <c r="CD13" s="74">
        <f t="shared" si="13"/>
        <v>41338.8</v>
      </c>
      <c r="CE13" s="76">
        <f t="shared" si="14"/>
        <v>54338.8</v>
      </c>
      <c r="CF13" s="76">
        <f t="shared" si="15"/>
        <v>63040</v>
      </c>
      <c r="CG13" s="76">
        <f t="shared" si="47"/>
        <v>566800.7000000001</v>
      </c>
      <c r="CH13" s="76">
        <f t="shared" si="17"/>
        <v>-26463.65</v>
      </c>
      <c r="CI13" s="37">
        <f t="shared" si="18"/>
        <v>-17963.65</v>
      </c>
      <c r="CJ13" s="59">
        <f t="shared" si="36"/>
        <v>0.655755076142132</v>
      </c>
      <c r="CK13" s="59">
        <f t="shared" si="37"/>
        <v>0.8619733502538072</v>
      </c>
      <c r="CL13" s="141">
        <f t="shared" si="38"/>
        <v>0.07293357259438811</v>
      </c>
      <c r="CM13" s="141">
        <f t="shared" si="39"/>
        <v>0.09586932408516785</v>
      </c>
      <c r="CN13" s="141">
        <f t="shared" si="40"/>
        <v>-0.04668951537992102</v>
      </c>
      <c r="CO13" s="141">
        <f t="shared" si="41"/>
        <v>-0.0316930624821035</v>
      </c>
      <c r="CP13" s="141">
        <f t="shared" si="42"/>
        <v>0.10896458010178574</v>
      </c>
      <c r="CQ13" s="141">
        <f t="shared" si="43"/>
        <v>0.10896458010178574</v>
      </c>
      <c r="CR13" s="142">
        <f t="shared" si="44"/>
        <v>15.676959005351609</v>
      </c>
      <c r="CS13" s="76">
        <f t="shared" si="45"/>
        <v>851867.14</v>
      </c>
      <c r="CT13" s="80">
        <f t="shared" si="19"/>
        <v>634279.8</v>
      </c>
      <c r="CU13" s="80">
        <f t="shared" si="20"/>
        <v>675618.6000000001</v>
      </c>
      <c r="CV13" s="80">
        <f t="shared" si="21"/>
        <v>41338.80000000005</v>
      </c>
      <c r="CW13" s="80">
        <f t="shared" si="22"/>
        <v>0</v>
      </c>
      <c r="CX13" s="80">
        <f t="shared" si="23"/>
        <v>41338.80000000005</v>
      </c>
      <c r="CY13" s="80">
        <f t="shared" si="24"/>
        <v>32838.80000000005</v>
      </c>
      <c r="CZ13" s="80">
        <f t="shared" si="25"/>
        <v>63040</v>
      </c>
      <c r="DA13" s="80">
        <f t="shared" si="26"/>
        <v>8500</v>
      </c>
      <c r="DB13" s="80">
        <f t="shared" si="27"/>
        <v>-21701.199999999953</v>
      </c>
      <c r="DC13" s="80">
        <f t="shared" si="28"/>
        <v>-86729</v>
      </c>
      <c r="DD13" s="80">
        <f t="shared" si="29"/>
        <v>32838.80000000005</v>
      </c>
      <c r="DE13" s="80">
        <f t="shared" si="30"/>
        <v>95822.55</v>
      </c>
      <c r="DF13" s="80">
        <f t="shared" si="31"/>
        <v>2512.882418879056</v>
      </c>
      <c r="DG13" s="80">
        <f t="shared" si="32"/>
        <v>-78.06386430678467</v>
      </c>
      <c r="DH13" s="80">
        <f t="shared" si="33"/>
        <v>282.662389380531</v>
      </c>
      <c r="DI13" s="81">
        <f t="shared" si="34"/>
        <v>185.95870206489676</v>
      </c>
      <c r="DJ13" s="76">
        <f t="shared" si="35"/>
        <v>-64.0153392330382</v>
      </c>
      <c r="DK13" s="147">
        <f t="shared" si="46"/>
        <v>451927.09</v>
      </c>
      <c r="DL13" s="64"/>
      <c r="DM13" s="65"/>
    </row>
    <row r="14" spans="1:117" ht="12.75">
      <c r="A14" s="51" t="s">
        <v>33</v>
      </c>
      <c r="B14" s="46">
        <v>184</v>
      </c>
      <c r="C14" s="38">
        <v>500939</v>
      </c>
      <c r="D14" s="66">
        <v>2722.5</v>
      </c>
      <c r="E14" s="66">
        <v>82.08</v>
      </c>
      <c r="F14" s="128">
        <v>6</v>
      </c>
      <c r="G14" s="134">
        <f>65513.35-2898.7</f>
        <v>62614.65</v>
      </c>
      <c r="H14" s="42">
        <f>73149.6-303.25</f>
        <v>72846.35</v>
      </c>
      <c r="I14" s="42">
        <v>9395.2</v>
      </c>
      <c r="J14" s="42">
        <v>5000</v>
      </c>
      <c r="K14" s="42">
        <v>0</v>
      </c>
      <c r="L14" s="42">
        <v>0</v>
      </c>
      <c r="M14" s="43">
        <f t="shared" si="0"/>
        <v>0</v>
      </c>
      <c r="N14" s="42">
        <v>0</v>
      </c>
      <c r="O14" s="42">
        <f>50659.45</f>
        <v>50659.45</v>
      </c>
      <c r="P14" s="42">
        <f>52452.55</f>
        <v>52452.55</v>
      </c>
      <c r="Q14" s="42">
        <v>0</v>
      </c>
      <c r="R14" s="42">
        <f>30413.5</f>
        <v>30413.5</v>
      </c>
      <c r="S14" s="42">
        <f>1335</f>
        <v>1335</v>
      </c>
      <c r="T14" s="42">
        <v>0</v>
      </c>
      <c r="U14" s="42">
        <v>0</v>
      </c>
      <c r="V14" s="42">
        <v>0</v>
      </c>
      <c r="W14" s="43">
        <f t="shared" si="1"/>
        <v>31748.5</v>
      </c>
      <c r="X14" s="42">
        <f>6660</f>
        <v>6660</v>
      </c>
      <c r="Y14" s="43">
        <f t="shared" si="2"/>
        <v>291376.7</v>
      </c>
      <c r="Z14" s="42">
        <v>169133.5</v>
      </c>
      <c r="AA14" s="42">
        <v>0</v>
      </c>
      <c r="AB14" s="42">
        <v>784</v>
      </c>
      <c r="AC14" s="42">
        <v>0</v>
      </c>
      <c r="AD14" s="42">
        <v>3480</v>
      </c>
      <c r="AE14" s="43">
        <f t="shared" si="3"/>
        <v>173397.5</v>
      </c>
      <c r="AF14" s="42">
        <v>45</v>
      </c>
      <c r="AG14" s="42">
        <v>29206.25</v>
      </c>
      <c r="AH14" s="42">
        <v>0</v>
      </c>
      <c r="AI14" s="42">
        <f>59984.1-31461.1</f>
        <v>28523</v>
      </c>
      <c r="AJ14" s="42">
        <f>6850.8</f>
        <v>6850.8</v>
      </c>
      <c r="AK14" s="42">
        <f>6387.3-100</f>
        <v>6287.3</v>
      </c>
      <c r="AL14" s="42">
        <f>9177.8</f>
        <v>9177.8</v>
      </c>
      <c r="AM14" s="42">
        <v>0</v>
      </c>
      <c r="AN14" s="38">
        <v>30662.4</v>
      </c>
      <c r="AO14" s="38">
        <v>0</v>
      </c>
      <c r="AP14" s="38">
        <v>0</v>
      </c>
      <c r="AQ14" s="38">
        <v>0</v>
      </c>
      <c r="AR14" s="38">
        <v>0</v>
      </c>
      <c r="AS14" s="4">
        <f t="shared" si="4"/>
        <v>30662.4</v>
      </c>
      <c r="AT14" s="38">
        <v>7622.5</v>
      </c>
      <c r="AU14" s="4">
        <f t="shared" si="5"/>
        <v>291772.55</v>
      </c>
      <c r="AV14" s="38">
        <f>395.85</f>
        <v>395.85</v>
      </c>
      <c r="AW14" s="38">
        <v>0</v>
      </c>
      <c r="AX14" s="4">
        <f t="shared" si="6"/>
        <v>2.3305801732931286E-11</v>
      </c>
      <c r="AY14" s="42">
        <v>0</v>
      </c>
      <c r="AZ14" s="42">
        <f>6509.3+6621.05</f>
        <v>13130.35</v>
      </c>
      <c r="BA14" s="42">
        <v>0</v>
      </c>
      <c r="BB14" s="42">
        <v>0</v>
      </c>
      <c r="BC14" s="42">
        <v>0</v>
      </c>
      <c r="BD14" s="42">
        <v>0</v>
      </c>
      <c r="BE14" s="42">
        <v>0</v>
      </c>
      <c r="BF14" s="43">
        <f t="shared" si="7"/>
        <v>13130.35</v>
      </c>
      <c r="BG14" s="42">
        <v>0</v>
      </c>
      <c r="BH14" s="42">
        <v>0</v>
      </c>
      <c r="BI14" s="42">
        <v>0</v>
      </c>
      <c r="BJ14" s="42">
        <v>0</v>
      </c>
      <c r="BK14" s="42">
        <v>0</v>
      </c>
      <c r="BL14" s="42">
        <v>0</v>
      </c>
      <c r="BM14" s="42">
        <f>8978</f>
        <v>8978</v>
      </c>
      <c r="BN14" s="42">
        <v>0</v>
      </c>
      <c r="BO14" s="43">
        <f t="shared" si="8"/>
        <v>8978</v>
      </c>
      <c r="BP14" s="42">
        <f>8978</f>
        <v>8978</v>
      </c>
      <c r="BQ14" s="42">
        <v>0</v>
      </c>
      <c r="BR14" s="42">
        <v>13130.35</v>
      </c>
      <c r="BS14" s="43">
        <f t="shared" si="9"/>
        <v>0</v>
      </c>
      <c r="BT14" s="38">
        <v>648187.9</v>
      </c>
      <c r="BU14" s="38">
        <v>49359.15</v>
      </c>
      <c r="BV14" s="38">
        <v>0</v>
      </c>
      <c r="BW14" s="38">
        <v>0</v>
      </c>
      <c r="BX14" s="4">
        <f t="shared" si="10"/>
        <v>697547.05</v>
      </c>
      <c r="BY14" s="38">
        <v>373867.55</v>
      </c>
      <c r="BZ14" s="38">
        <v>322140.55</v>
      </c>
      <c r="CA14" s="38">
        <v>1538.95</v>
      </c>
      <c r="CB14" s="4">
        <f t="shared" si="11"/>
        <v>697547.0499999999</v>
      </c>
      <c r="CC14" s="4">
        <f t="shared" si="12"/>
        <v>0</v>
      </c>
      <c r="CD14" s="74">
        <f t="shared" si="13"/>
        <v>395.85</v>
      </c>
      <c r="CE14" s="76">
        <f t="shared" si="14"/>
        <v>1481.949999999997</v>
      </c>
      <c r="CF14" s="76">
        <f t="shared" si="15"/>
        <v>4152.35</v>
      </c>
      <c r="CG14" s="76">
        <f t="shared" si="47"/>
        <v>253487.65</v>
      </c>
      <c r="CH14" s="76">
        <f t="shared" si="17"/>
        <v>-19811.05</v>
      </c>
      <c r="CI14" s="37">
        <f t="shared" si="18"/>
        <v>-19811.05</v>
      </c>
      <c r="CJ14" s="59">
        <f>IF(CF14=0,"-",(CD14/CF14))</f>
        <v>0.09533155923754019</v>
      </c>
      <c r="CK14" s="59">
        <f>IF(CF14=0,"-",(CE14/CF14))</f>
        <v>0.3568942887762344</v>
      </c>
      <c r="CL14" s="141">
        <f t="shared" si="38"/>
        <v>0.001561614540195548</v>
      </c>
      <c r="CM14" s="141">
        <f t="shared" si="39"/>
        <v>0.005846241424384963</v>
      </c>
      <c r="CN14" s="141">
        <f t="shared" si="40"/>
        <v>-0.07815390611731972</v>
      </c>
      <c r="CO14" s="141">
        <f t="shared" si="41"/>
        <v>-0.07815390611731972</v>
      </c>
      <c r="CP14" s="141">
        <f t="shared" si="42"/>
        <v>0</v>
      </c>
      <c r="CQ14" s="141">
        <f t="shared" si="43"/>
        <v>0</v>
      </c>
      <c r="CR14" s="142">
        <f t="shared" si="44"/>
        <v>185.107695941159</v>
      </c>
      <c r="CS14" s="76">
        <f t="shared" si="45"/>
        <v>274320.35000000003</v>
      </c>
      <c r="CT14" s="80">
        <f t="shared" si="19"/>
        <v>291376.7</v>
      </c>
      <c r="CU14" s="80">
        <f t="shared" si="20"/>
        <v>291772.55</v>
      </c>
      <c r="CV14" s="80">
        <f t="shared" si="21"/>
        <v>395.8499999999767</v>
      </c>
      <c r="CW14" s="80">
        <f t="shared" si="22"/>
        <v>0</v>
      </c>
      <c r="CX14" s="80">
        <f t="shared" si="23"/>
        <v>395.8499999999767</v>
      </c>
      <c r="CY14" s="80">
        <f t="shared" si="24"/>
        <v>395.8499999999767</v>
      </c>
      <c r="CZ14" s="80">
        <f t="shared" si="25"/>
        <v>4152.35</v>
      </c>
      <c r="DA14" s="80">
        <f t="shared" si="26"/>
        <v>0</v>
      </c>
      <c r="DB14" s="80">
        <f t="shared" si="27"/>
        <v>-3756.5000000000236</v>
      </c>
      <c r="DC14" s="80">
        <f t="shared" si="28"/>
        <v>-8978</v>
      </c>
      <c r="DD14" s="80">
        <f t="shared" si="29"/>
        <v>395.8499999999767</v>
      </c>
      <c r="DE14" s="80">
        <f t="shared" si="30"/>
        <v>169917.5</v>
      </c>
      <c r="DF14" s="80">
        <f t="shared" si="31"/>
        <v>1490.8714673913046</v>
      </c>
      <c r="DG14" s="80">
        <f t="shared" si="32"/>
        <v>-107.66875</v>
      </c>
      <c r="DH14" s="80">
        <f t="shared" si="33"/>
        <v>923.4646739130435</v>
      </c>
      <c r="DI14" s="81">
        <f t="shared" si="34"/>
        <v>22.567119565217393</v>
      </c>
      <c r="DJ14" s="76">
        <f t="shared" si="35"/>
        <v>-20.415760869565347</v>
      </c>
      <c r="DK14" s="147">
        <f t="shared" si="46"/>
        <v>-47820.200000000004</v>
      </c>
      <c r="DL14" s="67"/>
      <c r="DM14" s="68"/>
    </row>
    <row r="15" spans="1:117" ht="12.75">
      <c r="A15" s="52" t="s">
        <v>9</v>
      </c>
      <c r="B15" s="41">
        <v>1201</v>
      </c>
      <c r="C15" s="4">
        <v>3218183</v>
      </c>
      <c r="D15" s="69">
        <v>2679.59</v>
      </c>
      <c r="E15" s="69">
        <v>80.79</v>
      </c>
      <c r="F15" s="8">
        <v>6</v>
      </c>
      <c r="G15" s="133">
        <v>711750.05</v>
      </c>
      <c r="H15" s="43">
        <v>795130.34</v>
      </c>
      <c r="I15" s="43">
        <v>152836.25</v>
      </c>
      <c r="J15" s="43">
        <v>160</v>
      </c>
      <c r="K15" s="43">
        <v>183367.55</v>
      </c>
      <c r="L15" s="43">
        <v>49699</v>
      </c>
      <c r="M15" s="43">
        <f t="shared" si="0"/>
        <v>233066.55</v>
      </c>
      <c r="N15" s="43">
        <v>25600</v>
      </c>
      <c r="O15" s="43">
        <v>164333.15</v>
      </c>
      <c r="P15" s="43">
        <v>320334.9</v>
      </c>
      <c r="Q15" s="43">
        <v>0</v>
      </c>
      <c r="R15" s="43">
        <v>83785.35</v>
      </c>
      <c r="S15" s="43">
        <v>34810.25</v>
      </c>
      <c r="T15" s="43">
        <v>0</v>
      </c>
      <c r="U15" s="43">
        <v>101582.64</v>
      </c>
      <c r="V15" s="43">
        <v>0</v>
      </c>
      <c r="W15" s="43">
        <f>SUM(R15:V15)</f>
        <v>220178.24</v>
      </c>
      <c r="X15" s="43">
        <v>522687.1</v>
      </c>
      <c r="Y15" s="43">
        <f>SUM(G15:X15)-M15-W15</f>
        <v>3146076.580000001</v>
      </c>
      <c r="Z15" s="43">
        <v>979964.25</v>
      </c>
      <c r="AA15" s="43">
        <v>160167.4</v>
      </c>
      <c r="AB15" s="43">
        <v>11671.5</v>
      </c>
      <c r="AC15" s="43">
        <v>0</v>
      </c>
      <c r="AD15" s="43">
        <v>3750</v>
      </c>
      <c r="AE15" s="43">
        <f>SUM(Z15:AD15)</f>
        <v>1155553.15</v>
      </c>
      <c r="AF15" s="43">
        <v>246083.7</v>
      </c>
      <c r="AG15" s="43">
        <v>143238.85</v>
      </c>
      <c r="AH15" s="43">
        <v>0</v>
      </c>
      <c r="AI15" s="43">
        <v>749336.75</v>
      </c>
      <c r="AJ15" s="43">
        <v>34810.25</v>
      </c>
      <c r="AK15" s="43">
        <v>154144.9</v>
      </c>
      <c r="AL15" s="43">
        <v>126565.3</v>
      </c>
      <c r="AM15" s="43">
        <v>0</v>
      </c>
      <c r="AN15" s="4">
        <v>0</v>
      </c>
      <c r="AO15" s="4">
        <v>0</v>
      </c>
      <c r="AP15" s="4">
        <v>14000</v>
      </c>
      <c r="AQ15" s="4">
        <v>0</v>
      </c>
      <c r="AR15" s="4">
        <v>0</v>
      </c>
      <c r="AS15" s="4">
        <f>SUM(AN15:AR15)</f>
        <v>14000</v>
      </c>
      <c r="AT15" s="4">
        <v>523131.45</v>
      </c>
      <c r="AU15" s="4">
        <f>SUM(Z15:AT15)-AE15-AH15-AS15</f>
        <v>3146864.35</v>
      </c>
      <c r="AV15" s="4">
        <v>787.77</v>
      </c>
      <c r="AW15" s="4">
        <v>0</v>
      </c>
      <c r="AX15" s="4">
        <f>Y15-AU15+AV15-AW15</f>
        <v>9.126779332291335E-10</v>
      </c>
      <c r="AY15" s="43">
        <v>446795.7</v>
      </c>
      <c r="AZ15" s="43">
        <v>574639.55</v>
      </c>
      <c r="BA15" s="43">
        <v>0</v>
      </c>
      <c r="BB15" s="43">
        <v>0</v>
      </c>
      <c r="BC15" s="43">
        <v>33000</v>
      </c>
      <c r="BD15" s="43">
        <v>0</v>
      </c>
      <c r="BE15" s="43">
        <v>57708</v>
      </c>
      <c r="BF15" s="43">
        <f>SUM(AZ15:BE15)</f>
        <v>665347.55</v>
      </c>
      <c r="BG15" s="43">
        <v>0</v>
      </c>
      <c r="BH15" s="43">
        <v>11280</v>
      </c>
      <c r="BI15" s="43">
        <v>0</v>
      </c>
      <c r="BJ15" s="43">
        <v>0</v>
      </c>
      <c r="BK15" s="43">
        <v>0</v>
      </c>
      <c r="BL15" s="43">
        <v>0</v>
      </c>
      <c r="BM15" s="43">
        <v>716432</v>
      </c>
      <c r="BN15" s="43">
        <v>0</v>
      </c>
      <c r="BO15" s="43">
        <f>SUM(BG15:BN15)</f>
        <v>727712</v>
      </c>
      <c r="BP15" s="43">
        <v>727712</v>
      </c>
      <c r="BQ15" s="43">
        <v>0</v>
      </c>
      <c r="BR15" s="43">
        <v>665347.55</v>
      </c>
      <c r="BS15" s="43">
        <f>+BF15-BO15+BP15+BQ15-BR15</f>
        <v>0</v>
      </c>
      <c r="BT15" s="4">
        <v>3361697.06</v>
      </c>
      <c r="BU15" s="4">
        <v>856531</v>
      </c>
      <c r="BV15" s="4">
        <v>136100.05</v>
      </c>
      <c r="BW15" s="4">
        <v>0</v>
      </c>
      <c r="BX15" s="4">
        <f>SUM(BT15:BW15)</f>
        <v>4354328.11</v>
      </c>
      <c r="BY15" s="4">
        <v>3875225.08</v>
      </c>
      <c r="BZ15" s="4">
        <v>421356.7</v>
      </c>
      <c r="CA15" s="4">
        <v>57746.33</v>
      </c>
      <c r="CB15" s="4">
        <f>SUM(BY15:CA15)</f>
        <v>4354328.11</v>
      </c>
      <c r="CC15" s="4">
        <f>BX15-CB15</f>
        <v>0</v>
      </c>
      <c r="CD15" s="74">
        <f>K15+L15+AV15-AW15</f>
        <v>233854.31999999998</v>
      </c>
      <c r="CE15" s="76">
        <f>CD15+W15-AS15</f>
        <v>440032.55999999994</v>
      </c>
      <c r="CF15" s="76">
        <f>BR15-BP15</f>
        <v>-62364.44999999995</v>
      </c>
      <c r="CG15" s="76">
        <f t="shared" si="47"/>
        <v>2609732.9</v>
      </c>
      <c r="CH15" s="76">
        <f>I15-AG15+AY15+AH15+BQ15</f>
        <v>456393.1</v>
      </c>
      <c r="CI15" s="37">
        <f>CH15+K15</f>
        <v>639760.6499999999</v>
      </c>
      <c r="CJ15" s="59">
        <f t="shared" si="36"/>
        <v>-3.7498016899050683</v>
      </c>
      <c r="CK15" s="59">
        <f t="shared" si="37"/>
        <v>-7.0558236302893755</v>
      </c>
      <c r="CL15" s="141">
        <f t="shared" si="38"/>
        <v>0.08960852660438928</v>
      </c>
      <c r="CM15" s="141">
        <f t="shared" si="39"/>
        <v>0.16861210585956898</v>
      </c>
      <c r="CN15" s="141">
        <f t="shared" si="40"/>
        <v>0.17488115354640316</v>
      </c>
      <c r="CO15" s="141">
        <f t="shared" si="41"/>
        <v>0.2451441103417135</v>
      </c>
      <c r="CP15" s="141">
        <f t="shared" si="42"/>
        <v>0.21390149968674213</v>
      </c>
      <c r="CQ15" s="141">
        <f t="shared" si="43"/>
        <v>0.16828924587798494</v>
      </c>
      <c r="CR15" s="142">
        <f t="shared" si="44"/>
        <v>-1.1670227766781625</v>
      </c>
      <c r="CS15" s="76">
        <f t="shared" si="45"/>
        <v>-513528.02</v>
      </c>
      <c r="CT15" s="80">
        <f>Y15-K15-L15-V15</f>
        <v>2913010.030000001</v>
      </c>
      <c r="CU15" s="80">
        <f>AU15-AR15</f>
        <v>3146864.35</v>
      </c>
      <c r="CV15" s="80">
        <f>CU15-CT15</f>
        <v>233854.3199999989</v>
      </c>
      <c r="CW15" s="80">
        <f>-V15+AR15</f>
        <v>0</v>
      </c>
      <c r="CX15" s="80">
        <f>CV15+CW15</f>
        <v>233854.3199999989</v>
      </c>
      <c r="CY15" s="80">
        <f t="shared" si="24"/>
        <v>787.7699999989127</v>
      </c>
      <c r="CZ15" s="80">
        <f>BR15-BP15</f>
        <v>-62364.44999999995</v>
      </c>
      <c r="DA15" s="80">
        <f>K15+L15</f>
        <v>233066.55</v>
      </c>
      <c r="DB15" s="80">
        <f>-CZ15+DA15+CY15</f>
        <v>296218.76999999885</v>
      </c>
      <c r="DC15" s="80">
        <f t="shared" si="28"/>
        <v>-960778.55</v>
      </c>
      <c r="DD15" s="80">
        <f t="shared" si="29"/>
        <v>787.7699999988545</v>
      </c>
      <c r="DE15" s="80">
        <f>Z15+AA15+AB15</f>
        <v>1151803.15</v>
      </c>
      <c r="DF15" s="80">
        <f t="shared" si="31"/>
        <v>-427.583696919234</v>
      </c>
      <c r="DG15" s="80">
        <f>CH15/B15</f>
        <v>380.0109075770191</v>
      </c>
      <c r="DH15" s="80">
        <f t="shared" si="33"/>
        <v>959.0367610324729</v>
      </c>
      <c r="DI15" s="81">
        <f t="shared" si="34"/>
        <v>-51.927102414654414</v>
      </c>
      <c r="DJ15" s="76">
        <f t="shared" si="35"/>
        <v>246.6434388009982</v>
      </c>
      <c r="DK15" s="147">
        <f t="shared" si="46"/>
        <v>-798784.67</v>
      </c>
      <c r="DL15" s="64"/>
      <c r="DM15" s="65"/>
    </row>
    <row r="16" spans="1:117" ht="12.75">
      <c r="A16" s="51" t="s">
        <v>34</v>
      </c>
      <c r="B16" s="46">
        <v>568</v>
      </c>
      <c r="C16" s="38">
        <v>1177956</v>
      </c>
      <c r="D16" s="66">
        <v>2073.87</v>
      </c>
      <c r="E16" s="73">
        <v>62.52</v>
      </c>
      <c r="F16" s="128">
        <v>8</v>
      </c>
      <c r="G16" s="134">
        <v>432442.35</v>
      </c>
      <c r="H16" s="42">
        <v>380831.45</v>
      </c>
      <c r="I16" s="42">
        <v>20974.15</v>
      </c>
      <c r="J16" s="42">
        <v>475.2</v>
      </c>
      <c r="K16" s="42">
        <v>82876.7</v>
      </c>
      <c r="L16" s="42">
        <v>0</v>
      </c>
      <c r="M16" s="43">
        <f t="shared" si="0"/>
        <v>82876.7</v>
      </c>
      <c r="N16" s="42">
        <v>0</v>
      </c>
      <c r="O16" s="42">
        <v>29326.95</v>
      </c>
      <c r="P16" s="42">
        <v>234581.15</v>
      </c>
      <c r="Q16" s="42">
        <v>2523.4</v>
      </c>
      <c r="R16" s="42">
        <v>75962.1</v>
      </c>
      <c r="S16" s="42">
        <v>4669</v>
      </c>
      <c r="T16" s="42">
        <v>0</v>
      </c>
      <c r="U16" s="42">
        <v>0</v>
      </c>
      <c r="V16" s="42">
        <v>0</v>
      </c>
      <c r="W16" s="43">
        <f aca="true" t="shared" si="48" ref="W16:W31">SUM(R16:V16)</f>
        <v>80631.1</v>
      </c>
      <c r="X16" s="42">
        <v>19999.5</v>
      </c>
      <c r="Y16" s="43">
        <f aca="true" t="shared" si="49" ref="Y16:Y31">SUM(G16:X16)-M16-W16</f>
        <v>1284661.95</v>
      </c>
      <c r="Z16" s="42">
        <v>100354.6</v>
      </c>
      <c r="AA16" s="42">
        <v>0</v>
      </c>
      <c r="AB16" s="42">
        <v>0</v>
      </c>
      <c r="AC16" s="42">
        <v>0</v>
      </c>
      <c r="AD16" s="42">
        <v>5345</v>
      </c>
      <c r="AE16" s="43">
        <f aca="true" t="shared" si="50" ref="AE16:AE31">SUM(Z16:AD16)</f>
        <v>105699.6</v>
      </c>
      <c r="AF16" s="42">
        <v>320</v>
      </c>
      <c r="AG16" s="42">
        <v>90593.5</v>
      </c>
      <c r="AH16" s="42">
        <v>0</v>
      </c>
      <c r="AI16" s="42">
        <v>324932.25</v>
      </c>
      <c r="AJ16" s="42">
        <v>447643.85</v>
      </c>
      <c r="AK16" s="42">
        <v>93124.1</v>
      </c>
      <c r="AL16" s="42">
        <v>129435.85</v>
      </c>
      <c r="AM16" s="42">
        <v>0</v>
      </c>
      <c r="AN16" s="38">
        <v>263387.7</v>
      </c>
      <c r="AO16" s="38">
        <v>21042.15</v>
      </c>
      <c r="AP16" s="38">
        <v>0</v>
      </c>
      <c r="AQ16" s="38">
        <v>11016.9</v>
      </c>
      <c r="AR16" s="38">
        <v>0</v>
      </c>
      <c r="AS16" s="4">
        <f aca="true" t="shared" si="51" ref="AS16:AS31">SUM(AN16:AR16)</f>
        <v>295446.75000000006</v>
      </c>
      <c r="AT16" s="38">
        <v>53160.15</v>
      </c>
      <c r="AU16" s="4">
        <f aca="true" t="shared" si="52" ref="AU16:AU31">SUM(Z16:AT16)-AE16-AH16-AS16</f>
        <v>1540356.0499999996</v>
      </c>
      <c r="AV16" s="38">
        <v>255694.1</v>
      </c>
      <c r="AW16" s="38">
        <v>0</v>
      </c>
      <c r="AX16" s="4">
        <f aca="true" t="shared" si="53" ref="AX16:AX31">Y16-AU16+AV16-AW16</f>
        <v>3.7834979593753815E-10</v>
      </c>
      <c r="AY16" s="42">
        <f>14348.8+30386.75+196.75</f>
        <v>44932.3</v>
      </c>
      <c r="AZ16" s="42">
        <f>210374.75+8961.55+17075.05+14073.65</f>
        <v>250484.99999999997</v>
      </c>
      <c r="BA16" s="42">
        <v>0</v>
      </c>
      <c r="BB16" s="42">
        <v>0</v>
      </c>
      <c r="BC16" s="42">
        <f>11000</f>
        <v>11000</v>
      </c>
      <c r="BD16" s="42">
        <v>0</v>
      </c>
      <c r="BE16" s="42">
        <v>0</v>
      </c>
      <c r="BF16" s="43">
        <f aca="true" t="shared" si="54" ref="BF16:BF31">SUM(AZ16:BE16)</f>
        <v>261484.99999999997</v>
      </c>
      <c r="BG16" s="42">
        <v>0</v>
      </c>
      <c r="BH16" s="42">
        <v>0</v>
      </c>
      <c r="BI16" s="42">
        <v>0</v>
      </c>
      <c r="BJ16" s="42">
        <v>0</v>
      </c>
      <c r="BK16" s="42">
        <v>0</v>
      </c>
      <c r="BL16" s="42">
        <f>11000</f>
        <v>11000</v>
      </c>
      <c r="BM16" s="42">
        <f>96250+130+130</f>
        <v>96510</v>
      </c>
      <c r="BN16" s="42">
        <v>0</v>
      </c>
      <c r="BO16" s="43">
        <f aca="true" t="shared" si="55" ref="BO16:BO31">SUM(BG16:BN16)</f>
        <v>107510</v>
      </c>
      <c r="BP16" s="42">
        <v>107510</v>
      </c>
      <c r="BQ16" s="42">
        <v>0</v>
      </c>
      <c r="BR16" s="42">
        <v>261485</v>
      </c>
      <c r="BS16" s="43">
        <f aca="true" t="shared" si="56" ref="BS16:BS31">+BF16-BO16+BP16+BQ16-BR16</f>
        <v>0</v>
      </c>
      <c r="BT16" s="38">
        <v>2401683.5</v>
      </c>
      <c r="BU16" s="38">
        <v>640221.35</v>
      </c>
      <c r="BV16" s="38">
        <v>0</v>
      </c>
      <c r="BW16" s="38">
        <f>616802.05-255694.1</f>
        <v>361107.95000000007</v>
      </c>
      <c r="BX16" s="4">
        <f aca="true" t="shared" si="57" ref="BX16:BX31">SUM(BT16:BW16)</f>
        <v>3403012.8000000003</v>
      </c>
      <c r="BY16" s="38">
        <v>2081912</v>
      </c>
      <c r="BZ16" s="38">
        <v>1321100.8</v>
      </c>
      <c r="CA16" s="38">
        <v>0</v>
      </c>
      <c r="CB16" s="4">
        <f aca="true" t="shared" si="58" ref="CB16:CB31">SUM(BY16:CA16)</f>
        <v>3403012.8</v>
      </c>
      <c r="CC16" s="4">
        <f aca="true" t="shared" si="59" ref="CC16:CC31">BX16-CB16</f>
        <v>0</v>
      </c>
      <c r="CD16" s="74">
        <f aca="true" t="shared" si="60" ref="CD16:CD31">K16+L16+AV16-AW16</f>
        <v>338570.8</v>
      </c>
      <c r="CE16" s="76">
        <f aca="true" t="shared" si="61" ref="CE16:CE31">CD16+W16-AS16</f>
        <v>123755.14999999997</v>
      </c>
      <c r="CF16" s="76">
        <f aca="true" t="shared" si="62" ref="CF16:CF31">BR16-BP16</f>
        <v>153975</v>
      </c>
      <c r="CG16" s="76">
        <f t="shared" si="47"/>
        <v>1191749.1499999997</v>
      </c>
      <c r="CH16" s="76">
        <f aca="true" t="shared" si="63" ref="CH16:CH31">I16-AG16+AY16+AH16+BQ16</f>
        <v>-24687.050000000003</v>
      </c>
      <c r="CI16" s="37">
        <f aca="true" t="shared" si="64" ref="CI16:CI31">CH16+K16</f>
        <v>58189.649999999994</v>
      </c>
      <c r="CJ16" s="59">
        <f t="shared" si="36"/>
        <v>2.1988686475077124</v>
      </c>
      <c r="CK16" s="59">
        <f t="shared" si="37"/>
        <v>0.8037353466471827</v>
      </c>
      <c r="CL16" s="141">
        <f t="shared" si="38"/>
        <v>0.28409569245339933</v>
      </c>
      <c r="CM16" s="141">
        <f t="shared" si="39"/>
        <v>0.10384328782613354</v>
      </c>
      <c r="CN16" s="141">
        <f t="shared" si="40"/>
        <v>-0.020714971770695208</v>
      </c>
      <c r="CO16" s="141">
        <f t="shared" si="41"/>
        <v>0.048827095869965594</v>
      </c>
      <c r="CP16" s="141">
        <f t="shared" si="42"/>
        <v>0.11461336398293427</v>
      </c>
      <c r="CQ16" s="141">
        <f t="shared" si="43"/>
        <v>0.11461336398293427</v>
      </c>
      <c r="CR16" s="142">
        <f t="shared" si="44"/>
        <v>2.5839045890211443</v>
      </c>
      <c r="CS16" s="76">
        <f t="shared" si="45"/>
        <v>319771.5</v>
      </c>
      <c r="CT16" s="80">
        <f aca="true" t="shared" si="65" ref="CT16:CT31">Y16-K16-L16-V16</f>
        <v>1201785.25</v>
      </c>
      <c r="CU16" s="80">
        <f aca="true" t="shared" si="66" ref="CU16:CU31">AU16-AR16</f>
        <v>1540356.0499999996</v>
      </c>
      <c r="CV16" s="80">
        <f aca="true" t="shared" si="67" ref="CV16:CV31">CU16-CT16</f>
        <v>338570.7999999996</v>
      </c>
      <c r="CW16" s="80">
        <f aca="true" t="shared" si="68" ref="CW16:CW31">-V16+AR16</f>
        <v>0</v>
      </c>
      <c r="CX16" s="80">
        <f aca="true" t="shared" si="69" ref="CX16:CX31">CV16+CW16</f>
        <v>338570.7999999996</v>
      </c>
      <c r="CY16" s="80">
        <f t="shared" si="24"/>
        <v>255694.09999999957</v>
      </c>
      <c r="CZ16" s="80">
        <f aca="true" t="shared" si="70" ref="CZ16:CZ31">BR16-BP16</f>
        <v>153975</v>
      </c>
      <c r="DA16" s="80">
        <f aca="true" t="shared" si="71" ref="DA16:DA31">K16+L16</f>
        <v>82876.7</v>
      </c>
      <c r="DB16" s="80">
        <f aca="true" t="shared" si="72" ref="DB16:DB31">-CZ16+DA16+CY16</f>
        <v>184595.79999999958</v>
      </c>
      <c r="DC16" s="80">
        <f t="shared" si="28"/>
        <v>-190386.7</v>
      </c>
      <c r="DD16" s="80">
        <f t="shared" si="29"/>
        <v>255694.09999999957</v>
      </c>
      <c r="DE16" s="80">
        <f aca="true" t="shared" si="73" ref="DE16:DE31">Z16+AA16+AB16</f>
        <v>100354.6</v>
      </c>
      <c r="DF16" s="80">
        <f t="shared" si="31"/>
        <v>562.9779929577464</v>
      </c>
      <c r="DG16" s="80">
        <f aca="true" t="shared" si="74" ref="DG16:DG31">CH16/B16</f>
        <v>-43.463116197183105</v>
      </c>
      <c r="DH16" s="80">
        <f t="shared" si="33"/>
        <v>176.6806338028169</v>
      </c>
      <c r="DI16" s="81">
        <f t="shared" si="34"/>
        <v>271.0827464788732</v>
      </c>
      <c r="DJ16" s="76">
        <f t="shared" si="35"/>
        <v>324.9926056338021</v>
      </c>
      <c r="DK16" s="147">
        <f t="shared" si="46"/>
        <v>-1001329.3</v>
      </c>
      <c r="DL16" s="67"/>
      <c r="DM16" s="68"/>
    </row>
    <row r="17" spans="1:117" ht="12.75">
      <c r="A17" s="52" t="s">
        <v>10</v>
      </c>
      <c r="B17" s="41">
        <v>387</v>
      </c>
      <c r="C17" s="4">
        <v>975525</v>
      </c>
      <c r="D17" s="69">
        <v>2520.74</v>
      </c>
      <c r="E17" s="69">
        <v>76</v>
      </c>
      <c r="F17" s="8">
        <v>8</v>
      </c>
      <c r="G17" s="133">
        <v>680673.05</v>
      </c>
      <c r="H17" s="43">
        <f>292730.3</f>
        <v>292730.3</v>
      </c>
      <c r="I17" s="43">
        <v>117572.93</v>
      </c>
      <c r="J17" s="43">
        <v>28.25</v>
      </c>
      <c r="K17" s="43">
        <v>144709.95</v>
      </c>
      <c r="L17" s="43">
        <v>0</v>
      </c>
      <c r="M17" s="43">
        <f t="shared" si="0"/>
        <v>144709.95</v>
      </c>
      <c r="N17" s="43">
        <v>0</v>
      </c>
      <c r="O17" s="43">
        <v>76429.5</v>
      </c>
      <c r="P17" s="43">
        <f>146482.55-36164.35</f>
        <v>110318.19999999998</v>
      </c>
      <c r="Q17" s="43">
        <f>-19.5</f>
        <v>-19.5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f t="shared" si="48"/>
        <v>0</v>
      </c>
      <c r="X17" s="43">
        <v>378065.2</v>
      </c>
      <c r="Y17" s="43">
        <f t="shared" si="49"/>
        <v>1800507.88</v>
      </c>
      <c r="Z17" s="43">
        <v>438100.35</v>
      </c>
      <c r="AA17" s="43">
        <v>0</v>
      </c>
      <c r="AB17" s="43">
        <v>2330.35</v>
      </c>
      <c r="AC17" s="43">
        <v>0</v>
      </c>
      <c r="AD17" s="43">
        <v>1741.65</v>
      </c>
      <c r="AE17" s="43">
        <f t="shared" si="50"/>
        <v>442172.35</v>
      </c>
      <c r="AF17" s="43">
        <v>21936.3</v>
      </c>
      <c r="AG17" s="43">
        <v>195383.2</v>
      </c>
      <c r="AH17" s="43">
        <v>0</v>
      </c>
      <c r="AI17" s="43">
        <f>240033.6-329.2</f>
        <v>239704.4</v>
      </c>
      <c r="AJ17" s="43">
        <v>50050.25</v>
      </c>
      <c r="AK17" s="43">
        <v>145888.95</v>
      </c>
      <c r="AL17" s="43">
        <v>230051.7</v>
      </c>
      <c r="AM17" s="43">
        <v>0</v>
      </c>
      <c r="AN17" s="4">
        <v>0</v>
      </c>
      <c r="AO17" s="4">
        <v>0</v>
      </c>
      <c r="AP17" s="4">
        <v>70000</v>
      </c>
      <c r="AQ17" s="4">
        <v>0</v>
      </c>
      <c r="AR17" s="4">
        <v>0</v>
      </c>
      <c r="AS17" s="4">
        <f t="shared" si="51"/>
        <v>70000</v>
      </c>
      <c r="AT17" s="4">
        <v>378065.2</v>
      </c>
      <c r="AU17" s="4">
        <f t="shared" si="52"/>
        <v>1773252.3499999996</v>
      </c>
      <c r="AV17" s="4">
        <v>0</v>
      </c>
      <c r="AW17" s="4">
        <v>27255.53</v>
      </c>
      <c r="AX17" s="4">
        <f t="shared" si="53"/>
        <v>2.6193447411060333E-10</v>
      </c>
      <c r="AY17" s="43">
        <f>20111.95+1654.55+6607.7+1450.65</f>
        <v>29824.850000000002</v>
      </c>
      <c r="AZ17" s="43">
        <f>160368.5+11270.55+825.9+31462.7+5562.9+27262.9+11017.05+1189.65+203397.6+10027.8+16399.1+72841.25</f>
        <v>551625.8999999999</v>
      </c>
      <c r="BA17" s="43">
        <v>0</v>
      </c>
      <c r="BB17" s="43">
        <v>0</v>
      </c>
      <c r="BC17" s="43">
        <v>0</v>
      </c>
      <c r="BD17" s="43">
        <v>0</v>
      </c>
      <c r="BE17" s="43">
        <f>16660.8+27115.4+24358.8</f>
        <v>68135</v>
      </c>
      <c r="BF17" s="43">
        <f t="shared" si="54"/>
        <v>619760.8999999999</v>
      </c>
      <c r="BG17" s="43">
        <f>7251.3</f>
        <v>7251.3</v>
      </c>
      <c r="BH17" s="43">
        <v>0</v>
      </c>
      <c r="BI17" s="43">
        <v>0</v>
      </c>
      <c r="BJ17" s="43">
        <v>0</v>
      </c>
      <c r="BK17" s="43">
        <v>0</v>
      </c>
      <c r="BL17" s="43">
        <v>0</v>
      </c>
      <c r="BM17" s="145">
        <f>150000+17151+7848.75+12420+10000+60000+111000+31471+34566.8</f>
        <v>434457.55</v>
      </c>
      <c r="BN17" s="43">
        <v>0</v>
      </c>
      <c r="BO17" s="43">
        <f t="shared" si="55"/>
        <v>441708.85</v>
      </c>
      <c r="BP17" s="43">
        <f>441708.85</f>
        <v>441708.85</v>
      </c>
      <c r="BQ17" s="43">
        <v>0</v>
      </c>
      <c r="BR17" s="43">
        <f>619760.9</f>
        <v>619760.9</v>
      </c>
      <c r="BS17" s="143">
        <f t="shared" si="56"/>
        <v>0</v>
      </c>
      <c r="BT17" s="4">
        <v>3128702.17</v>
      </c>
      <c r="BU17" s="4">
        <v>695526.85</v>
      </c>
      <c r="BV17" s="4">
        <v>0</v>
      </c>
      <c r="BW17" s="4">
        <v>174841.98</v>
      </c>
      <c r="BX17" s="4">
        <f t="shared" si="57"/>
        <v>3999071</v>
      </c>
      <c r="BY17" s="4">
        <v>3416891.7</v>
      </c>
      <c r="BZ17" s="4">
        <v>582179.3</v>
      </c>
      <c r="CA17" s="4">
        <v>0</v>
      </c>
      <c r="CB17" s="4">
        <f t="shared" si="58"/>
        <v>3999071</v>
      </c>
      <c r="CC17" s="4">
        <f t="shared" si="59"/>
        <v>0</v>
      </c>
      <c r="CD17" s="74">
        <f t="shared" si="60"/>
        <v>117454.42000000001</v>
      </c>
      <c r="CE17" s="76">
        <f t="shared" si="61"/>
        <v>47454.42000000001</v>
      </c>
      <c r="CF17" s="76">
        <f t="shared" si="62"/>
        <v>178052.05000000005</v>
      </c>
      <c r="CG17" s="76">
        <f t="shared" si="47"/>
        <v>1325187.1499999997</v>
      </c>
      <c r="CH17" s="76">
        <f t="shared" si="63"/>
        <v>-47985.42000000001</v>
      </c>
      <c r="CI17" s="37">
        <f t="shared" si="64"/>
        <v>96724.53</v>
      </c>
      <c r="CJ17" s="59">
        <f t="shared" si="36"/>
        <v>0.6596633961810604</v>
      </c>
      <c r="CK17" s="59">
        <f t="shared" si="37"/>
        <v>0.2665199305483986</v>
      </c>
      <c r="CL17" s="141">
        <f t="shared" si="38"/>
        <v>0.08863232638499403</v>
      </c>
      <c r="CM17" s="141">
        <f t="shared" si="39"/>
        <v>0.03580959866687511</v>
      </c>
      <c r="CN17" s="141">
        <f t="shared" si="40"/>
        <v>-0.03621029678713684</v>
      </c>
      <c r="CO17" s="141">
        <f t="shared" si="41"/>
        <v>0.07298933588361464</v>
      </c>
      <c r="CP17" s="141">
        <f t="shared" si="42"/>
        <v>0.17222519889631113</v>
      </c>
      <c r="CQ17" s="141">
        <f t="shared" si="43"/>
        <v>0.17222519889631113</v>
      </c>
      <c r="CR17" s="142">
        <f t="shared" si="44"/>
        <v>-6.072975499437148</v>
      </c>
      <c r="CS17" s="76">
        <f t="shared" si="45"/>
        <v>-288189.53000000026</v>
      </c>
      <c r="CT17" s="80">
        <f t="shared" si="65"/>
        <v>1655797.93</v>
      </c>
      <c r="CU17" s="80">
        <f t="shared" si="66"/>
        <v>1773252.3499999996</v>
      </c>
      <c r="CV17" s="80">
        <f t="shared" si="67"/>
        <v>117454.41999999969</v>
      </c>
      <c r="CW17" s="80">
        <f t="shared" si="68"/>
        <v>0</v>
      </c>
      <c r="CX17" s="80">
        <f t="shared" si="69"/>
        <v>117454.41999999969</v>
      </c>
      <c r="CY17" s="80">
        <f t="shared" si="24"/>
        <v>-27255.53000000032</v>
      </c>
      <c r="CZ17" s="80">
        <f t="shared" si="70"/>
        <v>178052.05000000005</v>
      </c>
      <c r="DA17" s="80">
        <f t="shared" si="71"/>
        <v>144709.95</v>
      </c>
      <c r="DB17" s="80">
        <f t="shared" si="72"/>
        <v>-60597.630000000354</v>
      </c>
      <c r="DC17" s="80">
        <f t="shared" si="28"/>
        <v>-586418.8</v>
      </c>
      <c r="DD17" s="80">
        <f t="shared" si="29"/>
        <v>-27255.530000000377</v>
      </c>
      <c r="DE17" s="80">
        <f t="shared" si="73"/>
        <v>440430.69999999995</v>
      </c>
      <c r="DF17" s="80">
        <f t="shared" si="31"/>
        <v>-744.6757881136957</v>
      </c>
      <c r="DG17" s="80">
        <f t="shared" si="74"/>
        <v>-123.99333333333337</v>
      </c>
      <c r="DH17" s="80">
        <f t="shared" si="33"/>
        <v>1138.0638242894056</v>
      </c>
      <c r="DI17" s="81">
        <f t="shared" si="34"/>
        <v>460.0828165374678</v>
      </c>
      <c r="DJ17" s="76">
        <f t="shared" si="35"/>
        <v>-156.58302325581488</v>
      </c>
      <c r="DK17" s="147">
        <f t="shared" si="46"/>
        <v>-870368.83</v>
      </c>
      <c r="DL17" s="64"/>
      <c r="DM17" s="65"/>
    </row>
    <row r="18" spans="1:117" ht="12.75">
      <c r="A18" s="51" t="s">
        <v>11</v>
      </c>
      <c r="B18" s="46">
        <v>1047</v>
      </c>
      <c r="C18" s="38">
        <v>7016789</v>
      </c>
      <c r="D18" s="66">
        <v>6701.8</v>
      </c>
      <c r="E18" s="66">
        <v>202.05</v>
      </c>
      <c r="F18" s="128">
        <v>2</v>
      </c>
      <c r="G18" s="134">
        <v>580724.95</v>
      </c>
      <c r="H18" s="42">
        <v>520959</v>
      </c>
      <c r="I18" s="42">
        <v>45013.1</v>
      </c>
      <c r="J18" s="42">
        <v>0</v>
      </c>
      <c r="K18" s="42">
        <v>421059</v>
      </c>
      <c r="L18" s="42">
        <v>543452.95</v>
      </c>
      <c r="M18" s="43">
        <f t="shared" si="0"/>
        <v>964511.95</v>
      </c>
      <c r="N18" s="42">
        <v>0</v>
      </c>
      <c r="O18" s="42">
        <v>10781</v>
      </c>
      <c r="P18" s="42">
        <v>405322</v>
      </c>
      <c r="Q18" s="42">
        <v>622.25</v>
      </c>
      <c r="R18" s="42">
        <v>33786.2</v>
      </c>
      <c r="S18" s="42">
        <v>0</v>
      </c>
      <c r="T18" s="42">
        <v>0</v>
      </c>
      <c r="U18" s="42">
        <v>50000</v>
      </c>
      <c r="V18" s="42">
        <v>0</v>
      </c>
      <c r="W18" s="43">
        <f t="shared" si="48"/>
        <v>83786.2</v>
      </c>
      <c r="X18" s="42">
        <v>430316.4</v>
      </c>
      <c r="Y18" s="43">
        <f t="shared" si="49"/>
        <v>3042036.8500000006</v>
      </c>
      <c r="Z18" s="42">
        <v>481416.4</v>
      </c>
      <c r="AA18" s="42">
        <v>748679.55</v>
      </c>
      <c r="AB18" s="42">
        <v>0</v>
      </c>
      <c r="AC18" s="42">
        <v>0</v>
      </c>
      <c r="AD18" s="42">
        <v>3600</v>
      </c>
      <c r="AE18" s="43">
        <f t="shared" si="50"/>
        <v>1233695.9500000002</v>
      </c>
      <c r="AF18" s="42">
        <v>86822.65</v>
      </c>
      <c r="AG18" s="42">
        <v>51633.25</v>
      </c>
      <c r="AH18" s="42">
        <v>0</v>
      </c>
      <c r="AI18" s="42">
        <v>437047.6</v>
      </c>
      <c r="AJ18" s="42">
        <v>13727.45</v>
      </c>
      <c r="AK18" s="42">
        <v>49826.8</v>
      </c>
      <c r="AL18" s="42">
        <v>47974</v>
      </c>
      <c r="AM18" s="42">
        <v>32000</v>
      </c>
      <c r="AN18" s="38">
        <v>662059.7</v>
      </c>
      <c r="AO18" s="38">
        <v>0</v>
      </c>
      <c r="AP18" s="38">
        <v>0</v>
      </c>
      <c r="AQ18" s="38">
        <v>0</v>
      </c>
      <c r="AR18" s="38">
        <v>0</v>
      </c>
      <c r="AS18" s="4">
        <f t="shared" si="51"/>
        <v>662059.7</v>
      </c>
      <c r="AT18" s="38">
        <v>430316.4</v>
      </c>
      <c r="AU18" s="4">
        <f t="shared" si="52"/>
        <v>3045103.8000000007</v>
      </c>
      <c r="AV18" s="38">
        <v>3066.95</v>
      </c>
      <c r="AW18" s="38">
        <v>0</v>
      </c>
      <c r="AX18" s="4">
        <f t="shared" si="53"/>
        <v>-1.864464138634503E-10</v>
      </c>
      <c r="AY18" s="42">
        <v>0</v>
      </c>
      <c r="AZ18" s="42">
        <v>231517.25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3">
        <f t="shared" si="54"/>
        <v>231517.25</v>
      </c>
      <c r="BG18" s="42">
        <v>0</v>
      </c>
      <c r="BH18" s="42">
        <v>61580.95</v>
      </c>
      <c r="BI18" s="42">
        <v>0</v>
      </c>
      <c r="BJ18" s="42">
        <v>450000</v>
      </c>
      <c r="BK18" s="42">
        <v>0</v>
      </c>
      <c r="BL18" s="42">
        <v>0</v>
      </c>
      <c r="BM18" s="42">
        <v>233665</v>
      </c>
      <c r="BN18" s="42">
        <v>0</v>
      </c>
      <c r="BO18" s="43">
        <f t="shared" si="55"/>
        <v>745245.95</v>
      </c>
      <c r="BP18" s="42">
        <v>745245.95</v>
      </c>
      <c r="BQ18" s="42">
        <v>0</v>
      </c>
      <c r="BR18" s="42">
        <v>231517.25</v>
      </c>
      <c r="BS18" s="43">
        <f t="shared" si="56"/>
        <v>0</v>
      </c>
      <c r="BT18" s="38">
        <v>2959260.21</v>
      </c>
      <c r="BU18" s="38">
        <v>1465100.65</v>
      </c>
      <c r="BV18" s="38">
        <v>0</v>
      </c>
      <c r="BW18" s="38">
        <v>0</v>
      </c>
      <c r="BX18" s="4">
        <f t="shared" si="57"/>
        <v>4424360.859999999</v>
      </c>
      <c r="BY18" s="38">
        <v>1785367.55</v>
      </c>
      <c r="BZ18" s="38">
        <v>1940588.05</v>
      </c>
      <c r="CA18" s="38">
        <v>698405.26</v>
      </c>
      <c r="CB18" s="4">
        <f t="shared" si="58"/>
        <v>4424360.86</v>
      </c>
      <c r="CC18" s="4">
        <f t="shared" si="59"/>
        <v>0</v>
      </c>
      <c r="CD18" s="74">
        <f t="shared" si="60"/>
        <v>967578.8999999999</v>
      </c>
      <c r="CE18" s="76">
        <f t="shared" si="61"/>
        <v>389305.3999999999</v>
      </c>
      <c r="CF18" s="76">
        <f t="shared" si="62"/>
        <v>-513728.69999999995</v>
      </c>
      <c r="CG18" s="76">
        <f t="shared" si="47"/>
        <v>1920727.700000001</v>
      </c>
      <c r="CH18" s="76">
        <f t="shared" si="63"/>
        <v>-6620.1500000000015</v>
      </c>
      <c r="CI18" s="37">
        <f t="shared" si="64"/>
        <v>414438.85</v>
      </c>
      <c r="CJ18" s="59">
        <f t="shared" si="36"/>
        <v>-1.8834433427604882</v>
      </c>
      <c r="CK18" s="59">
        <f t="shared" si="37"/>
        <v>-0.7578034865484446</v>
      </c>
      <c r="CL18" s="141">
        <f t="shared" si="38"/>
        <v>0.5037564148213198</v>
      </c>
      <c r="CM18" s="141">
        <f t="shared" si="39"/>
        <v>0.20268640890637424</v>
      </c>
      <c r="CN18" s="141">
        <f t="shared" si="40"/>
        <v>-0.003446688460837004</v>
      </c>
      <c r="CO18" s="141">
        <f t="shared" si="41"/>
        <v>0.21577178795307622</v>
      </c>
      <c r="CP18" s="141">
        <f t="shared" si="42"/>
        <v>0.39698178631441083</v>
      </c>
      <c r="CQ18" s="141">
        <f t="shared" si="43"/>
        <v>0.17330293726662435</v>
      </c>
      <c r="CR18" s="142">
        <f t="shared" si="44"/>
        <v>3.0153515979999255</v>
      </c>
      <c r="CS18" s="76">
        <f t="shared" si="45"/>
        <v>1173892.66</v>
      </c>
      <c r="CT18" s="80">
        <f t="shared" si="65"/>
        <v>2077524.9000000006</v>
      </c>
      <c r="CU18" s="80">
        <f t="shared" si="66"/>
        <v>3045103.8000000007</v>
      </c>
      <c r="CV18" s="80">
        <f t="shared" si="67"/>
        <v>967578.9000000001</v>
      </c>
      <c r="CW18" s="80">
        <f t="shared" si="68"/>
        <v>0</v>
      </c>
      <c r="CX18" s="80">
        <f t="shared" si="69"/>
        <v>967578.9000000001</v>
      </c>
      <c r="CY18" s="80">
        <f t="shared" si="24"/>
        <v>3066.9500000001863</v>
      </c>
      <c r="CZ18" s="80">
        <f t="shared" si="70"/>
        <v>-513728.69999999995</v>
      </c>
      <c r="DA18" s="80">
        <f t="shared" si="71"/>
        <v>964511.95</v>
      </c>
      <c r="DB18" s="80">
        <f t="shared" si="72"/>
        <v>1481307.6</v>
      </c>
      <c r="DC18" s="80">
        <f t="shared" si="28"/>
        <v>-1709757.9</v>
      </c>
      <c r="DD18" s="80">
        <f t="shared" si="29"/>
        <v>3066.9500000001863</v>
      </c>
      <c r="DE18" s="80">
        <f t="shared" si="73"/>
        <v>1230095.9500000002</v>
      </c>
      <c r="DF18" s="80">
        <f t="shared" si="31"/>
        <v>1121.1964278892071</v>
      </c>
      <c r="DG18" s="80">
        <f t="shared" si="74"/>
        <v>-6.322970391595034</v>
      </c>
      <c r="DH18" s="80">
        <f t="shared" si="33"/>
        <v>1174.8767430754538</v>
      </c>
      <c r="DI18" s="81">
        <f t="shared" si="34"/>
        <v>-490.66733524355294</v>
      </c>
      <c r="DJ18" s="76">
        <f t="shared" si="35"/>
        <v>1414.8114613180517</v>
      </c>
      <c r="DK18" s="147">
        <f t="shared" si="46"/>
        <v>-766695.3899999999</v>
      </c>
      <c r="DL18" s="67"/>
      <c r="DM18" s="68"/>
    </row>
    <row r="19" spans="1:117" ht="12.75">
      <c r="A19" s="52" t="s">
        <v>35</v>
      </c>
      <c r="B19" s="41">
        <v>2931</v>
      </c>
      <c r="C19" s="4">
        <v>9368123</v>
      </c>
      <c r="D19" s="69">
        <v>3196.22</v>
      </c>
      <c r="E19" s="69">
        <v>96.36</v>
      </c>
      <c r="F19" s="8">
        <v>6</v>
      </c>
      <c r="G19" s="133">
        <v>1933909.65</v>
      </c>
      <c r="H19" s="43">
        <v>3501017.66</v>
      </c>
      <c r="I19" s="43">
        <v>20738</v>
      </c>
      <c r="J19" s="43">
        <v>165576.16</v>
      </c>
      <c r="K19" s="43">
        <v>808151</v>
      </c>
      <c r="L19" s="43">
        <v>100000</v>
      </c>
      <c r="M19" s="43">
        <f t="shared" si="0"/>
        <v>908151</v>
      </c>
      <c r="N19" s="43">
        <v>0</v>
      </c>
      <c r="O19" s="43">
        <v>252143</v>
      </c>
      <c r="P19" s="43">
        <v>821776.95</v>
      </c>
      <c r="Q19" s="43">
        <v>2781.75</v>
      </c>
      <c r="R19" s="43">
        <v>631971.03</v>
      </c>
      <c r="S19" s="43">
        <v>7122.65</v>
      </c>
      <c r="T19" s="43">
        <v>0</v>
      </c>
      <c r="U19" s="43">
        <v>0</v>
      </c>
      <c r="V19" s="43">
        <v>0</v>
      </c>
      <c r="W19" s="43">
        <f t="shared" si="48"/>
        <v>639093.68</v>
      </c>
      <c r="X19" s="43">
        <v>1112328.1</v>
      </c>
      <c r="Y19" s="43">
        <f t="shared" si="49"/>
        <v>9357515.95</v>
      </c>
      <c r="Z19" s="43">
        <v>2700122.15</v>
      </c>
      <c r="AA19" s="43">
        <v>110446.15</v>
      </c>
      <c r="AB19" s="43">
        <v>110458.95</v>
      </c>
      <c r="AC19" s="43">
        <v>0</v>
      </c>
      <c r="AD19" s="43">
        <v>21171.15</v>
      </c>
      <c r="AE19" s="43">
        <f t="shared" si="50"/>
        <v>2942198.4</v>
      </c>
      <c r="AF19" s="43">
        <v>0</v>
      </c>
      <c r="AG19" s="43">
        <v>119080.75</v>
      </c>
      <c r="AH19" s="43">
        <v>0</v>
      </c>
      <c r="AI19" s="43">
        <v>4758000.49</v>
      </c>
      <c r="AJ19" s="43">
        <v>37263.9</v>
      </c>
      <c r="AK19" s="43">
        <v>120813.5</v>
      </c>
      <c r="AL19" s="43">
        <v>263430.95</v>
      </c>
      <c r="AM19" s="43">
        <v>2781.75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f t="shared" si="51"/>
        <v>0</v>
      </c>
      <c r="AT19" s="4">
        <v>1112328.1</v>
      </c>
      <c r="AU19" s="4">
        <f t="shared" si="52"/>
        <v>9355897.839999998</v>
      </c>
      <c r="AV19" s="4">
        <v>0</v>
      </c>
      <c r="AW19" s="4">
        <v>1618.11</v>
      </c>
      <c r="AX19" s="4">
        <f t="shared" si="53"/>
        <v>1.2666987458942458E-09</v>
      </c>
      <c r="AY19" s="43">
        <v>2893.1</v>
      </c>
      <c r="AZ19" s="43">
        <v>1461447.24</v>
      </c>
      <c r="BA19" s="43">
        <v>0</v>
      </c>
      <c r="BB19" s="43">
        <v>11415</v>
      </c>
      <c r="BC19" s="43">
        <v>595335</v>
      </c>
      <c r="BD19" s="43">
        <v>0</v>
      </c>
      <c r="BE19" s="43">
        <v>127569.15</v>
      </c>
      <c r="BF19" s="43">
        <f t="shared" si="54"/>
        <v>2195766.39</v>
      </c>
      <c r="BG19" s="43">
        <v>0</v>
      </c>
      <c r="BH19" s="43">
        <v>445420</v>
      </c>
      <c r="BI19" s="43">
        <v>0</v>
      </c>
      <c r="BJ19" s="43">
        <v>0</v>
      </c>
      <c r="BK19" s="43">
        <v>0</v>
      </c>
      <c r="BL19" s="43">
        <v>36773.1</v>
      </c>
      <c r="BM19" s="43">
        <v>364186.2</v>
      </c>
      <c r="BN19" s="43">
        <v>0</v>
      </c>
      <c r="BO19" s="43">
        <f t="shared" si="55"/>
        <v>846379.3</v>
      </c>
      <c r="BP19" s="43">
        <v>834964.3</v>
      </c>
      <c r="BQ19" s="43">
        <v>0</v>
      </c>
      <c r="BR19" s="43">
        <v>2184351.39</v>
      </c>
      <c r="BS19" s="43">
        <f t="shared" si="56"/>
        <v>0</v>
      </c>
      <c r="BT19" s="4">
        <v>5097868.44</v>
      </c>
      <c r="BU19" s="4">
        <v>5861911.33</v>
      </c>
      <c r="BV19" s="4">
        <v>0</v>
      </c>
      <c r="BW19" s="4">
        <v>0</v>
      </c>
      <c r="BX19" s="4">
        <f t="shared" si="57"/>
        <v>10959779.77</v>
      </c>
      <c r="BY19" s="4">
        <v>2044055.26</v>
      </c>
      <c r="BZ19" s="4">
        <v>5836417.21</v>
      </c>
      <c r="CA19" s="4">
        <v>3079307.3</v>
      </c>
      <c r="CB19" s="4">
        <f t="shared" si="58"/>
        <v>10959779.77</v>
      </c>
      <c r="CC19" s="4">
        <f t="shared" si="59"/>
        <v>0</v>
      </c>
      <c r="CD19" s="74">
        <f t="shared" si="60"/>
        <v>906532.89</v>
      </c>
      <c r="CE19" s="76">
        <f t="shared" si="61"/>
        <v>1545626.57</v>
      </c>
      <c r="CF19" s="76">
        <f t="shared" si="62"/>
        <v>1349387.09</v>
      </c>
      <c r="CG19" s="76">
        <f t="shared" si="47"/>
        <v>8240787.989999998</v>
      </c>
      <c r="CH19" s="76">
        <f t="shared" si="63"/>
        <v>-95449.65</v>
      </c>
      <c r="CI19" s="37">
        <f t="shared" si="64"/>
        <v>712701.35</v>
      </c>
      <c r="CJ19" s="59">
        <f t="shared" si="36"/>
        <v>0.6718108515474236</v>
      </c>
      <c r="CK19" s="59">
        <f t="shared" si="37"/>
        <v>1.1454286034409888</v>
      </c>
      <c r="CL19" s="141">
        <f t="shared" si="38"/>
        <v>0.11000560760694927</v>
      </c>
      <c r="CM19" s="141">
        <f t="shared" si="39"/>
        <v>0.1875581038943826</v>
      </c>
      <c r="CN19" s="141">
        <f t="shared" si="40"/>
        <v>-0.01158258774717004</v>
      </c>
      <c r="CO19" s="141">
        <f t="shared" si="41"/>
        <v>0.08648461177072463</v>
      </c>
      <c r="CP19" s="141">
        <f t="shared" si="42"/>
        <v>0.13414219186368997</v>
      </c>
      <c r="CQ19" s="141">
        <f t="shared" si="43"/>
        <v>0.1193712791119901</v>
      </c>
      <c r="CR19" s="142">
        <f t="shared" si="44"/>
        <v>1.975776839809373</v>
      </c>
      <c r="CS19" s="76">
        <f t="shared" si="45"/>
        <v>3053813.1800000006</v>
      </c>
      <c r="CT19" s="80">
        <f t="shared" si="65"/>
        <v>8449364.95</v>
      </c>
      <c r="CU19" s="80">
        <f t="shared" si="66"/>
        <v>9355897.839999998</v>
      </c>
      <c r="CV19" s="80">
        <f t="shared" si="67"/>
        <v>906532.8899999987</v>
      </c>
      <c r="CW19" s="80">
        <f t="shared" si="68"/>
        <v>0</v>
      </c>
      <c r="CX19" s="80">
        <f t="shared" si="69"/>
        <v>906532.8899999987</v>
      </c>
      <c r="CY19" s="80">
        <f t="shared" si="24"/>
        <v>-1618.1100000012666</v>
      </c>
      <c r="CZ19" s="80">
        <f t="shared" si="70"/>
        <v>1349387.09</v>
      </c>
      <c r="DA19" s="80">
        <f t="shared" si="71"/>
        <v>908151</v>
      </c>
      <c r="DB19" s="80">
        <f t="shared" si="72"/>
        <v>-442854.20000000135</v>
      </c>
      <c r="DC19" s="80">
        <f t="shared" si="28"/>
        <v>-1743115.3</v>
      </c>
      <c r="DD19" s="80">
        <f t="shared" si="29"/>
        <v>-1618.1100000012666</v>
      </c>
      <c r="DE19" s="80">
        <f t="shared" si="73"/>
        <v>2921027.25</v>
      </c>
      <c r="DF19" s="80">
        <f t="shared" si="31"/>
        <v>1041.9014602524737</v>
      </c>
      <c r="DG19" s="80">
        <f t="shared" si="74"/>
        <v>-32.56555783009212</v>
      </c>
      <c r="DH19" s="80">
        <f t="shared" si="33"/>
        <v>996.5974923234392</v>
      </c>
      <c r="DI19" s="81">
        <f t="shared" si="34"/>
        <v>460.3845411122484</v>
      </c>
      <c r="DJ19" s="76">
        <f t="shared" si="35"/>
        <v>-151.0932105083594</v>
      </c>
      <c r="DK19" s="147">
        <f t="shared" si="46"/>
        <v>-2782604.0300000003</v>
      </c>
      <c r="DL19" s="64"/>
      <c r="DM19" s="65"/>
    </row>
    <row r="20" spans="1:117" ht="12.75">
      <c r="A20" s="51" t="s">
        <v>12</v>
      </c>
      <c r="B20" s="46">
        <v>445</v>
      </c>
      <c r="C20" s="38">
        <v>1224285</v>
      </c>
      <c r="D20" s="66">
        <v>2751.2</v>
      </c>
      <c r="E20" s="66">
        <v>82.94</v>
      </c>
      <c r="F20" s="128">
        <v>8</v>
      </c>
      <c r="G20" s="134">
        <v>388895.65</v>
      </c>
      <c r="H20" s="42">
        <v>461704.65</v>
      </c>
      <c r="I20" s="42">
        <v>87686.2</v>
      </c>
      <c r="J20" s="42">
        <v>26130.05</v>
      </c>
      <c r="K20" s="42">
        <v>226622.05</v>
      </c>
      <c r="L20" s="42">
        <v>653.4</v>
      </c>
      <c r="M20" s="43">
        <f t="shared" si="0"/>
        <v>227275.44999999998</v>
      </c>
      <c r="N20" s="42">
        <v>0</v>
      </c>
      <c r="O20" s="42">
        <v>77257.15</v>
      </c>
      <c r="P20" s="42">
        <v>101239.35</v>
      </c>
      <c r="Q20" s="42">
        <v>0</v>
      </c>
      <c r="R20" s="42">
        <v>9058</v>
      </c>
      <c r="S20" s="42">
        <v>0</v>
      </c>
      <c r="T20" s="42">
        <v>20000</v>
      </c>
      <c r="U20" s="42">
        <v>0</v>
      </c>
      <c r="V20" s="42">
        <v>0</v>
      </c>
      <c r="W20" s="43">
        <f t="shared" si="48"/>
        <v>29058</v>
      </c>
      <c r="X20" s="42">
        <v>373727.3</v>
      </c>
      <c r="Y20" s="43">
        <f t="shared" si="49"/>
        <v>1772973.8</v>
      </c>
      <c r="Z20" s="42">
        <v>434676.1</v>
      </c>
      <c r="AA20" s="42">
        <v>44211.4</v>
      </c>
      <c r="AB20" s="42">
        <v>1856</v>
      </c>
      <c r="AC20" s="42">
        <v>0</v>
      </c>
      <c r="AD20" s="42">
        <v>1800</v>
      </c>
      <c r="AE20" s="43">
        <f t="shared" si="50"/>
        <v>482543.5</v>
      </c>
      <c r="AF20" s="42">
        <v>0</v>
      </c>
      <c r="AG20" s="42">
        <v>348472.95</v>
      </c>
      <c r="AH20" s="42">
        <v>0</v>
      </c>
      <c r="AI20" s="42">
        <v>449299.05</v>
      </c>
      <c r="AJ20" s="42">
        <v>8556.35</v>
      </c>
      <c r="AK20" s="42">
        <v>39362.9</v>
      </c>
      <c r="AL20" s="42">
        <v>111346.05</v>
      </c>
      <c r="AM20" s="42">
        <v>0</v>
      </c>
      <c r="AN20" s="38">
        <v>1962.4</v>
      </c>
      <c r="AO20" s="38">
        <v>0</v>
      </c>
      <c r="AP20" s="38">
        <v>0</v>
      </c>
      <c r="AQ20" s="38">
        <v>0</v>
      </c>
      <c r="AR20" s="38">
        <v>0</v>
      </c>
      <c r="AS20" s="4">
        <f t="shared" si="51"/>
        <v>1962.4</v>
      </c>
      <c r="AT20" s="38">
        <v>353269.35</v>
      </c>
      <c r="AU20" s="4">
        <f t="shared" si="52"/>
        <v>1794812.5499999998</v>
      </c>
      <c r="AV20" s="38">
        <v>21838.75</v>
      </c>
      <c r="AW20" s="38">
        <v>0</v>
      </c>
      <c r="AX20" s="4">
        <f t="shared" si="53"/>
        <v>2.3283064365386963E-10</v>
      </c>
      <c r="AY20" s="42">
        <v>54156.05</v>
      </c>
      <c r="AZ20" s="42">
        <v>16067.95</v>
      </c>
      <c r="BA20" s="42">
        <v>0</v>
      </c>
      <c r="BB20" s="42">
        <v>0</v>
      </c>
      <c r="BC20" s="42">
        <v>280054.25</v>
      </c>
      <c r="BD20" s="42">
        <v>0</v>
      </c>
      <c r="BE20" s="42">
        <v>0</v>
      </c>
      <c r="BF20" s="43">
        <f t="shared" si="54"/>
        <v>296122.2</v>
      </c>
      <c r="BG20" s="42">
        <v>11576</v>
      </c>
      <c r="BH20" s="42">
        <v>91262.2</v>
      </c>
      <c r="BI20" s="42">
        <v>0</v>
      </c>
      <c r="BJ20" s="42">
        <v>0</v>
      </c>
      <c r="BK20" s="42">
        <v>0</v>
      </c>
      <c r="BL20" s="42">
        <v>0</v>
      </c>
      <c r="BM20" s="42">
        <v>0</v>
      </c>
      <c r="BN20" s="42">
        <v>0</v>
      </c>
      <c r="BO20" s="43">
        <f t="shared" si="55"/>
        <v>102838.2</v>
      </c>
      <c r="BP20" s="42">
        <v>102838.2</v>
      </c>
      <c r="BQ20" s="42">
        <v>0</v>
      </c>
      <c r="BR20" s="42">
        <v>296122.2</v>
      </c>
      <c r="BS20" s="43">
        <f t="shared" si="56"/>
        <v>0</v>
      </c>
      <c r="BT20" s="38">
        <v>2771446.17</v>
      </c>
      <c r="BU20" s="38">
        <v>923239.7</v>
      </c>
      <c r="BV20" s="38">
        <v>0</v>
      </c>
      <c r="BW20" s="38">
        <v>0</v>
      </c>
      <c r="BX20" s="4">
        <f t="shared" si="57"/>
        <v>3694685.87</v>
      </c>
      <c r="BY20" s="38">
        <v>2372428.6</v>
      </c>
      <c r="BZ20" s="38">
        <v>728144.7</v>
      </c>
      <c r="CA20" s="38">
        <v>594112.57</v>
      </c>
      <c r="CB20" s="4">
        <f t="shared" si="58"/>
        <v>3694685.8699999996</v>
      </c>
      <c r="CC20" s="4">
        <f t="shared" si="59"/>
        <v>0</v>
      </c>
      <c r="CD20" s="74">
        <f t="shared" si="60"/>
        <v>249114.19999999998</v>
      </c>
      <c r="CE20" s="76">
        <f t="shared" si="61"/>
        <v>276209.79999999993</v>
      </c>
      <c r="CF20" s="76">
        <f t="shared" si="62"/>
        <v>193284</v>
      </c>
      <c r="CG20" s="76">
        <f t="shared" si="47"/>
        <v>1439580.7999999998</v>
      </c>
      <c r="CH20" s="76">
        <f t="shared" si="63"/>
        <v>-206630.7</v>
      </c>
      <c r="CI20" s="37">
        <f t="shared" si="64"/>
        <v>19991.349999999977</v>
      </c>
      <c r="CJ20" s="59">
        <f t="shared" si="36"/>
        <v>1.2888506032573828</v>
      </c>
      <c r="CK20" s="59">
        <f t="shared" si="37"/>
        <v>1.4290360298834872</v>
      </c>
      <c r="CL20" s="141">
        <f t="shared" si="38"/>
        <v>0.17304634793684384</v>
      </c>
      <c r="CM20" s="141">
        <f t="shared" si="39"/>
        <v>0.19186821608068125</v>
      </c>
      <c r="CN20" s="141">
        <f t="shared" si="40"/>
        <v>-0.14353532639501723</v>
      </c>
      <c r="CO20" s="141">
        <f t="shared" si="41"/>
        <v>0.013886924582489555</v>
      </c>
      <c r="CP20" s="141">
        <f t="shared" si="42"/>
        <v>0.19754233570935595</v>
      </c>
      <c r="CQ20" s="141">
        <f t="shared" si="43"/>
        <v>0.1969744161995607</v>
      </c>
      <c r="CR20" s="142">
        <f t="shared" si="44"/>
        <v>1.4446177145054229</v>
      </c>
      <c r="CS20" s="76">
        <f t="shared" si="45"/>
        <v>399017.56999999983</v>
      </c>
      <c r="CT20" s="80">
        <f t="shared" si="65"/>
        <v>1545698.35</v>
      </c>
      <c r="CU20" s="80">
        <f t="shared" si="66"/>
        <v>1794812.5499999998</v>
      </c>
      <c r="CV20" s="80">
        <f t="shared" si="67"/>
        <v>249114.19999999972</v>
      </c>
      <c r="CW20" s="80">
        <f t="shared" si="68"/>
        <v>0</v>
      </c>
      <c r="CX20" s="80">
        <f t="shared" si="69"/>
        <v>249114.19999999972</v>
      </c>
      <c r="CY20" s="80">
        <f t="shared" si="24"/>
        <v>21838.74999999973</v>
      </c>
      <c r="CZ20" s="80">
        <f t="shared" si="70"/>
        <v>193284</v>
      </c>
      <c r="DA20" s="80">
        <f t="shared" si="71"/>
        <v>227275.44999999998</v>
      </c>
      <c r="DB20" s="80">
        <f t="shared" si="72"/>
        <v>55830.19999999971</v>
      </c>
      <c r="DC20" s="80">
        <f t="shared" si="28"/>
        <v>-330113.64999999997</v>
      </c>
      <c r="DD20" s="80">
        <f t="shared" si="29"/>
        <v>21838.749999999767</v>
      </c>
      <c r="DE20" s="80">
        <f t="shared" si="73"/>
        <v>480743.5</v>
      </c>
      <c r="DF20" s="80">
        <f t="shared" si="31"/>
        <v>896.6686966292131</v>
      </c>
      <c r="DG20" s="80">
        <f t="shared" si="74"/>
        <v>-464.3386516853933</v>
      </c>
      <c r="DH20" s="80">
        <f t="shared" si="33"/>
        <v>1080.3224719101124</v>
      </c>
      <c r="DI20" s="81">
        <f t="shared" si="34"/>
        <v>434.3460674157303</v>
      </c>
      <c r="DJ20" s="76">
        <f t="shared" si="35"/>
        <v>125.46112359550497</v>
      </c>
      <c r="DK20" s="147">
        <f t="shared" si="46"/>
        <v>-329127.13</v>
      </c>
      <c r="DL20" s="67"/>
      <c r="DM20" s="68"/>
    </row>
    <row r="21" spans="1:117" ht="12.75">
      <c r="A21" s="52" t="s">
        <v>13</v>
      </c>
      <c r="B21" s="41">
        <v>3926</v>
      </c>
      <c r="C21" s="4">
        <v>16310356</v>
      </c>
      <c r="D21" s="69">
        <v>4154.45</v>
      </c>
      <c r="E21" s="69">
        <v>125.25</v>
      </c>
      <c r="F21" s="8">
        <v>4</v>
      </c>
      <c r="G21" s="133">
        <v>2352545.1</v>
      </c>
      <c r="H21" s="43">
        <v>2128941.72</v>
      </c>
      <c r="I21" s="43">
        <v>239821.45</v>
      </c>
      <c r="J21" s="43">
        <v>541.17</v>
      </c>
      <c r="K21" s="43">
        <v>982094.04</v>
      </c>
      <c r="L21" s="43">
        <v>596114.3</v>
      </c>
      <c r="M21" s="43">
        <f t="shared" si="0"/>
        <v>1578208.34</v>
      </c>
      <c r="N21" s="43">
        <v>0</v>
      </c>
      <c r="O21" s="43">
        <v>390391.65</v>
      </c>
      <c r="P21" s="43">
        <v>1074093.8</v>
      </c>
      <c r="Q21" s="43">
        <v>119844.35</v>
      </c>
      <c r="R21" s="43">
        <v>0</v>
      </c>
      <c r="S21" s="43">
        <v>41037.2</v>
      </c>
      <c r="T21" s="43">
        <v>0</v>
      </c>
      <c r="U21" s="43">
        <v>0</v>
      </c>
      <c r="V21" s="43">
        <v>0</v>
      </c>
      <c r="W21" s="43">
        <f t="shared" si="48"/>
        <v>41037.2</v>
      </c>
      <c r="X21" s="43">
        <v>2409583.89</v>
      </c>
      <c r="Y21" s="43">
        <f t="shared" si="49"/>
        <v>10335008.67</v>
      </c>
      <c r="Z21" s="43">
        <v>2598477.9</v>
      </c>
      <c r="AA21" s="43">
        <v>1931857.95</v>
      </c>
      <c r="AB21" s="43">
        <v>48696.7</v>
      </c>
      <c r="AC21" s="43">
        <v>0</v>
      </c>
      <c r="AD21" s="43">
        <v>19160</v>
      </c>
      <c r="AE21" s="43">
        <f t="shared" si="50"/>
        <v>4598192.55</v>
      </c>
      <c r="AF21" s="43">
        <v>103345.55</v>
      </c>
      <c r="AG21" s="43">
        <v>518255.95</v>
      </c>
      <c r="AH21" s="43">
        <v>41930</v>
      </c>
      <c r="AI21" s="43">
        <v>1761964.38</v>
      </c>
      <c r="AJ21" s="43">
        <v>60445.8</v>
      </c>
      <c r="AK21" s="43">
        <v>270595.95</v>
      </c>
      <c r="AL21" s="43">
        <v>440717.5</v>
      </c>
      <c r="AM21" s="43">
        <v>119844.35</v>
      </c>
      <c r="AN21" s="4">
        <v>72932.73</v>
      </c>
      <c r="AO21" s="4">
        <v>29476.3</v>
      </c>
      <c r="AP21" s="4">
        <v>0</v>
      </c>
      <c r="AQ21" s="4">
        <v>0</v>
      </c>
      <c r="AR21" s="4">
        <v>0</v>
      </c>
      <c r="AS21" s="4">
        <f t="shared" si="51"/>
        <v>102409.03</v>
      </c>
      <c r="AT21" s="4">
        <v>2409583.89</v>
      </c>
      <c r="AU21" s="4">
        <f t="shared" si="52"/>
        <v>10385354.950000001</v>
      </c>
      <c r="AV21" s="4">
        <v>50346.28</v>
      </c>
      <c r="AW21" s="4">
        <v>0</v>
      </c>
      <c r="AX21" s="4">
        <f t="shared" si="53"/>
        <v>-1.1932570487260818E-09</v>
      </c>
      <c r="AY21" s="43">
        <v>115134.5</v>
      </c>
      <c r="AZ21" s="43">
        <v>1746226.95</v>
      </c>
      <c r="BA21" s="43">
        <v>0</v>
      </c>
      <c r="BB21" s="43">
        <v>0</v>
      </c>
      <c r="BC21" s="43">
        <v>886100</v>
      </c>
      <c r="BD21" s="43">
        <v>0</v>
      </c>
      <c r="BE21" s="43">
        <v>0</v>
      </c>
      <c r="BF21" s="43">
        <f t="shared" si="54"/>
        <v>2632326.95</v>
      </c>
      <c r="BG21" s="43">
        <v>0</v>
      </c>
      <c r="BH21" s="43">
        <v>279856</v>
      </c>
      <c r="BI21" s="43">
        <v>0</v>
      </c>
      <c r="BJ21" s="43">
        <v>0</v>
      </c>
      <c r="BK21" s="43">
        <v>0</v>
      </c>
      <c r="BL21" s="43">
        <v>563649.8</v>
      </c>
      <c r="BM21" s="43">
        <v>321440.65</v>
      </c>
      <c r="BN21" s="43">
        <v>0</v>
      </c>
      <c r="BO21" s="43">
        <f t="shared" si="55"/>
        <v>1164946.4500000002</v>
      </c>
      <c r="BP21" s="43">
        <v>1164946.45</v>
      </c>
      <c r="BQ21" s="43">
        <v>0</v>
      </c>
      <c r="BR21" s="43">
        <v>2632326.95</v>
      </c>
      <c r="BS21" s="43">
        <f t="shared" si="56"/>
        <v>0</v>
      </c>
      <c r="BT21" s="4">
        <v>14167011.15</v>
      </c>
      <c r="BU21" s="4">
        <v>6659437.7</v>
      </c>
      <c r="BV21" s="4">
        <v>75973.63</v>
      </c>
      <c r="BW21" s="4">
        <v>0</v>
      </c>
      <c r="BX21" s="4">
        <f t="shared" si="57"/>
        <v>20902422.48</v>
      </c>
      <c r="BY21" s="4">
        <v>11006431.49</v>
      </c>
      <c r="BZ21" s="4">
        <v>2641199.72</v>
      </c>
      <c r="CA21" s="4">
        <v>7254791.27</v>
      </c>
      <c r="CB21" s="4">
        <f t="shared" si="58"/>
        <v>20902422.48</v>
      </c>
      <c r="CC21" s="4">
        <f t="shared" si="59"/>
        <v>0</v>
      </c>
      <c r="CD21" s="74">
        <f t="shared" si="60"/>
        <v>1628554.62</v>
      </c>
      <c r="CE21" s="76">
        <f t="shared" si="61"/>
        <v>1567182.79</v>
      </c>
      <c r="CF21" s="76">
        <f t="shared" si="62"/>
        <v>1467380.5000000002</v>
      </c>
      <c r="CG21" s="76">
        <f t="shared" si="47"/>
        <v>7753517.680000001</v>
      </c>
      <c r="CH21" s="76">
        <f t="shared" si="63"/>
        <v>-121370</v>
      </c>
      <c r="CI21" s="37">
        <f t="shared" si="64"/>
        <v>860724.04</v>
      </c>
      <c r="CJ21" s="59">
        <f t="shared" si="36"/>
        <v>1.1098379868071027</v>
      </c>
      <c r="CK21" s="59">
        <f t="shared" si="37"/>
        <v>1.0680139132283684</v>
      </c>
      <c r="CL21" s="141">
        <f t="shared" si="38"/>
        <v>0.21004074372601417</v>
      </c>
      <c r="CM21" s="141">
        <f t="shared" si="39"/>
        <v>0.20212539065236257</v>
      </c>
      <c r="CN21" s="141">
        <f t="shared" si="40"/>
        <v>-0.015653540110325766</v>
      </c>
      <c r="CO21" s="141">
        <f t="shared" si="41"/>
        <v>0.11101077930346577</v>
      </c>
      <c r="CP21" s="141">
        <f t="shared" si="42"/>
        <v>0.19158486931055368</v>
      </c>
      <c r="CQ21" s="141">
        <f t="shared" si="43"/>
        <v>0.11922022811264175</v>
      </c>
      <c r="CR21" s="142">
        <f t="shared" si="44"/>
        <v>2.0167268809785743</v>
      </c>
      <c r="CS21" s="76">
        <f t="shared" si="45"/>
        <v>3160579.66</v>
      </c>
      <c r="CT21" s="80">
        <f t="shared" si="65"/>
        <v>8756800.329999998</v>
      </c>
      <c r="CU21" s="80">
        <f t="shared" si="66"/>
        <v>10385354.950000001</v>
      </c>
      <c r="CV21" s="80">
        <f t="shared" si="67"/>
        <v>1628554.620000003</v>
      </c>
      <c r="CW21" s="80">
        <f t="shared" si="68"/>
        <v>0</v>
      </c>
      <c r="CX21" s="80">
        <f t="shared" si="69"/>
        <v>1628554.620000003</v>
      </c>
      <c r="CY21" s="80">
        <f t="shared" si="24"/>
        <v>50346.28000000282</v>
      </c>
      <c r="CZ21" s="80">
        <f t="shared" si="70"/>
        <v>1467380.5000000002</v>
      </c>
      <c r="DA21" s="80">
        <f t="shared" si="71"/>
        <v>1578208.34</v>
      </c>
      <c r="DB21" s="80">
        <f t="shared" si="72"/>
        <v>161174.12000000267</v>
      </c>
      <c r="DC21" s="80">
        <f t="shared" si="28"/>
        <v>-2743154.79</v>
      </c>
      <c r="DD21" s="80">
        <f t="shared" si="29"/>
        <v>50346.280000003055</v>
      </c>
      <c r="DE21" s="80">
        <f t="shared" si="73"/>
        <v>4579032.55</v>
      </c>
      <c r="DF21" s="80">
        <f t="shared" si="31"/>
        <v>805.0381202241467</v>
      </c>
      <c r="DG21" s="80">
        <f t="shared" si="74"/>
        <v>-30.914416709118697</v>
      </c>
      <c r="DH21" s="80">
        <f t="shared" si="33"/>
        <v>1166.3353413143147</v>
      </c>
      <c r="DI21" s="81">
        <f t="shared" si="34"/>
        <v>373.75967906265925</v>
      </c>
      <c r="DJ21" s="76">
        <f t="shared" si="35"/>
        <v>41.05301069791204</v>
      </c>
      <c r="DK21" s="147">
        <f t="shared" si="46"/>
        <v>595353.5699999994</v>
      </c>
      <c r="DL21" s="64"/>
      <c r="DM21" s="137"/>
    </row>
    <row r="22" spans="1:117" ht="12.75">
      <c r="A22" s="51" t="s">
        <v>14</v>
      </c>
      <c r="B22" s="46">
        <v>2737</v>
      </c>
      <c r="C22" s="38">
        <v>8967500</v>
      </c>
      <c r="D22" s="66">
        <v>3276.4</v>
      </c>
      <c r="E22" s="66">
        <v>98.78</v>
      </c>
      <c r="F22" s="128">
        <v>4</v>
      </c>
      <c r="G22" s="134">
        <v>1916346</v>
      </c>
      <c r="H22" s="42">
        <v>6140735.77</v>
      </c>
      <c r="I22" s="42">
        <v>83050.15</v>
      </c>
      <c r="J22" s="42">
        <v>165000</v>
      </c>
      <c r="K22" s="42">
        <v>650947</v>
      </c>
      <c r="L22" s="42">
        <v>417810.25</v>
      </c>
      <c r="M22" s="43">
        <f t="shared" si="0"/>
        <v>1068757.25</v>
      </c>
      <c r="N22" s="42">
        <v>100000</v>
      </c>
      <c r="O22" s="42">
        <v>263006.5</v>
      </c>
      <c r="P22" s="42">
        <v>736552.15</v>
      </c>
      <c r="Q22" s="42">
        <v>11513.2</v>
      </c>
      <c r="R22" s="42">
        <v>379397.55</v>
      </c>
      <c r="S22" s="42">
        <v>0</v>
      </c>
      <c r="T22" s="42">
        <v>200382.95</v>
      </c>
      <c r="U22" s="42">
        <v>0</v>
      </c>
      <c r="V22" s="42">
        <v>0</v>
      </c>
      <c r="W22" s="43">
        <f t="shared" si="48"/>
        <v>579780.5</v>
      </c>
      <c r="X22" s="42">
        <v>970736.65</v>
      </c>
      <c r="Y22" s="43">
        <f t="shared" si="49"/>
        <v>12035478.17</v>
      </c>
      <c r="Z22" s="42">
        <v>2352218.2</v>
      </c>
      <c r="AA22" s="42">
        <v>194747.1</v>
      </c>
      <c r="AB22" s="42">
        <v>37163.25</v>
      </c>
      <c r="AC22" s="42">
        <v>0</v>
      </c>
      <c r="AD22" s="42">
        <v>11096</v>
      </c>
      <c r="AE22" s="43">
        <f t="shared" si="50"/>
        <v>2595224.5500000003</v>
      </c>
      <c r="AF22" s="42">
        <v>41999.5</v>
      </c>
      <c r="AG22" s="42">
        <v>1037106.1</v>
      </c>
      <c r="AH22" s="42">
        <v>568953</v>
      </c>
      <c r="AI22" s="42">
        <v>7140051.35</v>
      </c>
      <c r="AJ22" s="42">
        <v>36127.6</v>
      </c>
      <c r="AK22" s="42">
        <v>72207.9</v>
      </c>
      <c r="AL22" s="42">
        <v>153608.25</v>
      </c>
      <c r="AM22" s="42">
        <v>11374</v>
      </c>
      <c r="AN22" s="38">
        <v>127858.05</v>
      </c>
      <c r="AO22" s="38">
        <v>58506.8</v>
      </c>
      <c r="AP22" s="38">
        <v>0</v>
      </c>
      <c r="AQ22" s="38">
        <v>0</v>
      </c>
      <c r="AR22" s="38">
        <v>0</v>
      </c>
      <c r="AS22" s="4">
        <f t="shared" si="51"/>
        <v>186364.85</v>
      </c>
      <c r="AT22" s="38">
        <v>970736.65</v>
      </c>
      <c r="AU22" s="4">
        <f t="shared" si="52"/>
        <v>12244800.750000002</v>
      </c>
      <c r="AV22" s="38">
        <v>209322.58</v>
      </c>
      <c r="AW22" s="38">
        <v>0</v>
      </c>
      <c r="AX22" s="4">
        <f t="shared" si="53"/>
        <v>-1.949956640601158E-09</v>
      </c>
      <c r="AY22" s="42">
        <v>78160.1</v>
      </c>
      <c r="AZ22" s="42">
        <v>2330574.7</v>
      </c>
      <c r="BA22" s="42">
        <v>46500</v>
      </c>
      <c r="BB22" s="42">
        <v>8960</v>
      </c>
      <c r="BC22" s="42">
        <v>0</v>
      </c>
      <c r="BD22" s="42">
        <v>0</v>
      </c>
      <c r="BE22" s="42">
        <v>31000</v>
      </c>
      <c r="BF22" s="43">
        <f t="shared" si="54"/>
        <v>2417034.7</v>
      </c>
      <c r="BG22" s="42">
        <v>0</v>
      </c>
      <c r="BH22" s="42">
        <v>24378</v>
      </c>
      <c r="BI22" s="42">
        <v>0</v>
      </c>
      <c r="BJ22" s="42">
        <v>0</v>
      </c>
      <c r="BK22" s="42">
        <v>0</v>
      </c>
      <c r="BL22" s="42">
        <v>0</v>
      </c>
      <c r="BM22" s="42">
        <v>555414</v>
      </c>
      <c r="BN22" s="42">
        <v>0</v>
      </c>
      <c r="BO22" s="43">
        <f t="shared" si="55"/>
        <v>579792</v>
      </c>
      <c r="BP22" s="42">
        <v>570832</v>
      </c>
      <c r="BQ22" s="42">
        <v>0</v>
      </c>
      <c r="BR22" s="42">
        <v>2408074.7</v>
      </c>
      <c r="BS22" s="43">
        <f t="shared" si="56"/>
        <v>0</v>
      </c>
      <c r="BT22" s="38">
        <v>7357847.61</v>
      </c>
      <c r="BU22" s="38">
        <v>4431004.55</v>
      </c>
      <c r="BV22" s="38">
        <v>118712.05</v>
      </c>
      <c r="BW22" s="38">
        <v>0</v>
      </c>
      <c r="BX22" s="4">
        <f t="shared" si="57"/>
        <v>11907564.21</v>
      </c>
      <c r="BY22" s="38">
        <v>6845541.72</v>
      </c>
      <c r="BZ22" s="38">
        <v>1031019.61</v>
      </c>
      <c r="CA22" s="38">
        <v>4031002.88</v>
      </c>
      <c r="CB22" s="4">
        <f t="shared" si="58"/>
        <v>11907564.21</v>
      </c>
      <c r="CC22" s="4">
        <f t="shared" si="59"/>
        <v>0</v>
      </c>
      <c r="CD22" s="74">
        <f t="shared" si="60"/>
        <v>1278079.83</v>
      </c>
      <c r="CE22" s="76">
        <f t="shared" si="61"/>
        <v>1671495.48</v>
      </c>
      <c r="CF22" s="76">
        <f t="shared" si="62"/>
        <v>1837242.7000000002</v>
      </c>
      <c r="CG22" s="76">
        <f t="shared" si="47"/>
        <v>11076325.250000002</v>
      </c>
      <c r="CH22" s="76">
        <f t="shared" si="63"/>
        <v>-306942.85</v>
      </c>
      <c r="CI22" s="37">
        <f t="shared" si="64"/>
        <v>344004.15</v>
      </c>
      <c r="CJ22" s="59">
        <f t="shared" si="36"/>
        <v>0.6956510590571403</v>
      </c>
      <c r="CK22" s="59">
        <f t="shared" si="37"/>
        <v>0.9097847987095008</v>
      </c>
      <c r="CL22" s="141">
        <f t="shared" si="38"/>
        <v>0.11538843444489857</v>
      </c>
      <c r="CM22" s="141">
        <f t="shared" si="39"/>
        <v>0.15090704202641572</v>
      </c>
      <c r="CN22" s="141">
        <f t="shared" si="40"/>
        <v>-0.027711614012056924</v>
      </c>
      <c r="CO22" s="141">
        <f t="shared" si="41"/>
        <v>0.03105760640244832</v>
      </c>
      <c r="CP22" s="141">
        <f t="shared" si="42"/>
        <v>0.1943279161653874</v>
      </c>
      <c r="CQ22" s="141">
        <f t="shared" si="43"/>
        <v>0.118359126026149</v>
      </c>
      <c r="CR22" s="142">
        <f t="shared" si="44"/>
        <v>0.3064955281841388</v>
      </c>
      <c r="CS22" s="76">
        <f t="shared" si="45"/>
        <v>512305.8900000006</v>
      </c>
      <c r="CT22" s="80">
        <f t="shared" si="65"/>
        <v>10966720.92</v>
      </c>
      <c r="CU22" s="80">
        <f t="shared" si="66"/>
        <v>12244800.750000002</v>
      </c>
      <c r="CV22" s="80">
        <f t="shared" si="67"/>
        <v>1278079.830000002</v>
      </c>
      <c r="CW22" s="80">
        <f t="shared" si="68"/>
        <v>0</v>
      </c>
      <c r="CX22" s="80">
        <f t="shared" si="69"/>
        <v>1278079.830000002</v>
      </c>
      <c r="CY22" s="80">
        <f t="shared" si="24"/>
        <v>209322.58000000194</v>
      </c>
      <c r="CZ22" s="80">
        <f t="shared" si="70"/>
        <v>1837242.7000000002</v>
      </c>
      <c r="DA22" s="80">
        <f t="shared" si="71"/>
        <v>1068757.25</v>
      </c>
      <c r="DB22" s="80">
        <f t="shared" si="72"/>
        <v>-559162.8699999982</v>
      </c>
      <c r="DC22" s="80">
        <f t="shared" si="28"/>
        <v>-1639589.25</v>
      </c>
      <c r="DD22" s="80">
        <f t="shared" si="29"/>
        <v>209322.58000000194</v>
      </c>
      <c r="DE22" s="80">
        <f t="shared" si="73"/>
        <v>2584128.5500000003</v>
      </c>
      <c r="DF22" s="80">
        <f t="shared" si="31"/>
        <v>187.17789185239334</v>
      </c>
      <c r="DG22" s="80">
        <f t="shared" si="74"/>
        <v>-112.14572524662037</v>
      </c>
      <c r="DH22" s="80">
        <f t="shared" si="33"/>
        <v>944.1463463646329</v>
      </c>
      <c r="DI22" s="81">
        <f t="shared" si="34"/>
        <v>671.2614906832299</v>
      </c>
      <c r="DJ22" s="76">
        <f t="shared" si="35"/>
        <v>-204.2977237851656</v>
      </c>
      <c r="DK22" s="147">
        <f t="shared" si="46"/>
        <v>-400001.6699999999</v>
      </c>
      <c r="DL22" s="67"/>
      <c r="DM22" s="68"/>
    </row>
    <row r="23" spans="1:117" ht="12.75">
      <c r="A23" s="52" t="s">
        <v>15</v>
      </c>
      <c r="B23" s="41">
        <v>255</v>
      </c>
      <c r="C23" s="4">
        <v>757103</v>
      </c>
      <c r="D23" s="69">
        <v>2969.03</v>
      </c>
      <c r="E23" s="69">
        <v>89.51</v>
      </c>
      <c r="F23" s="8">
        <v>11</v>
      </c>
      <c r="G23" s="133">
        <v>189327.35</v>
      </c>
      <c r="H23" s="43">
        <v>97153.7</v>
      </c>
      <c r="I23" s="43">
        <v>15098.75</v>
      </c>
      <c r="J23" s="43">
        <v>0</v>
      </c>
      <c r="K23" s="43">
        <v>16689.6</v>
      </c>
      <c r="L23" s="43">
        <v>16677.65</v>
      </c>
      <c r="M23" s="43">
        <f t="shared" si="0"/>
        <v>33367.25</v>
      </c>
      <c r="N23" s="43">
        <v>50</v>
      </c>
      <c r="O23" s="43">
        <v>36972.8</v>
      </c>
      <c r="P23" s="43">
        <v>50720.7</v>
      </c>
      <c r="Q23" s="43">
        <v>503.5</v>
      </c>
      <c r="R23" s="43">
        <v>49023.75</v>
      </c>
      <c r="S23" s="43">
        <v>3795.6</v>
      </c>
      <c r="T23" s="43">
        <v>0</v>
      </c>
      <c r="U23" s="43">
        <v>0</v>
      </c>
      <c r="V23" s="43">
        <v>0</v>
      </c>
      <c r="W23" s="43">
        <f t="shared" si="48"/>
        <v>52819.35</v>
      </c>
      <c r="X23" s="43">
        <v>101635.65</v>
      </c>
      <c r="Y23" s="43">
        <f t="shared" si="49"/>
        <v>577649.05</v>
      </c>
      <c r="Z23" s="43">
        <v>276737.95</v>
      </c>
      <c r="AA23" s="43">
        <v>0</v>
      </c>
      <c r="AB23" s="43">
        <v>1457.5</v>
      </c>
      <c r="AC23" s="43">
        <v>0</v>
      </c>
      <c r="AD23" s="43">
        <v>5085</v>
      </c>
      <c r="AE23" s="43">
        <f t="shared" si="50"/>
        <v>283280.45</v>
      </c>
      <c r="AF23" s="43">
        <v>0</v>
      </c>
      <c r="AG23" s="43">
        <v>22928.45</v>
      </c>
      <c r="AH23" s="43">
        <v>0</v>
      </c>
      <c r="AI23" s="43">
        <v>87671.85</v>
      </c>
      <c r="AJ23" s="43">
        <v>3703.6</v>
      </c>
      <c r="AK23" s="43">
        <v>32778.85</v>
      </c>
      <c r="AL23" s="43">
        <v>40694.25</v>
      </c>
      <c r="AM23" s="43">
        <v>530</v>
      </c>
      <c r="AN23" s="4">
        <v>0</v>
      </c>
      <c r="AO23" s="4">
        <v>3400</v>
      </c>
      <c r="AP23" s="4">
        <v>0</v>
      </c>
      <c r="AQ23" s="4">
        <v>0</v>
      </c>
      <c r="AR23" s="4">
        <v>0</v>
      </c>
      <c r="AS23" s="4">
        <f t="shared" si="51"/>
        <v>3400</v>
      </c>
      <c r="AT23" s="4">
        <v>102661.6</v>
      </c>
      <c r="AU23" s="4">
        <f t="shared" si="52"/>
        <v>577649.0499999998</v>
      </c>
      <c r="AV23" s="4">
        <v>0</v>
      </c>
      <c r="AW23" s="4">
        <v>0</v>
      </c>
      <c r="AX23" s="4">
        <f t="shared" si="53"/>
        <v>2.3283064365386963E-10</v>
      </c>
      <c r="AY23" s="43">
        <v>0</v>
      </c>
      <c r="AZ23" s="43">
        <v>85554</v>
      </c>
      <c r="BA23" s="43">
        <v>0</v>
      </c>
      <c r="BB23" s="43">
        <v>0</v>
      </c>
      <c r="BC23" s="43">
        <v>0</v>
      </c>
      <c r="BD23" s="43">
        <v>0</v>
      </c>
      <c r="BE23" s="43">
        <v>0</v>
      </c>
      <c r="BF23" s="43">
        <f t="shared" si="54"/>
        <v>85554</v>
      </c>
      <c r="BG23" s="43">
        <v>5258.4</v>
      </c>
      <c r="BH23" s="43">
        <v>0</v>
      </c>
      <c r="BI23" s="43">
        <v>0</v>
      </c>
      <c r="BJ23" s="43">
        <v>0</v>
      </c>
      <c r="BK23" s="43">
        <v>0</v>
      </c>
      <c r="BL23" s="43">
        <v>23182.65</v>
      </c>
      <c r="BM23" s="43">
        <v>0</v>
      </c>
      <c r="BN23" s="43">
        <v>0</v>
      </c>
      <c r="BO23" s="43">
        <f t="shared" si="55"/>
        <v>28441.050000000003</v>
      </c>
      <c r="BP23" s="43">
        <v>28441.05</v>
      </c>
      <c r="BQ23" s="43">
        <v>0</v>
      </c>
      <c r="BR23" s="43">
        <v>85554</v>
      </c>
      <c r="BS23" s="43">
        <f t="shared" si="56"/>
        <v>0</v>
      </c>
      <c r="BT23" s="4">
        <v>1473671.57</v>
      </c>
      <c r="BU23" s="4">
        <v>141932.45</v>
      </c>
      <c r="BV23" s="4">
        <v>0</v>
      </c>
      <c r="BW23" s="4">
        <v>0</v>
      </c>
      <c r="BX23" s="4">
        <f t="shared" si="57"/>
        <v>1615604.02</v>
      </c>
      <c r="BY23" s="4">
        <v>837606.6</v>
      </c>
      <c r="BZ23" s="4">
        <v>242013.4</v>
      </c>
      <c r="CA23" s="4">
        <v>535984.02</v>
      </c>
      <c r="CB23" s="4">
        <f t="shared" si="58"/>
        <v>1615604.02</v>
      </c>
      <c r="CC23" s="4">
        <f t="shared" si="59"/>
        <v>0</v>
      </c>
      <c r="CD23" s="74">
        <f t="shared" si="60"/>
        <v>33367.25</v>
      </c>
      <c r="CE23" s="76">
        <f t="shared" si="61"/>
        <v>82786.6</v>
      </c>
      <c r="CF23" s="76">
        <f t="shared" si="62"/>
        <v>57112.95</v>
      </c>
      <c r="CG23" s="76">
        <f t="shared" si="47"/>
        <v>471057.44999999984</v>
      </c>
      <c r="CH23" s="76">
        <f t="shared" si="63"/>
        <v>-7829.700000000001</v>
      </c>
      <c r="CI23" s="37">
        <f t="shared" si="64"/>
        <v>8859.899999999998</v>
      </c>
      <c r="CJ23" s="59">
        <f t="shared" si="36"/>
        <v>0.5842326477620224</v>
      </c>
      <c r="CK23" s="59">
        <f t="shared" si="37"/>
        <v>1.4495241446992322</v>
      </c>
      <c r="CL23" s="141">
        <f t="shared" si="38"/>
        <v>0.07083477822078817</v>
      </c>
      <c r="CM23" s="141">
        <f t="shared" si="39"/>
        <v>0.17574629166782105</v>
      </c>
      <c r="CN23" s="141">
        <f t="shared" si="40"/>
        <v>-0.016621539474643704</v>
      </c>
      <c r="CO23" s="141">
        <f t="shared" si="41"/>
        <v>0.018808533863544672</v>
      </c>
      <c r="CP23" s="141">
        <f t="shared" si="42"/>
        <v>0.1903440222658681</v>
      </c>
      <c r="CQ23" s="141">
        <f t="shared" si="43"/>
        <v>0.09520609561796169</v>
      </c>
      <c r="CR23" s="142">
        <f t="shared" si="44"/>
        <v>7.683187496527216</v>
      </c>
      <c r="CS23" s="76">
        <f t="shared" si="45"/>
        <v>636064.9700000001</v>
      </c>
      <c r="CT23" s="80">
        <f t="shared" si="65"/>
        <v>544281.8</v>
      </c>
      <c r="CU23" s="80">
        <f t="shared" si="66"/>
        <v>577649.0499999998</v>
      </c>
      <c r="CV23" s="80">
        <f t="shared" si="67"/>
        <v>33367.24999999977</v>
      </c>
      <c r="CW23" s="80">
        <f t="shared" si="68"/>
        <v>0</v>
      </c>
      <c r="CX23" s="80">
        <f t="shared" si="69"/>
        <v>33367.24999999977</v>
      </c>
      <c r="CY23" s="80">
        <f t="shared" si="24"/>
        <v>-2.3283064365386963E-10</v>
      </c>
      <c r="CZ23" s="80">
        <f t="shared" si="70"/>
        <v>57112.95</v>
      </c>
      <c r="DA23" s="80">
        <f t="shared" si="71"/>
        <v>33367.25</v>
      </c>
      <c r="DB23" s="80">
        <f t="shared" si="72"/>
        <v>-23745.70000000023</v>
      </c>
      <c r="DC23" s="80">
        <f t="shared" si="28"/>
        <v>-61808.3</v>
      </c>
      <c r="DD23" s="80">
        <f t="shared" si="29"/>
        <v>-2.3283064365386963E-10</v>
      </c>
      <c r="DE23" s="80">
        <f t="shared" si="73"/>
        <v>278195.45</v>
      </c>
      <c r="DF23" s="80">
        <f t="shared" si="31"/>
        <v>2494.3724313725493</v>
      </c>
      <c r="DG23" s="80">
        <f t="shared" si="74"/>
        <v>-30.704705882352943</v>
      </c>
      <c r="DH23" s="80">
        <f t="shared" si="33"/>
        <v>1090.9625490196079</v>
      </c>
      <c r="DI23" s="81">
        <f t="shared" si="34"/>
        <v>223.97235294117647</v>
      </c>
      <c r="DJ23" s="76">
        <f t="shared" si="35"/>
        <v>-93.12039215686364</v>
      </c>
      <c r="DK23" s="147">
        <f t="shared" si="46"/>
        <v>394051.57</v>
      </c>
      <c r="DL23" s="64"/>
      <c r="DM23" s="65"/>
    </row>
    <row r="24" spans="1:117" ht="12.75">
      <c r="A24" s="51" t="s">
        <v>16</v>
      </c>
      <c r="B24" s="46">
        <v>3697</v>
      </c>
      <c r="C24" s="38">
        <v>11662107</v>
      </c>
      <c r="D24" s="66">
        <v>3154.48</v>
      </c>
      <c r="E24" s="66">
        <v>95.1</v>
      </c>
      <c r="F24" s="128">
        <v>2</v>
      </c>
      <c r="G24" s="134">
        <v>1487434.45</v>
      </c>
      <c r="H24" s="42">
        <v>1284122.1</v>
      </c>
      <c r="I24" s="42">
        <v>151631.45</v>
      </c>
      <c r="J24" s="42">
        <v>3893.95</v>
      </c>
      <c r="K24" s="42">
        <v>332054.25</v>
      </c>
      <c r="L24" s="42">
        <v>0</v>
      </c>
      <c r="M24" s="43">
        <f t="shared" si="0"/>
        <v>332054.25</v>
      </c>
      <c r="N24" s="42">
        <v>0</v>
      </c>
      <c r="O24" s="42">
        <v>238139.35</v>
      </c>
      <c r="P24" s="42">
        <v>970798.75</v>
      </c>
      <c r="Q24" s="42">
        <v>549.3</v>
      </c>
      <c r="R24" s="42">
        <v>146006.65</v>
      </c>
      <c r="S24" s="42">
        <v>2230.1</v>
      </c>
      <c r="T24" s="42">
        <v>0</v>
      </c>
      <c r="U24" s="42">
        <v>0</v>
      </c>
      <c r="V24" s="42">
        <v>0</v>
      </c>
      <c r="W24" s="43">
        <f t="shared" si="48"/>
        <v>148236.75</v>
      </c>
      <c r="X24" s="42">
        <v>780634.75</v>
      </c>
      <c r="Y24" s="43">
        <f t="shared" si="49"/>
        <v>5397495.100000001</v>
      </c>
      <c r="Z24" s="42">
        <v>2530761.8</v>
      </c>
      <c r="AA24" s="42">
        <v>372097.25</v>
      </c>
      <c r="AB24" s="42">
        <v>8496.25</v>
      </c>
      <c r="AC24" s="42">
        <v>0</v>
      </c>
      <c r="AD24" s="42">
        <v>16032.6</v>
      </c>
      <c r="AE24" s="43">
        <f t="shared" si="50"/>
        <v>2927387.9</v>
      </c>
      <c r="AF24" s="42">
        <v>0</v>
      </c>
      <c r="AG24" s="42">
        <v>89076.35</v>
      </c>
      <c r="AH24" s="42">
        <v>0</v>
      </c>
      <c r="AI24" s="42">
        <v>1126781</v>
      </c>
      <c r="AJ24" s="42">
        <v>50249.4</v>
      </c>
      <c r="AK24" s="42">
        <v>170354.95</v>
      </c>
      <c r="AL24" s="42">
        <v>163360.45</v>
      </c>
      <c r="AM24" s="42">
        <v>557.65</v>
      </c>
      <c r="AN24" s="38">
        <v>15282.3</v>
      </c>
      <c r="AO24" s="38">
        <v>31304.14</v>
      </c>
      <c r="AP24" s="38">
        <v>0</v>
      </c>
      <c r="AQ24" s="38">
        <v>0</v>
      </c>
      <c r="AR24" s="38">
        <v>0</v>
      </c>
      <c r="AS24" s="4">
        <f t="shared" si="51"/>
        <v>46586.44</v>
      </c>
      <c r="AT24" s="38">
        <v>783767.65</v>
      </c>
      <c r="AU24" s="4">
        <f t="shared" si="52"/>
        <v>5358121.79</v>
      </c>
      <c r="AV24" s="38">
        <v>0</v>
      </c>
      <c r="AW24" s="38">
        <v>39373.3</v>
      </c>
      <c r="AX24" s="4">
        <f t="shared" si="53"/>
        <v>0.010000000518630259</v>
      </c>
      <c r="AY24" s="42">
        <v>2514.45</v>
      </c>
      <c r="AZ24" s="42">
        <v>1949337.85</v>
      </c>
      <c r="BA24" s="42">
        <v>0</v>
      </c>
      <c r="BB24" s="42">
        <v>27634</v>
      </c>
      <c r="BC24" s="42">
        <v>684268.9</v>
      </c>
      <c r="BD24" s="42">
        <v>0</v>
      </c>
      <c r="BE24" s="42">
        <v>7208.5</v>
      </c>
      <c r="BF24" s="43">
        <f t="shared" si="54"/>
        <v>2668449.25</v>
      </c>
      <c r="BG24" s="42">
        <v>0</v>
      </c>
      <c r="BH24" s="42">
        <v>253366.15</v>
      </c>
      <c r="BI24" s="42">
        <v>0</v>
      </c>
      <c r="BJ24" s="42">
        <v>0</v>
      </c>
      <c r="BK24" s="42">
        <v>0</v>
      </c>
      <c r="BL24" s="42">
        <v>347835</v>
      </c>
      <c r="BM24" s="42">
        <v>0</v>
      </c>
      <c r="BN24" s="42">
        <v>0</v>
      </c>
      <c r="BO24" s="43">
        <f t="shared" si="55"/>
        <v>601201.15</v>
      </c>
      <c r="BP24" s="42">
        <v>573567.15</v>
      </c>
      <c r="BQ24" s="42">
        <v>0</v>
      </c>
      <c r="BR24" s="42">
        <v>2640815.25</v>
      </c>
      <c r="BS24" s="43">
        <f t="shared" si="56"/>
        <v>0</v>
      </c>
      <c r="BT24" s="38">
        <v>7088926.45</v>
      </c>
      <c r="BU24" s="38">
        <v>5196962.4</v>
      </c>
      <c r="BV24" s="38">
        <v>239931.8</v>
      </c>
      <c r="BW24" s="38">
        <v>0</v>
      </c>
      <c r="BX24" s="4">
        <f t="shared" si="57"/>
        <v>12525820.650000002</v>
      </c>
      <c r="BY24" s="38">
        <v>6950118.5</v>
      </c>
      <c r="BZ24" s="38">
        <v>4228281.8</v>
      </c>
      <c r="CA24" s="38">
        <v>1347420.25</v>
      </c>
      <c r="CB24" s="4">
        <f t="shared" si="58"/>
        <v>12525820.55</v>
      </c>
      <c r="CC24" s="4">
        <f t="shared" si="59"/>
        <v>0.10000000149011612</v>
      </c>
      <c r="CD24" s="74">
        <f t="shared" si="60"/>
        <v>292680.95</v>
      </c>
      <c r="CE24" s="76">
        <f t="shared" si="61"/>
        <v>394331.26</v>
      </c>
      <c r="CF24" s="76">
        <f t="shared" si="62"/>
        <v>2067248.1</v>
      </c>
      <c r="CG24" s="76">
        <f t="shared" si="47"/>
        <v>4527210.049999999</v>
      </c>
      <c r="CH24" s="76">
        <f t="shared" si="63"/>
        <v>65069.55</v>
      </c>
      <c r="CI24" s="37">
        <f t="shared" si="64"/>
        <v>397123.8</v>
      </c>
      <c r="CJ24" s="59">
        <f t="shared" si="36"/>
        <v>0.141579982586512</v>
      </c>
      <c r="CK24" s="59">
        <f t="shared" si="37"/>
        <v>0.19075178252673203</v>
      </c>
      <c r="CL24" s="141">
        <f t="shared" si="38"/>
        <v>0.06464929763972407</v>
      </c>
      <c r="CM24" s="141">
        <f t="shared" si="39"/>
        <v>0.08710248820904612</v>
      </c>
      <c r="CN24" s="141">
        <f t="shared" si="40"/>
        <v>0.014372991153790185</v>
      </c>
      <c r="CO24" s="141">
        <f t="shared" si="41"/>
        <v>0.08771932285315547</v>
      </c>
      <c r="CP24" s="141">
        <f t="shared" si="42"/>
        <v>0.06005665582504621</v>
      </c>
      <c r="CQ24" s="141">
        <f t="shared" si="43"/>
        <v>0.06005665582504621</v>
      </c>
      <c r="CR24" s="142">
        <f t="shared" si="44"/>
        <v>0.35200848646896565</v>
      </c>
      <c r="CS24" s="76">
        <f t="shared" si="45"/>
        <v>138807.9500000002</v>
      </c>
      <c r="CT24" s="80">
        <f t="shared" si="65"/>
        <v>5065440.850000001</v>
      </c>
      <c r="CU24" s="80">
        <f t="shared" si="66"/>
        <v>5358121.79</v>
      </c>
      <c r="CV24" s="80">
        <f t="shared" si="67"/>
        <v>292680.9399999995</v>
      </c>
      <c r="CW24" s="80">
        <f t="shared" si="68"/>
        <v>0</v>
      </c>
      <c r="CX24" s="80">
        <f t="shared" si="69"/>
        <v>292680.9399999995</v>
      </c>
      <c r="CY24" s="80">
        <f t="shared" si="24"/>
        <v>-39373.31000000052</v>
      </c>
      <c r="CZ24" s="80">
        <f t="shared" si="70"/>
        <v>2067248.1</v>
      </c>
      <c r="DA24" s="80">
        <f t="shared" si="71"/>
        <v>332054.25</v>
      </c>
      <c r="DB24" s="80">
        <f t="shared" si="72"/>
        <v>-1774567.1600000006</v>
      </c>
      <c r="DC24" s="80">
        <f t="shared" si="28"/>
        <v>-905621.4</v>
      </c>
      <c r="DD24" s="80">
        <f t="shared" si="29"/>
        <v>-39373.31000000052</v>
      </c>
      <c r="DE24" s="80">
        <f t="shared" si="73"/>
        <v>2911355.3</v>
      </c>
      <c r="DF24" s="80">
        <f t="shared" si="31"/>
        <v>37.54610494995948</v>
      </c>
      <c r="DG24" s="80">
        <f t="shared" si="74"/>
        <v>17.600635650527455</v>
      </c>
      <c r="DH24" s="80">
        <f t="shared" si="33"/>
        <v>787.4912902353259</v>
      </c>
      <c r="DI24" s="81">
        <f t="shared" si="34"/>
        <v>559.169083040303</v>
      </c>
      <c r="DJ24" s="76">
        <f t="shared" si="35"/>
        <v>-480.001936705437</v>
      </c>
      <c r="DK24" s="147">
        <f t="shared" si="46"/>
        <v>-3849542.1500000004</v>
      </c>
      <c r="DL24" s="67"/>
      <c r="DM24" s="68"/>
    </row>
    <row r="25" spans="1:117" ht="12.75">
      <c r="A25" s="52" t="s">
        <v>36</v>
      </c>
      <c r="B25" s="41">
        <v>1808</v>
      </c>
      <c r="C25" s="4">
        <v>3992876</v>
      </c>
      <c r="D25" s="69">
        <v>2208.45</v>
      </c>
      <c r="E25" s="69">
        <v>66.58</v>
      </c>
      <c r="F25" s="8">
        <v>2</v>
      </c>
      <c r="G25" s="133">
        <v>1086474.25</v>
      </c>
      <c r="H25" s="43">
        <v>1606287.25</v>
      </c>
      <c r="I25" s="43">
        <v>8694.6</v>
      </c>
      <c r="J25" s="43">
        <v>2312.56</v>
      </c>
      <c r="K25" s="43">
        <v>171451</v>
      </c>
      <c r="L25" s="43">
        <v>87528.99</v>
      </c>
      <c r="M25" s="43">
        <f t="shared" si="0"/>
        <v>258979.99</v>
      </c>
      <c r="N25" s="43">
        <v>246586.81</v>
      </c>
      <c r="O25" s="43">
        <v>103344.5</v>
      </c>
      <c r="P25" s="43">
        <v>419020.35</v>
      </c>
      <c r="Q25" s="43">
        <v>6147.5</v>
      </c>
      <c r="R25" s="43">
        <v>37566</v>
      </c>
      <c r="S25" s="43">
        <v>0</v>
      </c>
      <c r="T25" s="43">
        <v>0</v>
      </c>
      <c r="U25" s="43">
        <v>0</v>
      </c>
      <c r="V25" s="43">
        <v>0</v>
      </c>
      <c r="W25" s="43">
        <f t="shared" si="48"/>
        <v>37566</v>
      </c>
      <c r="X25" s="43">
        <v>376232.04</v>
      </c>
      <c r="Y25" s="43">
        <f t="shared" si="49"/>
        <v>4151645.8500000006</v>
      </c>
      <c r="Z25" s="43">
        <v>1192917.85</v>
      </c>
      <c r="AA25" s="43">
        <v>18512.1</v>
      </c>
      <c r="AB25" s="43">
        <v>4993</v>
      </c>
      <c r="AC25" s="43">
        <v>0</v>
      </c>
      <c r="AD25" s="43">
        <v>6960</v>
      </c>
      <c r="AE25" s="43">
        <f t="shared" si="50"/>
        <v>1223382.9500000002</v>
      </c>
      <c r="AF25" s="43">
        <v>0</v>
      </c>
      <c r="AG25" s="43">
        <v>44852.2</v>
      </c>
      <c r="AH25" s="43">
        <v>0</v>
      </c>
      <c r="AI25" s="43">
        <v>1714548.01</v>
      </c>
      <c r="AJ25" s="43">
        <v>23458.1</v>
      </c>
      <c r="AK25" s="43">
        <v>84366.55</v>
      </c>
      <c r="AL25" s="43">
        <v>83487.85</v>
      </c>
      <c r="AM25" s="43">
        <v>6147.5</v>
      </c>
      <c r="AN25" s="4">
        <v>25935.94</v>
      </c>
      <c r="AO25" s="4">
        <v>0</v>
      </c>
      <c r="AP25" s="4">
        <v>0</v>
      </c>
      <c r="AQ25" s="4">
        <v>0</v>
      </c>
      <c r="AR25" s="4">
        <v>0</v>
      </c>
      <c r="AS25" s="4">
        <f t="shared" si="51"/>
        <v>25935.94</v>
      </c>
      <c r="AT25" s="4">
        <v>376232.04</v>
      </c>
      <c r="AU25" s="4">
        <f t="shared" si="52"/>
        <v>3582411.14</v>
      </c>
      <c r="AV25" s="4">
        <v>0</v>
      </c>
      <c r="AW25" s="4">
        <v>569234.71</v>
      </c>
      <c r="AX25" s="4">
        <f t="shared" si="53"/>
        <v>0</v>
      </c>
      <c r="AY25" s="43">
        <v>0</v>
      </c>
      <c r="AZ25" s="43">
        <v>266597.97</v>
      </c>
      <c r="BA25" s="43">
        <v>114000</v>
      </c>
      <c r="BB25" s="43">
        <v>0</v>
      </c>
      <c r="BC25" s="43">
        <v>360895</v>
      </c>
      <c r="BD25" s="43">
        <v>0</v>
      </c>
      <c r="BE25" s="43">
        <v>0</v>
      </c>
      <c r="BF25" s="43">
        <f t="shared" si="54"/>
        <v>741492.97</v>
      </c>
      <c r="BG25" s="43">
        <v>0</v>
      </c>
      <c r="BH25" s="43">
        <v>15287.78</v>
      </c>
      <c r="BI25" s="43">
        <v>0</v>
      </c>
      <c r="BJ25" s="43">
        <v>0</v>
      </c>
      <c r="BK25" s="43">
        <v>0</v>
      </c>
      <c r="BL25" s="43">
        <v>0</v>
      </c>
      <c r="BM25" s="43">
        <v>0</v>
      </c>
      <c r="BN25" s="43">
        <v>0</v>
      </c>
      <c r="BO25" s="43">
        <f t="shared" si="55"/>
        <v>15287.78</v>
      </c>
      <c r="BP25" s="43">
        <v>15287.78</v>
      </c>
      <c r="BQ25" s="43">
        <v>0</v>
      </c>
      <c r="BR25" s="43">
        <v>741492.97</v>
      </c>
      <c r="BS25" s="43">
        <f t="shared" si="56"/>
        <v>0</v>
      </c>
      <c r="BT25" s="4">
        <v>1713659.52</v>
      </c>
      <c r="BU25" s="4">
        <v>1425137.31</v>
      </c>
      <c r="BV25" s="4">
        <v>3043.75</v>
      </c>
      <c r="BW25" s="4">
        <v>0</v>
      </c>
      <c r="BX25" s="4">
        <f t="shared" si="57"/>
        <v>3141840.58</v>
      </c>
      <c r="BY25" s="4">
        <v>1462140.31</v>
      </c>
      <c r="BZ25" s="4">
        <v>1544991.78</v>
      </c>
      <c r="CA25" s="4">
        <v>134708.39</v>
      </c>
      <c r="CB25" s="4">
        <f t="shared" si="58"/>
        <v>3141840.48</v>
      </c>
      <c r="CC25" s="4">
        <f t="shared" si="59"/>
        <v>0.10000000009313226</v>
      </c>
      <c r="CD25" s="74">
        <f t="shared" si="60"/>
        <v>-310254.72</v>
      </c>
      <c r="CE25" s="76">
        <f t="shared" si="61"/>
        <v>-298624.66</v>
      </c>
      <c r="CF25" s="76">
        <f t="shared" si="62"/>
        <v>726205.19</v>
      </c>
      <c r="CG25" s="76">
        <f t="shared" si="47"/>
        <v>3174095.66</v>
      </c>
      <c r="CH25" s="76">
        <f t="shared" si="63"/>
        <v>-36157.6</v>
      </c>
      <c r="CI25" s="37">
        <f t="shared" si="64"/>
        <v>135293.4</v>
      </c>
      <c r="CJ25" s="59">
        <f t="shared" si="36"/>
        <v>-0.4272273515423375</v>
      </c>
      <c r="CK25" s="59">
        <f t="shared" si="37"/>
        <v>-0.4112125114390879</v>
      </c>
      <c r="CL25" s="141">
        <f t="shared" si="38"/>
        <v>-0.0977458631476784</v>
      </c>
      <c r="CM25" s="141">
        <f t="shared" si="39"/>
        <v>-0.09408180848588538</v>
      </c>
      <c r="CN25" s="141">
        <f t="shared" si="40"/>
        <v>-0.011391465120493563</v>
      </c>
      <c r="CO25" s="141">
        <f t="shared" si="41"/>
        <v>0.042624235212873195</v>
      </c>
      <c r="CP25" s="141">
        <f t="shared" si="42"/>
        <v>0.15377788114877744</v>
      </c>
      <c r="CQ25" s="141">
        <f t="shared" si="43"/>
        <v>0.10180466645642794</v>
      </c>
      <c r="CR25" s="142">
        <f t="shared" si="44"/>
        <v>-0.8422586734799463</v>
      </c>
      <c r="CS25" s="76">
        <f t="shared" si="45"/>
        <v>251519.20999999996</v>
      </c>
      <c r="CT25" s="80">
        <f t="shared" si="65"/>
        <v>3892665.8600000003</v>
      </c>
      <c r="CU25" s="80">
        <f t="shared" si="66"/>
        <v>3582411.14</v>
      </c>
      <c r="CV25" s="80">
        <f t="shared" si="67"/>
        <v>-310254.7200000002</v>
      </c>
      <c r="CW25" s="80">
        <f t="shared" si="68"/>
        <v>0</v>
      </c>
      <c r="CX25" s="80">
        <f t="shared" si="69"/>
        <v>-310254.7200000002</v>
      </c>
      <c r="CY25" s="80">
        <f t="shared" si="24"/>
        <v>-569234.7100000002</v>
      </c>
      <c r="CZ25" s="80">
        <f t="shared" si="70"/>
        <v>726205.19</v>
      </c>
      <c r="DA25" s="80">
        <f t="shared" si="71"/>
        <v>258979.99</v>
      </c>
      <c r="DB25" s="80">
        <f t="shared" si="72"/>
        <v>-1036459.9100000001</v>
      </c>
      <c r="DC25" s="80">
        <f t="shared" si="28"/>
        <v>-274267.77</v>
      </c>
      <c r="DD25" s="80">
        <f t="shared" si="29"/>
        <v>-569234.7100000002</v>
      </c>
      <c r="DE25" s="80">
        <f t="shared" si="73"/>
        <v>1216422.9500000002</v>
      </c>
      <c r="DF25" s="80">
        <f t="shared" si="31"/>
        <v>139.11460730088493</v>
      </c>
      <c r="DG25" s="80">
        <f t="shared" si="74"/>
        <v>-19.99867256637168</v>
      </c>
      <c r="DH25" s="80">
        <f t="shared" si="33"/>
        <v>672.8003042035399</v>
      </c>
      <c r="DI25" s="81">
        <f t="shared" si="34"/>
        <v>401.6621626106194</v>
      </c>
      <c r="DJ25" s="76">
        <f t="shared" si="35"/>
        <v>-573.2632245575222</v>
      </c>
      <c r="DK25" s="147">
        <f t="shared" si="46"/>
        <v>-1290428.92</v>
      </c>
      <c r="DL25" s="64"/>
      <c r="DM25" s="65"/>
    </row>
    <row r="26" spans="1:117" ht="12.75">
      <c r="A26" s="51" t="s">
        <v>17</v>
      </c>
      <c r="B26" s="46">
        <v>415</v>
      </c>
      <c r="C26" s="38">
        <v>1002945</v>
      </c>
      <c r="D26" s="66">
        <v>2416.73</v>
      </c>
      <c r="E26" s="66">
        <v>72.86</v>
      </c>
      <c r="F26" s="128">
        <v>8</v>
      </c>
      <c r="G26" s="134">
        <v>511383.85</v>
      </c>
      <c r="H26" s="42">
        <v>214578</v>
      </c>
      <c r="I26" s="42">
        <v>3354.5</v>
      </c>
      <c r="J26" s="42">
        <v>0</v>
      </c>
      <c r="K26" s="42">
        <v>61559.9</v>
      </c>
      <c r="L26" s="42">
        <v>0</v>
      </c>
      <c r="M26" s="43">
        <f t="shared" si="0"/>
        <v>61559.9</v>
      </c>
      <c r="N26" s="42">
        <v>0</v>
      </c>
      <c r="O26" s="42">
        <v>57680.5</v>
      </c>
      <c r="P26" s="42">
        <v>151751.45</v>
      </c>
      <c r="Q26" s="42">
        <v>0</v>
      </c>
      <c r="R26" s="42">
        <v>36109.85</v>
      </c>
      <c r="S26" s="42">
        <v>2375</v>
      </c>
      <c r="T26" s="42">
        <v>205000</v>
      </c>
      <c r="U26" s="42">
        <v>0</v>
      </c>
      <c r="V26" s="42">
        <v>0</v>
      </c>
      <c r="W26" s="43">
        <f t="shared" si="48"/>
        <v>243484.85</v>
      </c>
      <c r="X26" s="42">
        <v>19810</v>
      </c>
      <c r="Y26" s="43">
        <f t="shared" si="49"/>
        <v>1263603.0500000003</v>
      </c>
      <c r="Z26" s="42">
        <v>379023.85</v>
      </c>
      <c r="AA26" s="42">
        <v>7503.8</v>
      </c>
      <c r="AB26" s="42">
        <v>10992.5</v>
      </c>
      <c r="AC26" s="42">
        <v>0</v>
      </c>
      <c r="AD26" s="42">
        <v>2350</v>
      </c>
      <c r="AE26" s="43">
        <f t="shared" si="50"/>
        <v>399870.14999999997</v>
      </c>
      <c r="AF26" s="42">
        <v>230</v>
      </c>
      <c r="AG26" s="42">
        <v>87487.9</v>
      </c>
      <c r="AH26" s="42">
        <v>0</v>
      </c>
      <c r="AI26" s="42">
        <v>539721.65</v>
      </c>
      <c r="AJ26" s="42">
        <v>63476.2</v>
      </c>
      <c r="AK26" s="42">
        <v>73455.6</v>
      </c>
      <c r="AL26" s="42">
        <v>85622.5</v>
      </c>
      <c r="AM26" s="42">
        <v>720</v>
      </c>
      <c r="AN26" s="38">
        <v>87.85</v>
      </c>
      <c r="AO26" s="38">
        <v>0</v>
      </c>
      <c r="AP26" s="38">
        <v>0</v>
      </c>
      <c r="AQ26" s="38">
        <v>0</v>
      </c>
      <c r="AR26" s="38">
        <v>0</v>
      </c>
      <c r="AS26" s="4">
        <f t="shared" si="51"/>
        <v>87.85</v>
      </c>
      <c r="AT26" s="38">
        <v>16172.35</v>
      </c>
      <c r="AU26" s="4">
        <f t="shared" si="52"/>
        <v>1266844.2000000004</v>
      </c>
      <c r="AV26" s="38">
        <v>3241.15</v>
      </c>
      <c r="AW26" s="38">
        <v>0</v>
      </c>
      <c r="AX26" s="4">
        <f t="shared" si="53"/>
        <v>-1.3960743672214448E-10</v>
      </c>
      <c r="AY26" s="42">
        <v>0</v>
      </c>
      <c r="AZ26" s="42">
        <v>480121.85</v>
      </c>
      <c r="BA26" s="42">
        <v>0</v>
      </c>
      <c r="BB26" s="42">
        <v>0</v>
      </c>
      <c r="BC26" s="42">
        <v>0</v>
      </c>
      <c r="BD26" s="42">
        <v>0</v>
      </c>
      <c r="BE26" s="42">
        <v>0</v>
      </c>
      <c r="BF26" s="43">
        <f t="shared" si="54"/>
        <v>480121.85</v>
      </c>
      <c r="BG26" s="42">
        <v>0</v>
      </c>
      <c r="BH26" s="42">
        <v>0</v>
      </c>
      <c r="BI26" s="42">
        <v>0</v>
      </c>
      <c r="BJ26" s="42">
        <v>145000</v>
      </c>
      <c r="BK26" s="42">
        <v>0</v>
      </c>
      <c r="BL26" s="42">
        <v>0</v>
      </c>
      <c r="BM26" s="42">
        <v>231507.8</v>
      </c>
      <c r="BN26" s="42">
        <v>0</v>
      </c>
      <c r="BO26" s="43">
        <f t="shared" si="55"/>
        <v>376507.8</v>
      </c>
      <c r="BP26" s="42">
        <v>376507.8</v>
      </c>
      <c r="BQ26" s="42">
        <v>0</v>
      </c>
      <c r="BR26" s="42">
        <v>480121.85</v>
      </c>
      <c r="BS26" s="43">
        <f t="shared" si="56"/>
        <v>0</v>
      </c>
      <c r="BT26" s="38">
        <v>1548365.41</v>
      </c>
      <c r="BU26" s="38">
        <v>930496.8</v>
      </c>
      <c r="BV26" s="38">
        <v>66064.8</v>
      </c>
      <c r="BW26" s="38">
        <v>0</v>
      </c>
      <c r="BX26" s="4">
        <f t="shared" si="57"/>
        <v>2544927.01</v>
      </c>
      <c r="BY26" s="38">
        <v>1155298.4</v>
      </c>
      <c r="BZ26" s="38">
        <v>1321235.9</v>
      </c>
      <c r="CA26" s="38">
        <v>68392.71</v>
      </c>
      <c r="CB26" s="4">
        <f t="shared" si="58"/>
        <v>2544927.01</v>
      </c>
      <c r="CC26" s="4">
        <f t="shared" si="59"/>
        <v>0</v>
      </c>
      <c r="CD26" s="74">
        <f t="shared" si="60"/>
        <v>64801.05</v>
      </c>
      <c r="CE26" s="76">
        <f t="shared" si="61"/>
        <v>308198.05000000005</v>
      </c>
      <c r="CF26" s="76">
        <f t="shared" si="62"/>
        <v>103614.04999999999</v>
      </c>
      <c r="CG26" s="76">
        <f t="shared" si="47"/>
        <v>1249864.0000000002</v>
      </c>
      <c r="CH26" s="76">
        <f t="shared" si="63"/>
        <v>-84133.4</v>
      </c>
      <c r="CI26" s="37">
        <f t="shared" si="64"/>
        <v>-22573.499999999993</v>
      </c>
      <c r="CJ26" s="59">
        <f t="shared" si="36"/>
        <v>0.6254079441928967</v>
      </c>
      <c r="CK26" s="59">
        <f t="shared" si="37"/>
        <v>2.9744812600221695</v>
      </c>
      <c r="CL26" s="141">
        <f t="shared" si="38"/>
        <v>0.0518464808971216</v>
      </c>
      <c r="CM26" s="141">
        <f t="shared" si="39"/>
        <v>0.24658526847721032</v>
      </c>
      <c r="CN26" s="141">
        <f t="shared" si="40"/>
        <v>-0.06731404376796193</v>
      </c>
      <c r="CO26" s="141">
        <f t="shared" si="41"/>
        <v>-0.018060765011233212</v>
      </c>
      <c r="CP26" s="141">
        <f t="shared" si="42"/>
        <v>0.06205280403831757</v>
      </c>
      <c r="CQ26" s="141">
        <f t="shared" si="43"/>
        <v>0.06205280403831757</v>
      </c>
      <c r="CR26" s="142">
        <f t="shared" si="44"/>
        <v>1.2753715021882843</v>
      </c>
      <c r="CS26" s="76">
        <f t="shared" si="45"/>
        <v>393067.01</v>
      </c>
      <c r="CT26" s="80">
        <f t="shared" si="65"/>
        <v>1202043.1500000004</v>
      </c>
      <c r="CU26" s="80">
        <f t="shared" si="66"/>
        <v>1266844.2000000004</v>
      </c>
      <c r="CV26" s="80">
        <f t="shared" si="67"/>
        <v>64801.05000000005</v>
      </c>
      <c r="CW26" s="80">
        <f t="shared" si="68"/>
        <v>0</v>
      </c>
      <c r="CX26" s="80">
        <f t="shared" si="69"/>
        <v>64801.05000000005</v>
      </c>
      <c r="CY26" s="80">
        <f t="shared" si="24"/>
        <v>3241.150000000045</v>
      </c>
      <c r="CZ26" s="80">
        <f t="shared" si="70"/>
        <v>103614.04999999999</v>
      </c>
      <c r="DA26" s="80">
        <f t="shared" si="71"/>
        <v>61559.9</v>
      </c>
      <c r="DB26" s="80">
        <f t="shared" si="72"/>
        <v>-38812.99999999994</v>
      </c>
      <c r="DC26" s="80">
        <f t="shared" si="28"/>
        <v>-438067.7</v>
      </c>
      <c r="DD26" s="80">
        <f t="shared" si="29"/>
        <v>3241.1500000000233</v>
      </c>
      <c r="DE26" s="80">
        <f t="shared" si="73"/>
        <v>397520.14999999997</v>
      </c>
      <c r="DF26" s="80">
        <f t="shared" si="31"/>
        <v>947.149421686747</v>
      </c>
      <c r="DG26" s="80">
        <f t="shared" si="74"/>
        <v>-202.7310843373494</v>
      </c>
      <c r="DH26" s="80">
        <f t="shared" si="33"/>
        <v>957.8798795180722</v>
      </c>
      <c r="DI26" s="81">
        <f t="shared" si="34"/>
        <v>249.6724096385542</v>
      </c>
      <c r="DJ26" s="76">
        <f t="shared" si="35"/>
        <v>-93.52530120481914</v>
      </c>
      <c r="DK26" s="147">
        <f t="shared" si="46"/>
        <v>-862104.0900000001</v>
      </c>
      <c r="DL26" s="67"/>
      <c r="DM26" s="68"/>
    </row>
    <row r="27" spans="1:117" ht="12.75">
      <c r="A27" s="52" t="s">
        <v>18</v>
      </c>
      <c r="B27" s="41">
        <v>607</v>
      </c>
      <c r="C27" s="4">
        <v>1791676</v>
      </c>
      <c r="D27" s="69">
        <v>2951.69</v>
      </c>
      <c r="E27" s="69">
        <v>88.99</v>
      </c>
      <c r="F27" s="8">
        <v>2</v>
      </c>
      <c r="G27" s="133">
        <f>1036.3+29602.9+3660+107374.25+10332.15+8247.4+4455.3+6033.3+11238.5+2134.65+13604.5+1842.1+12108.25+1909.7+574.6+9734.4+2754.7+2011.1+12742.6</f>
        <v>241396.7</v>
      </c>
      <c r="H27" s="43">
        <f>114.95+7264.35+1011.8+2427.95+806.4+15395.5+1594+5103.4+4750.55+92.1+5835.95+39.5+358.8+8240.95+2492.75+2286.85+574.6+1511.3+93.8+1694.9+159.25+2373.3+800.5+2332.4+198.45+2291.75+12597.8+1239.35+1886.9+4834.5+360.1+70+562.3+6222.8+725.1+137.5+24130.95+569+324.6+266.5+645.5+29496.05+392.25+546.6+13792.3+75000.7+3080.55+4625.25+167.4+7555.7+385+3124.1+14792.7+3440.55+727.25+2865.6+1865+112.65+3313.75+1786.25+1962.75+105.6+1997.2+461.4+697.15+3303.25+4749.6+2028+1219.4+4348.75+2199.3+2132.3+2084.25+175.4+918.45+172+862.8+258.5-11109-11812.7-5638-38278.95-12095.9</f>
        <v>242230.15000000005</v>
      </c>
      <c r="I27" s="43">
        <f>84020.3</f>
        <v>84020.3</v>
      </c>
      <c r="J27" s="43">
        <f>9675</f>
        <v>9675</v>
      </c>
      <c r="K27" s="43">
        <f>42435.15+325000</f>
        <v>367435.15</v>
      </c>
      <c r="L27" s="43">
        <v>0</v>
      </c>
      <c r="M27" s="43">
        <f t="shared" si="0"/>
        <v>367435.15</v>
      </c>
      <c r="N27" s="43">
        <v>0</v>
      </c>
      <c r="O27" s="43">
        <f>59779.5+324+12884.2+30494.95+2172.3</f>
        <v>105654.95</v>
      </c>
      <c r="P27" s="43">
        <f>2128.6+5994+2100+3000+1550+85291.5+14458.35+11071.6+50.6</f>
        <v>125644.65000000002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f t="shared" si="48"/>
        <v>0</v>
      </c>
      <c r="X27" s="43">
        <f>11741.5</f>
        <v>11741.5</v>
      </c>
      <c r="Y27" s="43">
        <f t="shared" si="49"/>
        <v>1187798.4000000004</v>
      </c>
      <c r="Z27" s="43">
        <f>379766.15+45197.95+39910.5+279.2</f>
        <v>465153.80000000005</v>
      </c>
      <c r="AA27" s="43">
        <v>0</v>
      </c>
      <c r="AB27" s="43">
        <v>0</v>
      </c>
      <c r="AC27" s="43">
        <v>0</v>
      </c>
      <c r="AD27" s="43">
        <f>1870</f>
        <v>1870</v>
      </c>
      <c r="AE27" s="43">
        <f t="shared" si="50"/>
        <v>467023.80000000005</v>
      </c>
      <c r="AF27" s="43">
        <f>54+38266.9</f>
        <v>38320.9</v>
      </c>
      <c r="AG27" s="43">
        <f>7350+18770+3336.25+93600+29848+23325+13807.8+7560</f>
        <v>197597.05</v>
      </c>
      <c r="AH27" s="43">
        <v>0</v>
      </c>
      <c r="AI27" s="43">
        <f>8100+1700+100+5928.75+2312.8+36196.4+48307.8+3000+48883.75+5940+680+15180+948.6+277760+1695</f>
        <v>456733.1</v>
      </c>
      <c r="AJ27" s="43">
        <f>8176.4</f>
        <v>8176.4</v>
      </c>
      <c r="AK27" s="43">
        <f>800</f>
        <v>800</v>
      </c>
      <c r="AL27" s="43">
        <f>16234-85.8</f>
        <v>16148.2</v>
      </c>
      <c r="AM27" s="43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f t="shared" si="51"/>
        <v>0</v>
      </c>
      <c r="AT27" s="4">
        <f>20000+11741.5</f>
        <v>31741.5</v>
      </c>
      <c r="AU27" s="144">
        <f t="shared" si="52"/>
        <v>1216540.9499999997</v>
      </c>
      <c r="AV27" s="4">
        <v>28742.55</v>
      </c>
      <c r="AW27" s="4">
        <v>0</v>
      </c>
      <c r="AX27" s="144">
        <f t="shared" si="53"/>
        <v>6.511982064694166E-10</v>
      </c>
      <c r="AY27" s="43">
        <v>25635.45</v>
      </c>
      <c r="AZ27" s="43">
        <f>30559.1+83619.65</f>
        <v>114178.75</v>
      </c>
      <c r="BA27" s="43">
        <v>0</v>
      </c>
      <c r="BB27" s="43">
        <v>0</v>
      </c>
      <c r="BC27" s="43">
        <v>0</v>
      </c>
      <c r="BD27" s="43">
        <v>0</v>
      </c>
      <c r="BE27" s="43">
        <v>0</v>
      </c>
      <c r="BF27" s="43">
        <f t="shared" si="54"/>
        <v>114178.75</v>
      </c>
      <c r="BG27" s="43">
        <v>0</v>
      </c>
      <c r="BH27" s="43">
        <v>0</v>
      </c>
      <c r="BI27" s="43">
        <v>0</v>
      </c>
      <c r="BJ27" s="43">
        <v>0</v>
      </c>
      <c r="BK27" s="43">
        <v>0</v>
      </c>
      <c r="BL27" s="43">
        <v>0</v>
      </c>
      <c r="BM27" s="43">
        <v>0</v>
      </c>
      <c r="BN27" s="43">
        <v>0</v>
      </c>
      <c r="BO27" s="43">
        <f t="shared" si="55"/>
        <v>0</v>
      </c>
      <c r="BP27" s="43">
        <v>0</v>
      </c>
      <c r="BQ27" s="43">
        <v>0</v>
      </c>
      <c r="BR27" s="43">
        <f>114178.75</f>
        <v>114178.75</v>
      </c>
      <c r="BS27" s="43">
        <f t="shared" si="56"/>
        <v>0</v>
      </c>
      <c r="BT27" s="4">
        <v>6225892.8</v>
      </c>
      <c r="BU27" s="4">
        <v>414183.75</v>
      </c>
      <c r="BV27" s="4">
        <v>0</v>
      </c>
      <c r="BW27" s="4">
        <v>0</v>
      </c>
      <c r="BX27" s="4">
        <f t="shared" si="57"/>
        <v>6640076.55</v>
      </c>
      <c r="BY27" s="4">
        <v>3474737.5</v>
      </c>
      <c r="BZ27" s="4">
        <v>2880696.6</v>
      </c>
      <c r="CA27" s="4">
        <v>284642.55</v>
      </c>
      <c r="CB27" s="4">
        <f t="shared" si="58"/>
        <v>6640076.649999999</v>
      </c>
      <c r="CC27" s="4">
        <f t="shared" si="59"/>
        <v>-0.09999999962747097</v>
      </c>
      <c r="CD27" s="74">
        <f t="shared" si="60"/>
        <v>396177.7</v>
      </c>
      <c r="CE27" s="76">
        <f t="shared" si="61"/>
        <v>396177.7</v>
      </c>
      <c r="CF27" s="76">
        <f t="shared" si="62"/>
        <v>114178.75</v>
      </c>
      <c r="CG27" s="76">
        <f t="shared" si="47"/>
        <v>1184799.4499999997</v>
      </c>
      <c r="CH27" s="76">
        <f t="shared" si="63"/>
        <v>-87941.29999999999</v>
      </c>
      <c r="CI27" s="37">
        <f t="shared" si="64"/>
        <v>279493.85000000003</v>
      </c>
      <c r="CJ27" s="59">
        <f t="shared" si="36"/>
        <v>3.4698023931773645</v>
      </c>
      <c r="CK27" s="59">
        <f t="shared" si="37"/>
        <v>3.4698023931773645</v>
      </c>
      <c r="CL27" s="141">
        <f t="shared" si="38"/>
        <v>0.33438376427335453</v>
      </c>
      <c r="CM27" s="141">
        <f t="shared" si="39"/>
        <v>0.33438376427335453</v>
      </c>
      <c r="CN27" s="141">
        <f t="shared" si="40"/>
        <v>-0.07422462932439748</v>
      </c>
      <c r="CO27" s="141">
        <f t="shared" si="41"/>
        <v>0.2358997128163759</v>
      </c>
      <c r="CP27" s="141">
        <f t="shared" si="42"/>
        <v>0.4700950168937829</v>
      </c>
      <c r="CQ27" s="141">
        <f t="shared" si="43"/>
        <v>0.4700950168937829</v>
      </c>
      <c r="CR27" s="142">
        <f t="shared" si="44"/>
        <v>6.944245726097153</v>
      </c>
      <c r="CS27" s="76">
        <f t="shared" si="45"/>
        <v>2751155.3</v>
      </c>
      <c r="CT27" s="80">
        <f t="shared" si="65"/>
        <v>820363.2500000003</v>
      </c>
      <c r="CU27" s="80">
        <f t="shared" si="66"/>
        <v>1216540.9499999997</v>
      </c>
      <c r="CV27" s="80">
        <f t="shared" si="67"/>
        <v>396177.6999999994</v>
      </c>
      <c r="CW27" s="80">
        <f t="shared" si="68"/>
        <v>0</v>
      </c>
      <c r="CX27" s="80">
        <f t="shared" si="69"/>
        <v>396177.6999999994</v>
      </c>
      <c r="CY27" s="80">
        <f t="shared" si="24"/>
        <v>28742.549999999348</v>
      </c>
      <c r="CZ27" s="80">
        <f t="shared" si="70"/>
        <v>114178.75</v>
      </c>
      <c r="DA27" s="80">
        <f t="shared" si="71"/>
        <v>367435.15</v>
      </c>
      <c r="DB27" s="80">
        <f t="shared" si="72"/>
        <v>281998.9499999994</v>
      </c>
      <c r="DC27" s="80">
        <f t="shared" si="28"/>
        <v>-367435.15</v>
      </c>
      <c r="DD27" s="80">
        <f t="shared" si="29"/>
        <v>28742.549999999348</v>
      </c>
      <c r="DE27" s="80">
        <f t="shared" si="73"/>
        <v>465153.80000000005</v>
      </c>
      <c r="DF27" s="80">
        <f t="shared" si="31"/>
        <v>4532.381054365733</v>
      </c>
      <c r="DG27" s="80">
        <f t="shared" si="74"/>
        <v>-144.87858319604612</v>
      </c>
      <c r="DH27" s="80">
        <f t="shared" si="33"/>
        <v>766.3159802306426</v>
      </c>
      <c r="DI27" s="81">
        <f t="shared" si="34"/>
        <v>188.1033772652389</v>
      </c>
      <c r="DJ27" s="76">
        <f t="shared" si="35"/>
        <v>464.5781713344306</v>
      </c>
      <c r="DK27" s="147">
        <f t="shared" si="46"/>
        <v>-129541.20000000001</v>
      </c>
      <c r="DL27" s="64"/>
      <c r="DM27" s="65"/>
    </row>
    <row r="28" spans="1:117" ht="12.75">
      <c r="A28" s="51" t="s">
        <v>19</v>
      </c>
      <c r="B28" s="46">
        <v>441</v>
      </c>
      <c r="C28" s="38">
        <v>811825</v>
      </c>
      <c r="D28" s="66">
        <v>1840.87</v>
      </c>
      <c r="E28" s="66">
        <v>55.5</v>
      </c>
      <c r="F28" s="128">
        <v>8</v>
      </c>
      <c r="G28" s="134">
        <v>560867</v>
      </c>
      <c r="H28" s="42">
        <v>157033</v>
      </c>
      <c r="I28" s="42">
        <v>143596</v>
      </c>
      <c r="J28" s="42">
        <v>400000</v>
      </c>
      <c r="K28" s="42">
        <v>205437</v>
      </c>
      <c r="L28" s="42">
        <v>0</v>
      </c>
      <c r="M28" s="43">
        <f t="shared" si="0"/>
        <v>205437</v>
      </c>
      <c r="N28" s="42">
        <v>0</v>
      </c>
      <c r="O28" s="42">
        <v>68178</v>
      </c>
      <c r="P28" s="42">
        <v>161047</v>
      </c>
      <c r="Q28" s="42">
        <v>13995</v>
      </c>
      <c r="R28" s="42">
        <v>1000</v>
      </c>
      <c r="S28" s="42">
        <v>0</v>
      </c>
      <c r="T28" s="42">
        <v>10000</v>
      </c>
      <c r="U28" s="42">
        <v>0</v>
      </c>
      <c r="V28" s="42">
        <v>0</v>
      </c>
      <c r="W28" s="43">
        <f t="shared" si="48"/>
        <v>11000</v>
      </c>
      <c r="X28" s="42">
        <v>352709</v>
      </c>
      <c r="Y28" s="43">
        <f t="shared" si="49"/>
        <v>2073862</v>
      </c>
      <c r="Z28" s="42">
        <v>76372</v>
      </c>
      <c r="AA28" s="42">
        <v>274265</v>
      </c>
      <c r="AB28" s="42">
        <v>758</v>
      </c>
      <c r="AC28" s="42">
        <v>0</v>
      </c>
      <c r="AD28" s="42">
        <v>2343</v>
      </c>
      <c r="AE28" s="43">
        <f t="shared" si="50"/>
        <v>353738</v>
      </c>
      <c r="AF28" s="42">
        <v>480</v>
      </c>
      <c r="AG28" s="42">
        <v>128181</v>
      </c>
      <c r="AH28" s="42">
        <v>25000</v>
      </c>
      <c r="AI28" s="42">
        <v>459560</v>
      </c>
      <c r="AJ28" s="42">
        <v>45859</v>
      </c>
      <c r="AK28" s="42">
        <v>19816</v>
      </c>
      <c r="AL28" s="42">
        <v>162383</v>
      </c>
      <c r="AM28" s="42">
        <v>34982</v>
      </c>
      <c r="AN28" s="38">
        <v>14026</v>
      </c>
      <c r="AO28" s="38">
        <v>0</v>
      </c>
      <c r="AP28" s="38">
        <v>0</v>
      </c>
      <c r="AQ28" s="38">
        <v>0</v>
      </c>
      <c r="AR28" s="38">
        <v>0</v>
      </c>
      <c r="AS28" s="4">
        <f t="shared" si="51"/>
        <v>14026</v>
      </c>
      <c r="AT28" s="38">
        <v>358720</v>
      </c>
      <c r="AU28" s="4">
        <f t="shared" si="52"/>
        <v>1577745</v>
      </c>
      <c r="AV28" s="38">
        <v>0</v>
      </c>
      <c r="AW28" s="38">
        <v>496117</v>
      </c>
      <c r="AX28" s="4">
        <f t="shared" si="53"/>
        <v>0</v>
      </c>
      <c r="AY28" s="42">
        <v>111908</v>
      </c>
      <c r="AZ28" s="42">
        <v>172353</v>
      </c>
      <c r="BA28" s="42">
        <v>0</v>
      </c>
      <c r="BB28" s="42">
        <v>0</v>
      </c>
      <c r="BC28" s="42">
        <v>0</v>
      </c>
      <c r="BD28" s="42">
        <v>0</v>
      </c>
      <c r="BE28" s="42">
        <v>0</v>
      </c>
      <c r="BF28" s="43">
        <f t="shared" si="54"/>
        <v>172353</v>
      </c>
      <c r="BG28" s="42">
        <v>0</v>
      </c>
      <c r="BH28" s="42">
        <v>0</v>
      </c>
      <c r="BI28" s="42">
        <v>0</v>
      </c>
      <c r="BJ28" s="42">
        <v>0</v>
      </c>
      <c r="BK28" s="42">
        <v>0</v>
      </c>
      <c r="BL28" s="42">
        <v>0</v>
      </c>
      <c r="BM28" s="42">
        <v>200362</v>
      </c>
      <c r="BN28" s="42">
        <v>0</v>
      </c>
      <c r="BO28" s="43">
        <f t="shared" si="55"/>
        <v>200362</v>
      </c>
      <c r="BP28" s="42">
        <f>200362-6011</f>
        <v>194351</v>
      </c>
      <c r="BQ28" s="42">
        <v>6011</v>
      </c>
      <c r="BR28" s="42">
        <f>172353</f>
        <v>172353</v>
      </c>
      <c r="BS28" s="43">
        <f t="shared" si="56"/>
        <v>0</v>
      </c>
      <c r="BT28" s="38">
        <v>1782923</v>
      </c>
      <c r="BU28" s="38">
        <v>1509339</v>
      </c>
      <c r="BV28" s="38">
        <v>12616</v>
      </c>
      <c r="BW28" s="38">
        <v>679068</v>
      </c>
      <c r="BX28" s="4">
        <f t="shared" si="57"/>
        <v>3983946</v>
      </c>
      <c r="BY28" s="38">
        <v>3618916</v>
      </c>
      <c r="BZ28" s="38">
        <v>365030</v>
      </c>
      <c r="CA28" s="38">
        <v>0</v>
      </c>
      <c r="CB28" s="4">
        <f t="shared" si="58"/>
        <v>3983946</v>
      </c>
      <c r="CC28" s="4">
        <f t="shared" si="59"/>
        <v>0</v>
      </c>
      <c r="CD28" s="74">
        <f t="shared" si="60"/>
        <v>-290680</v>
      </c>
      <c r="CE28" s="76">
        <f t="shared" si="61"/>
        <v>-293706</v>
      </c>
      <c r="CF28" s="76">
        <f t="shared" si="62"/>
        <v>-21998</v>
      </c>
      <c r="CG28" s="76">
        <f t="shared" si="47"/>
        <v>1170017</v>
      </c>
      <c r="CH28" s="76">
        <f t="shared" si="63"/>
        <v>158334</v>
      </c>
      <c r="CI28" s="37">
        <f t="shared" si="64"/>
        <v>363771</v>
      </c>
      <c r="CJ28" s="59">
        <f t="shared" si="36"/>
        <v>13.213928538958086</v>
      </c>
      <c r="CK28" s="59">
        <f t="shared" si="37"/>
        <v>13.351486498772616</v>
      </c>
      <c r="CL28" s="141">
        <f t="shared" si="38"/>
        <v>-0.24844083462035166</v>
      </c>
      <c r="CM28" s="141">
        <f t="shared" si="39"/>
        <v>-0.25102712182814435</v>
      </c>
      <c r="CN28" s="141">
        <f t="shared" si="40"/>
        <v>0.135326238849521</v>
      </c>
      <c r="CO28" s="141">
        <f t="shared" si="41"/>
        <v>0.3109108671070591</v>
      </c>
      <c r="CP28" s="141">
        <f t="shared" si="42"/>
        <v>0.11980398605998685</v>
      </c>
      <c r="CQ28" s="141">
        <f t="shared" si="43"/>
        <v>0.11980398605998685</v>
      </c>
      <c r="CR28" s="142">
        <f t="shared" si="44"/>
        <v>6.2511252749347985</v>
      </c>
      <c r="CS28" s="76">
        <f t="shared" si="45"/>
        <v>-1835993</v>
      </c>
      <c r="CT28" s="80">
        <f t="shared" si="65"/>
        <v>1868425</v>
      </c>
      <c r="CU28" s="80">
        <f t="shared" si="66"/>
        <v>1577745</v>
      </c>
      <c r="CV28" s="80">
        <f t="shared" si="67"/>
        <v>-290680</v>
      </c>
      <c r="CW28" s="80">
        <f t="shared" si="68"/>
        <v>0</v>
      </c>
      <c r="CX28" s="80">
        <f t="shared" si="69"/>
        <v>-290680</v>
      </c>
      <c r="CY28" s="80">
        <f t="shared" si="24"/>
        <v>-496117</v>
      </c>
      <c r="CZ28" s="80">
        <f t="shared" si="70"/>
        <v>-21998</v>
      </c>
      <c r="DA28" s="80">
        <f t="shared" si="71"/>
        <v>205437</v>
      </c>
      <c r="DB28" s="80">
        <f t="shared" si="72"/>
        <v>-268682</v>
      </c>
      <c r="DC28" s="80">
        <f t="shared" si="28"/>
        <v>-399788</v>
      </c>
      <c r="DD28" s="80">
        <f t="shared" si="29"/>
        <v>-496117</v>
      </c>
      <c r="DE28" s="80">
        <f t="shared" si="73"/>
        <v>351395</v>
      </c>
      <c r="DF28" s="80">
        <f t="shared" si="31"/>
        <v>-4163.249433106576</v>
      </c>
      <c r="DG28" s="80">
        <f t="shared" si="74"/>
        <v>359.03401360544217</v>
      </c>
      <c r="DH28" s="80">
        <f t="shared" si="33"/>
        <v>796.8140589569161</v>
      </c>
      <c r="DI28" s="81">
        <f t="shared" si="34"/>
        <v>-49.88208616780045</v>
      </c>
      <c r="DJ28" s="76">
        <f t="shared" si="35"/>
        <v>-609.2562358276645</v>
      </c>
      <c r="DK28" s="147">
        <f t="shared" si="46"/>
        <v>-2188407</v>
      </c>
      <c r="DL28" s="67"/>
      <c r="DM28" s="68"/>
    </row>
    <row r="29" spans="1:117" ht="12.75">
      <c r="A29" s="52" t="s">
        <v>21</v>
      </c>
      <c r="B29" s="41">
        <v>2623</v>
      </c>
      <c r="C29" s="4">
        <v>9612483</v>
      </c>
      <c r="D29" s="69">
        <v>3664.69</v>
      </c>
      <c r="E29" s="69">
        <v>110.49</v>
      </c>
      <c r="F29" s="8">
        <v>4</v>
      </c>
      <c r="G29" s="133">
        <v>1917538.5</v>
      </c>
      <c r="H29" s="43">
        <v>2032917.57</v>
      </c>
      <c r="I29" s="43">
        <v>312075.2</v>
      </c>
      <c r="J29" s="43">
        <f>-154523</f>
        <v>-154523</v>
      </c>
      <c r="K29" s="43">
        <v>510663</v>
      </c>
      <c r="L29" s="43">
        <v>1123259.91</v>
      </c>
      <c r="M29" s="43">
        <f t="shared" si="0"/>
        <v>1633922.91</v>
      </c>
      <c r="N29" s="43">
        <v>0</v>
      </c>
      <c r="O29" s="43">
        <v>277811.2</v>
      </c>
      <c r="P29" s="43">
        <v>579326.4</v>
      </c>
      <c r="Q29" s="43">
        <v>0</v>
      </c>
      <c r="R29" s="43">
        <v>51444.23</v>
      </c>
      <c r="S29" s="43">
        <v>0</v>
      </c>
      <c r="T29" s="43">
        <v>0</v>
      </c>
      <c r="U29" s="43">
        <v>0</v>
      </c>
      <c r="V29" s="43">
        <v>0</v>
      </c>
      <c r="W29" s="43">
        <f t="shared" si="48"/>
        <v>51444.23</v>
      </c>
      <c r="X29" s="43">
        <v>2520090.98</v>
      </c>
      <c r="Y29" s="43">
        <f t="shared" si="49"/>
        <v>9170603.990000002</v>
      </c>
      <c r="Z29" s="43">
        <v>2052009.69</v>
      </c>
      <c r="AA29" s="43">
        <v>390694.56</v>
      </c>
      <c r="AB29" s="43">
        <v>21816.4</v>
      </c>
      <c r="AC29" s="43">
        <v>0</v>
      </c>
      <c r="AD29" s="43">
        <v>23747.65</v>
      </c>
      <c r="AE29" s="43">
        <f t="shared" si="50"/>
        <v>2488268.3</v>
      </c>
      <c r="AF29" s="43">
        <v>48169</v>
      </c>
      <c r="AG29" s="43">
        <v>1454870.39</v>
      </c>
      <c r="AH29" s="43">
        <v>874700</v>
      </c>
      <c r="AI29" s="43">
        <v>1866077.54</v>
      </c>
      <c r="AJ29" s="43">
        <v>304299</v>
      </c>
      <c r="AK29" s="43">
        <v>82165.85</v>
      </c>
      <c r="AL29" s="43">
        <v>387643.4</v>
      </c>
      <c r="AM29" s="43">
        <v>0</v>
      </c>
      <c r="AN29" s="4">
        <v>4965.44</v>
      </c>
      <c r="AO29" s="4">
        <v>0</v>
      </c>
      <c r="AP29" s="4">
        <v>0</v>
      </c>
      <c r="AQ29" s="4">
        <v>0</v>
      </c>
      <c r="AR29" s="4">
        <v>0</v>
      </c>
      <c r="AS29" s="4">
        <f t="shared" si="51"/>
        <v>4965.44</v>
      </c>
      <c r="AT29" s="4">
        <v>2534560.17</v>
      </c>
      <c r="AU29" s="4">
        <f t="shared" si="52"/>
        <v>9171019.089999998</v>
      </c>
      <c r="AV29" s="4">
        <v>415.1</v>
      </c>
      <c r="AW29" s="4">
        <v>0</v>
      </c>
      <c r="AX29" s="4">
        <f t="shared" si="53"/>
        <v>4.09784206567565E-09</v>
      </c>
      <c r="AY29" s="43">
        <v>5585</v>
      </c>
      <c r="AZ29" s="43">
        <v>1579780.91</v>
      </c>
      <c r="BA29" s="43">
        <v>0</v>
      </c>
      <c r="BB29" s="43">
        <v>0</v>
      </c>
      <c r="BC29" s="43">
        <v>0</v>
      </c>
      <c r="BD29" s="43">
        <v>0</v>
      </c>
      <c r="BE29" s="43">
        <v>0</v>
      </c>
      <c r="BF29" s="43">
        <f t="shared" si="54"/>
        <v>1579780.91</v>
      </c>
      <c r="BG29" s="43">
        <v>134355</v>
      </c>
      <c r="BH29" s="43">
        <v>13661.7</v>
      </c>
      <c r="BI29" s="43">
        <v>0</v>
      </c>
      <c r="BJ29" s="43">
        <v>0</v>
      </c>
      <c r="BK29" s="43">
        <v>0</v>
      </c>
      <c r="BL29" s="43">
        <v>162507.25</v>
      </c>
      <c r="BM29" s="43">
        <v>85084</v>
      </c>
      <c r="BN29" s="43">
        <v>0</v>
      </c>
      <c r="BO29" s="43">
        <f t="shared" si="55"/>
        <v>395607.95</v>
      </c>
      <c r="BP29" s="43">
        <v>395607.95</v>
      </c>
      <c r="BQ29" s="43">
        <v>0</v>
      </c>
      <c r="BR29" s="43">
        <v>1579780.91</v>
      </c>
      <c r="BS29" s="43">
        <f t="shared" si="56"/>
        <v>0</v>
      </c>
      <c r="BT29" s="4">
        <v>9183263.49</v>
      </c>
      <c r="BU29" s="4">
        <v>8630536.55</v>
      </c>
      <c r="BV29" s="4">
        <v>0</v>
      </c>
      <c r="BW29" s="4">
        <v>0</v>
      </c>
      <c r="BX29" s="4">
        <f t="shared" si="57"/>
        <v>17813800.04</v>
      </c>
      <c r="BY29" s="4">
        <v>4317668.47</v>
      </c>
      <c r="BZ29" s="4">
        <v>4434603.84</v>
      </c>
      <c r="CA29" s="4">
        <v>9061527.73</v>
      </c>
      <c r="CB29" s="4">
        <f t="shared" si="58"/>
        <v>17813800.04</v>
      </c>
      <c r="CC29" s="4">
        <f t="shared" si="59"/>
        <v>0</v>
      </c>
      <c r="CD29" s="74">
        <f t="shared" si="60"/>
        <v>1634338.01</v>
      </c>
      <c r="CE29" s="76">
        <f t="shared" si="61"/>
        <v>1680816.8</v>
      </c>
      <c r="CF29" s="76">
        <f t="shared" si="62"/>
        <v>1184172.96</v>
      </c>
      <c r="CG29" s="76">
        <f t="shared" si="47"/>
        <v>6631493.479999998</v>
      </c>
      <c r="CH29" s="76">
        <f t="shared" si="63"/>
        <v>-262510.18999999994</v>
      </c>
      <c r="CI29" s="37">
        <f t="shared" si="64"/>
        <v>248152.81000000006</v>
      </c>
      <c r="CJ29" s="59">
        <f t="shared" si="36"/>
        <v>1.3801514349728101</v>
      </c>
      <c r="CK29" s="59">
        <f t="shared" si="37"/>
        <v>1.4194014360875122</v>
      </c>
      <c r="CL29" s="141">
        <f t="shared" si="38"/>
        <v>0.24645097140320202</v>
      </c>
      <c r="CM29" s="141">
        <f t="shared" si="39"/>
        <v>0.25345976816070104</v>
      </c>
      <c r="CN29" s="141">
        <f t="shared" si="40"/>
        <v>-0.039585380094500223</v>
      </c>
      <c r="CO29" s="141">
        <f t="shared" si="41"/>
        <v>0.03742035044570385</v>
      </c>
      <c r="CP29" s="141">
        <f t="shared" si="42"/>
        <v>0.15918255767556996</v>
      </c>
      <c r="CQ29" s="141">
        <f t="shared" si="43"/>
        <v>0.049750598362244394</v>
      </c>
      <c r="CR29" s="142">
        <f t="shared" si="44"/>
        <v>2.894780097390745</v>
      </c>
      <c r="CS29" s="76">
        <f t="shared" si="45"/>
        <v>4865595.0200000005</v>
      </c>
      <c r="CT29" s="80">
        <f t="shared" si="65"/>
        <v>7536681.080000002</v>
      </c>
      <c r="CU29" s="80">
        <f t="shared" si="66"/>
        <v>9171019.089999998</v>
      </c>
      <c r="CV29" s="80">
        <f t="shared" si="67"/>
        <v>1634338.009999996</v>
      </c>
      <c r="CW29" s="80">
        <f t="shared" si="68"/>
        <v>0</v>
      </c>
      <c r="CX29" s="80">
        <f t="shared" si="69"/>
        <v>1634338.009999996</v>
      </c>
      <c r="CY29" s="80">
        <f t="shared" si="24"/>
        <v>415.099999996135</v>
      </c>
      <c r="CZ29" s="80">
        <f t="shared" si="70"/>
        <v>1184172.96</v>
      </c>
      <c r="DA29" s="80">
        <f t="shared" si="71"/>
        <v>1633922.91</v>
      </c>
      <c r="DB29" s="80">
        <f t="shared" si="72"/>
        <v>450165.0499999961</v>
      </c>
      <c r="DC29" s="80">
        <f t="shared" si="28"/>
        <v>-2029530.8599999999</v>
      </c>
      <c r="DD29" s="80">
        <f t="shared" si="29"/>
        <v>415.099999996135</v>
      </c>
      <c r="DE29" s="80">
        <f t="shared" si="73"/>
        <v>2464520.65</v>
      </c>
      <c r="DF29" s="80">
        <f t="shared" si="31"/>
        <v>1854.9733206252386</v>
      </c>
      <c r="DG29" s="80">
        <f t="shared" si="74"/>
        <v>-100.08013343499807</v>
      </c>
      <c r="DH29" s="80">
        <f t="shared" si="33"/>
        <v>939.5808806709874</v>
      </c>
      <c r="DI29" s="81">
        <f t="shared" si="34"/>
        <v>451.4574761723218</v>
      </c>
      <c r="DJ29" s="76">
        <f t="shared" si="35"/>
        <v>171.62220739610984</v>
      </c>
      <c r="DK29" s="147">
        <f t="shared" si="46"/>
        <v>430991.1799999997</v>
      </c>
      <c r="DL29" s="64"/>
      <c r="DM29" s="65"/>
    </row>
    <row r="30" spans="1:117" ht="12.75">
      <c r="A30" s="51" t="s">
        <v>31</v>
      </c>
      <c r="B30" s="46">
        <v>398</v>
      </c>
      <c r="C30" s="38">
        <v>1209493</v>
      </c>
      <c r="D30" s="66">
        <v>3038.93</v>
      </c>
      <c r="E30" s="66">
        <v>91.62</v>
      </c>
      <c r="F30" s="128">
        <v>6</v>
      </c>
      <c r="G30" s="134">
        <v>266021.25</v>
      </c>
      <c r="H30" s="42">
        <v>123166.9</v>
      </c>
      <c r="I30" s="42">
        <v>8536.15</v>
      </c>
      <c r="J30" s="42">
        <v>26209.25</v>
      </c>
      <c r="K30" s="42">
        <v>120029</v>
      </c>
      <c r="L30" s="42">
        <v>0</v>
      </c>
      <c r="M30" s="43">
        <f t="shared" si="0"/>
        <v>120029</v>
      </c>
      <c r="N30" s="42">
        <v>0</v>
      </c>
      <c r="O30" s="42">
        <v>41008.4</v>
      </c>
      <c r="P30" s="42">
        <v>135131.65</v>
      </c>
      <c r="Q30" s="42">
        <v>1890.8</v>
      </c>
      <c r="R30" s="42">
        <v>3165.45</v>
      </c>
      <c r="S30" s="42">
        <v>5148.4</v>
      </c>
      <c r="T30" s="42">
        <v>25000</v>
      </c>
      <c r="U30" s="42">
        <v>0</v>
      </c>
      <c r="V30" s="42">
        <v>0</v>
      </c>
      <c r="W30" s="43">
        <f t="shared" si="48"/>
        <v>33313.85</v>
      </c>
      <c r="X30" s="42">
        <v>211915.85</v>
      </c>
      <c r="Y30" s="43">
        <f t="shared" si="49"/>
        <v>967223.1000000002</v>
      </c>
      <c r="Z30" s="42">
        <v>354393.45</v>
      </c>
      <c r="AA30" s="42">
        <v>4840.6</v>
      </c>
      <c r="AB30" s="42">
        <v>5681.5</v>
      </c>
      <c r="AC30" s="42">
        <v>0</v>
      </c>
      <c r="AD30" s="42">
        <v>10028.35</v>
      </c>
      <c r="AE30" s="43">
        <f t="shared" si="50"/>
        <v>374943.89999999997</v>
      </c>
      <c r="AF30" s="42">
        <v>0</v>
      </c>
      <c r="AG30" s="42">
        <v>14828.7</v>
      </c>
      <c r="AH30" s="42">
        <v>0</v>
      </c>
      <c r="AI30" s="42">
        <v>207346.55</v>
      </c>
      <c r="AJ30" s="42">
        <v>5198.4</v>
      </c>
      <c r="AK30" s="42">
        <v>14314.05</v>
      </c>
      <c r="AL30" s="42">
        <v>86360</v>
      </c>
      <c r="AM30" s="42">
        <v>2391.25</v>
      </c>
      <c r="AN30" s="38">
        <v>46223.7</v>
      </c>
      <c r="AO30" s="38">
        <v>4073.2</v>
      </c>
      <c r="AP30" s="38">
        <v>0</v>
      </c>
      <c r="AQ30" s="38">
        <v>0</v>
      </c>
      <c r="AR30" s="38">
        <v>0</v>
      </c>
      <c r="AS30" s="4">
        <f t="shared" si="51"/>
        <v>50296.899999999994</v>
      </c>
      <c r="AT30" s="38">
        <v>215815.85</v>
      </c>
      <c r="AU30" s="4">
        <f t="shared" si="52"/>
        <v>971495.6</v>
      </c>
      <c r="AV30" s="38">
        <v>4272.55</v>
      </c>
      <c r="AW30" s="38">
        <v>0</v>
      </c>
      <c r="AX30" s="4">
        <f t="shared" si="53"/>
        <v>0.05000000023301254</v>
      </c>
      <c r="AY30" s="42">
        <v>3120.25</v>
      </c>
      <c r="AZ30" s="42">
        <v>697630.45</v>
      </c>
      <c r="BA30" s="42">
        <v>0</v>
      </c>
      <c r="BB30" s="42">
        <v>0</v>
      </c>
      <c r="BC30" s="42">
        <v>0</v>
      </c>
      <c r="BD30" s="42">
        <v>0</v>
      </c>
      <c r="BE30" s="42">
        <v>0</v>
      </c>
      <c r="BF30" s="43">
        <f t="shared" si="54"/>
        <v>697630.45</v>
      </c>
      <c r="BG30" s="42">
        <v>0</v>
      </c>
      <c r="BH30" s="42">
        <v>12460</v>
      </c>
      <c r="BI30" s="42">
        <v>0</v>
      </c>
      <c r="BJ30" s="42">
        <v>0</v>
      </c>
      <c r="BK30" s="42">
        <v>0</v>
      </c>
      <c r="BL30" s="42">
        <v>0</v>
      </c>
      <c r="BM30" s="42">
        <v>40000</v>
      </c>
      <c r="BN30" s="42">
        <v>0</v>
      </c>
      <c r="BO30" s="43">
        <f t="shared" si="55"/>
        <v>52460</v>
      </c>
      <c r="BP30" s="42">
        <v>52460</v>
      </c>
      <c r="BQ30" s="42">
        <v>0</v>
      </c>
      <c r="BR30" s="42">
        <v>697630.45</v>
      </c>
      <c r="BS30" s="43">
        <f t="shared" si="56"/>
        <v>0</v>
      </c>
      <c r="BT30" s="38">
        <v>690252.23</v>
      </c>
      <c r="BU30" s="38">
        <v>1086719.25</v>
      </c>
      <c r="BV30" s="38">
        <v>11030.4</v>
      </c>
      <c r="BW30" s="38">
        <v>0</v>
      </c>
      <c r="BX30" s="4">
        <f t="shared" si="57"/>
        <v>1788001.88</v>
      </c>
      <c r="BY30" s="38">
        <v>899269.75</v>
      </c>
      <c r="BZ30" s="38">
        <v>691147.6</v>
      </c>
      <c r="CA30" s="38">
        <v>197584.53</v>
      </c>
      <c r="CB30" s="4">
        <f t="shared" si="58"/>
        <v>1788001.8800000001</v>
      </c>
      <c r="CC30" s="4">
        <f t="shared" si="59"/>
        <v>0</v>
      </c>
      <c r="CD30" s="74">
        <f t="shared" si="60"/>
        <v>124301.55</v>
      </c>
      <c r="CE30" s="76">
        <f t="shared" si="61"/>
        <v>107318.5</v>
      </c>
      <c r="CF30" s="76">
        <f t="shared" si="62"/>
        <v>645170.45</v>
      </c>
      <c r="CG30" s="76">
        <f t="shared" si="47"/>
        <v>702991.6</v>
      </c>
      <c r="CH30" s="76">
        <f t="shared" si="63"/>
        <v>-3172.300000000001</v>
      </c>
      <c r="CI30" s="37">
        <f t="shared" si="64"/>
        <v>116856.7</v>
      </c>
      <c r="CJ30" s="59">
        <f t="shared" si="36"/>
        <v>0.19266466714338826</v>
      </c>
      <c r="CK30" s="59">
        <f t="shared" si="37"/>
        <v>0.16634131336920346</v>
      </c>
      <c r="CL30" s="141">
        <f t="shared" si="38"/>
        <v>0.1768179733584299</v>
      </c>
      <c r="CM30" s="141">
        <f t="shared" si="39"/>
        <v>0.15265971883590074</v>
      </c>
      <c r="CN30" s="141">
        <f t="shared" si="40"/>
        <v>-0.004512571700714491</v>
      </c>
      <c r="CO30" s="141">
        <f t="shared" si="41"/>
        <v>0.166227733019854</v>
      </c>
      <c r="CP30" s="141">
        <f t="shared" si="42"/>
        <v>0.09946482209524646</v>
      </c>
      <c r="CQ30" s="141">
        <f t="shared" si="43"/>
        <v>0.09946482209524646</v>
      </c>
      <c r="CR30" s="142">
        <f t="shared" si="44"/>
        <v>-1.9476373598214662</v>
      </c>
      <c r="CS30" s="76">
        <f t="shared" si="45"/>
        <v>-209017.52000000002</v>
      </c>
      <c r="CT30" s="80">
        <f t="shared" si="65"/>
        <v>847194.1000000002</v>
      </c>
      <c r="CU30" s="80">
        <f t="shared" si="66"/>
        <v>971495.6</v>
      </c>
      <c r="CV30" s="80">
        <f t="shared" si="67"/>
        <v>124301.49999999977</v>
      </c>
      <c r="CW30" s="80">
        <f t="shared" si="68"/>
        <v>0</v>
      </c>
      <c r="CX30" s="80">
        <f t="shared" si="69"/>
        <v>124301.49999999977</v>
      </c>
      <c r="CY30" s="80">
        <f t="shared" si="24"/>
        <v>4272.499999999767</v>
      </c>
      <c r="CZ30" s="80">
        <f t="shared" si="70"/>
        <v>645170.45</v>
      </c>
      <c r="DA30" s="80">
        <f t="shared" si="71"/>
        <v>120029</v>
      </c>
      <c r="DB30" s="80">
        <f t="shared" si="72"/>
        <v>-520868.9500000002</v>
      </c>
      <c r="DC30" s="80">
        <f t="shared" si="28"/>
        <v>-172489</v>
      </c>
      <c r="DD30" s="80">
        <f t="shared" si="29"/>
        <v>4272.499999999767</v>
      </c>
      <c r="DE30" s="80">
        <f t="shared" si="73"/>
        <v>364915.55</v>
      </c>
      <c r="DF30" s="80">
        <f t="shared" si="31"/>
        <v>-525.1696482412061</v>
      </c>
      <c r="DG30" s="80">
        <f t="shared" si="74"/>
        <v>-7.97060301507538</v>
      </c>
      <c r="DH30" s="80">
        <f t="shared" si="33"/>
        <v>916.8732412060301</v>
      </c>
      <c r="DI30" s="81">
        <f t="shared" si="34"/>
        <v>1621.031281407035</v>
      </c>
      <c r="DJ30" s="76">
        <f t="shared" si="35"/>
        <v>-1308.7159547738697</v>
      </c>
      <c r="DK30" s="147">
        <f t="shared" si="46"/>
        <v>-889134.72</v>
      </c>
      <c r="DL30" s="67"/>
      <c r="DM30" s="68"/>
    </row>
    <row r="31" spans="1:117" ht="13.5" thickBot="1">
      <c r="A31" s="53" t="s">
        <v>20</v>
      </c>
      <c r="B31" s="47">
        <v>292</v>
      </c>
      <c r="C31" s="7">
        <v>1004874</v>
      </c>
      <c r="D31" s="70">
        <v>3441.35</v>
      </c>
      <c r="E31" s="70">
        <v>103.75</v>
      </c>
      <c r="F31" s="129">
        <v>5</v>
      </c>
      <c r="G31" s="133">
        <v>247874.8</v>
      </c>
      <c r="H31" s="43">
        <v>201574.6</v>
      </c>
      <c r="I31" s="43">
        <v>25553.8</v>
      </c>
      <c r="J31" s="43">
        <v>500</v>
      </c>
      <c r="K31" s="43">
        <v>68405.65</v>
      </c>
      <c r="L31" s="43">
        <v>46100</v>
      </c>
      <c r="M31" s="43">
        <f t="shared" si="0"/>
        <v>114505.65</v>
      </c>
      <c r="N31" s="43">
        <v>0</v>
      </c>
      <c r="O31" s="43">
        <v>42380</v>
      </c>
      <c r="P31" s="43">
        <v>79853.35</v>
      </c>
      <c r="Q31" s="43">
        <v>1312.5</v>
      </c>
      <c r="R31" s="43">
        <v>0</v>
      </c>
      <c r="S31" s="43">
        <v>3591.85</v>
      </c>
      <c r="T31" s="43">
        <v>0</v>
      </c>
      <c r="U31" s="43">
        <v>10000</v>
      </c>
      <c r="V31" s="43">
        <v>0</v>
      </c>
      <c r="W31" s="43">
        <f t="shared" si="48"/>
        <v>13591.85</v>
      </c>
      <c r="X31" s="43">
        <v>120544.9</v>
      </c>
      <c r="Y31" s="43">
        <f t="shared" si="49"/>
        <v>847691.45</v>
      </c>
      <c r="Z31" s="43">
        <v>316345.85</v>
      </c>
      <c r="AA31" s="43">
        <v>1689.8</v>
      </c>
      <c r="AB31" s="43">
        <v>2677</v>
      </c>
      <c r="AC31" s="43">
        <v>0</v>
      </c>
      <c r="AD31" s="43">
        <v>7576.5</v>
      </c>
      <c r="AE31" s="43">
        <f t="shared" si="50"/>
        <v>328289.14999999997</v>
      </c>
      <c r="AF31" s="43">
        <v>0</v>
      </c>
      <c r="AG31" s="43">
        <v>95514.9</v>
      </c>
      <c r="AH31" s="43">
        <v>0</v>
      </c>
      <c r="AI31" s="43">
        <v>115447.35</v>
      </c>
      <c r="AJ31" s="43">
        <v>3591.85</v>
      </c>
      <c r="AK31" s="43">
        <v>10164.75</v>
      </c>
      <c r="AL31" s="43">
        <v>129314.3</v>
      </c>
      <c r="AM31" s="43">
        <v>1312.5</v>
      </c>
      <c r="AN31" s="4">
        <v>43756.65</v>
      </c>
      <c r="AO31" s="4">
        <v>0</v>
      </c>
      <c r="AP31" s="4">
        <v>0</v>
      </c>
      <c r="AQ31" s="4">
        <v>0</v>
      </c>
      <c r="AR31" s="4">
        <v>0</v>
      </c>
      <c r="AS31" s="4">
        <f t="shared" si="51"/>
        <v>43756.65</v>
      </c>
      <c r="AT31" s="4">
        <v>120544.9</v>
      </c>
      <c r="AU31" s="4">
        <f t="shared" si="52"/>
        <v>847936.3499999997</v>
      </c>
      <c r="AV31" s="4">
        <v>244.9</v>
      </c>
      <c r="AW31" s="4">
        <v>0</v>
      </c>
      <c r="AX31" s="4">
        <f t="shared" si="53"/>
        <v>2.0955326363036875E-10</v>
      </c>
      <c r="AY31" s="43">
        <v>73361.9</v>
      </c>
      <c r="AZ31" s="43">
        <v>260312.55</v>
      </c>
      <c r="BA31" s="43">
        <v>2409</v>
      </c>
      <c r="BB31" s="43">
        <v>25979.5</v>
      </c>
      <c r="BC31" s="43">
        <v>4500</v>
      </c>
      <c r="BD31" s="43">
        <v>85400</v>
      </c>
      <c r="BE31" s="43">
        <v>10895.8</v>
      </c>
      <c r="BF31" s="43">
        <f t="shared" si="54"/>
        <v>389496.85</v>
      </c>
      <c r="BG31" s="43">
        <v>0</v>
      </c>
      <c r="BH31" s="43">
        <v>164519</v>
      </c>
      <c r="BI31" s="43">
        <v>0</v>
      </c>
      <c r="BJ31" s="43">
        <v>0</v>
      </c>
      <c r="BK31" s="43">
        <v>2000</v>
      </c>
      <c r="BL31" s="43">
        <v>0</v>
      </c>
      <c r="BM31" s="43">
        <v>45972.2</v>
      </c>
      <c r="BN31" s="43">
        <v>85400</v>
      </c>
      <c r="BO31" s="43">
        <f t="shared" si="55"/>
        <v>297891.2</v>
      </c>
      <c r="BP31" s="43">
        <f>297891.2-85400</f>
        <v>212491.2</v>
      </c>
      <c r="BQ31" s="43">
        <v>0</v>
      </c>
      <c r="BR31" s="43">
        <f>389496.85-85400</f>
        <v>304096.85</v>
      </c>
      <c r="BS31" s="43">
        <f t="shared" si="56"/>
        <v>0</v>
      </c>
      <c r="BT31" s="4">
        <v>2377999</v>
      </c>
      <c r="BU31" s="4">
        <v>349200</v>
      </c>
      <c r="BV31" s="4">
        <v>0</v>
      </c>
      <c r="BW31" s="4">
        <v>0</v>
      </c>
      <c r="BX31" s="4">
        <f t="shared" si="57"/>
        <v>2727199</v>
      </c>
      <c r="BY31" s="4">
        <v>488937.25</v>
      </c>
      <c r="BZ31" s="4">
        <v>1204477.75</v>
      </c>
      <c r="CA31" s="4">
        <v>1033784</v>
      </c>
      <c r="CB31" s="4">
        <f t="shared" si="58"/>
        <v>2727199</v>
      </c>
      <c r="CC31" s="4">
        <f t="shared" si="59"/>
        <v>0</v>
      </c>
      <c r="CD31" s="74">
        <f t="shared" si="60"/>
        <v>114750.54999999999</v>
      </c>
      <c r="CE31" s="76">
        <f t="shared" si="61"/>
        <v>84585.75</v>
      </c>
      <c r="CF31" s="76">
        <f t="shared" si="62"/>
        <v>91605.64999999997</v>
      </c>
      <c r="CG31" s="76">
        <f t="shared" si="47"/>
        <v>682322.2999999997</v>
      </c>
      <c r="CH31" s="76">
        <f t="shared" si="63"/>
        <v>3400.800000000003</v>
      </c>
      <c r="CI31" s="37">
        <f t="shared" si="64"/>
        <v>71806.45</v>
      </c>
      <c r="CJ31" s="59">
        <f t="shared" si="36"/>
        <v>1.2526579965318736</v>
      </c>
      <c r="CK31" s="59">
        <f t="shared" si="37"/>
        <v>0.9233682638570878</v>
      </c>
      <c r="CL31" s="141">
        <f t="shared" si="38"/>
        <v>0.16817646147575718</v>
      </c>
      <c r="CM31" s="141">
        <f t="shared" si="39"/>
        <v>0.12396744177934685</v>
      </c>
      <c r="CN31" s="141">
        <f t="shared" si="40"/>
        <v>0.004984154848815588</v>
      </c>
      <c r="CO31" s="141">
        <f t="shared" si="41"/>
        <v>0.1052383162619777</v>
      </c>
      <c r="CP31" s="141">
        <f t="shared" si="42"/>
        <v>0.24693606817169467</v>
      </c>
      <c r="CQ31" s="141">
        <f t="shared" si="43"/>
        <v>0.14751955254373111</v>
      </c>
      <c r="CR31" s="142">
        <f t="shared" si="44"/>
        <v>22.333096886886974</v>
      </c>
      <c r="CS31" s="76">
        <f t="shared" si="45"/>
        <v>1889061.75</v>
      </c>
      <c r="CT31" s="80">
        <f t="shared" si="65"/>
        <v>733185.7999999999</v>
      </c>
      <c r="CU31" s="80">
        <f t="shared" si="66"/>
        <v>847936.3499999997</v>
      </c>
      <c r="CV31" s="80">
        <f t="shared" si="67"/>
        <v>114750.54999999981</v>
      </c>
      <c r="CW31" s="80">
        <f t="shared" si="68"/>
        <v>0</v>
      </c>
      <c r="CX31" s="80">
        <f t="shared" si="69"/>
        <v>114750.54999999981</v>
      </c>
      <c r="CY31" s="80">
        <f t="shared" si="24"/>
        <v>244.89999999981956</v>
      </c>
      <c r="CZ31" s="80">
        <f t="shared" si="70"/>
        <v>91605.64999999997</v>
      </c>
      <c r="DA31" s="80">
        <f t="shared" si="71"/>
        <v>114505.65</v>
      </c>
      <c r="DB31" s="80">
        <f t="shared" si="72"/>
        <v>23144.89999999985</v>
      </c>
      <c r="DC31" s="80">
        <f t="shared" si="28"/>
        <v>-326996.85</v>
      </c>
      <c r="DD31" s="80">
        <f t="shared" si="29"/>
        <v>244.89999999984866</v>
      </c>
      <c r="DE31" s="80">
        <f t="shared" si="73"/>
        <v>320712.64999999997</v>
      </c>
      <c r="DF31" s="80">
        <f t="shared" si="31"/>
        <v>6469.38955479452</v>
      </c>
      <c r="DG31" s="80">
        <f t="shared" si="74"/>
        <v>11.646575342465763</v>
      </c>
      <c r="DH31" s="80">
        <f t="shared" si="33"/>
        <v>1098.330993150685</v>
      </c>
      <c r="DI31" s="81">
        <f t="shared" si="34"/>
        <v>313.7179794520547</v>
      </c>
      <c r="DJ31" s="76">
        <f t="shared" si="35"/>
        <v>79.26335616438304</v>
      </c>
      <c r="DK31" s="147">
        <f t="shared" si="46"/>
        <v>684584</v>
      </c>
      <c r="DL31" s="71"/>
      <c r="DM31" s="72"/>
    </row>
    <row r="32" spans="1:117" ht="12" customHeight="1">
      <c r="A32" s="31" t="s">
        <v>70</v>
      </c>
      <c r="B32" s="24">
        <f aca="true" t="shared" si="75" ref="B32:BM32">SUM(B3:B31)</f>
        <v>38207</v>
      </c>
      <c r="C32" s="24">
        <f t="shared" si="75"/>
        <v>126728843</v>
      </c>
      <c r="D32" s="25">
        <f t="shared" si="75"/>
        <v>84950.62</v>
      </c>
      <c r="E32" s="25">
        <f t="shared" si="75"/>
        <v>2561.1399999999994</v>
      </c>
      <c r="F32" s="117">
        <f t="shared" si="75"/>
        <v>175</v>
      </c>
      <c r="G32" s="119">
        <f t="shared" si="75"/>
        <v>28885737.700000003</v>
      </c>
      <c r="H32" s="120">
        <f t="shared" si="75"/>
        <v>30199805.2</v>
      </c>
      <c r="I32" s="120">
        <f t="shared" si="75"/>
        <v>3351570.58</v>
      </c>
      <c r="J32" s="120">
        <f t="shared" si="75"/>
        <v>3236117.6900000004</v>
      </c>
      <c r="K32" s="120">
        <f t="shared" si="75"/>
        <v>8937659.19</v>
      </c>
      <c r="L32" s="120">
        <f t="shared" si="75"/>
        <v>3711168.6499999994</v>
      </c>
      <c r="M32" s="120">
        <f t="shared" si="75"/>
        <v>12648827.840000002</v>
      </c>
      <c r="N32" s="120">
        <f t="shared" si="75"/>
        <v>519579.86</v>
      </c>
      <c r="O32" s="120">
        <f t="shared" si="75"/>
        <v>4528892.15</v>
      </c>
      <c r="P32" s="120">
        <f t="shared" si="75"/>
        <v>10869855.799999999</v>
      </c>
      <c r="Q32" s="120">
        <f t="shared" si="75"/>
        <v>267438.45</v>
      </c>
      <c r="R32" s="120">
        <f t="shared" si="75"/>
        <v>2489565.96</v>
      </c>
      <c r="S32" s="120">
        <f t="shared" si="75"/>
        <v>173663.05</v>
      </c>
      <c r="T32" s="120">
        <f t="shared" si="75"/>
        <v>1366604.2</v>
      </c>
      <c r="U32" s="120">
        <f t="shared" si="75"/>
        <v>161582.64</v>
      </c>
      <c r="V32" s="120">
        <f t="shared" si="75"/>
        <v>50000</v>
      </c>
      <c r="W32" s="120">
        <f t="shared" si="75"/>
        <v>4241415.850000001</v>
      </c>
      <c r="X32" s="120">
        <f t="shared" si="75"/>
        <v>16384876.460000003</v>
      </c>
      <c r="Y32" s="120">
        <f t="shared" si="75"/>
        <v>115134117.58</v>
      </c>
      <c r="Z32" s="120">
        <f t="shared" si="75"/>
        <v>30909663.240000006</v>
      </c>
      <c r="AA32" s="120">
        <f t="shared" si="75"/>
        <v>4966427.059999998</v>
      </c>
      <c r="AB32" s="120">
        <f t="shared" si="75"/>
        <v>398971.95</v>
      </c>
      <c r="AC32" s="120">
        <f t="shared" si="75"/>
        <v>5130.95</v>
      </c>
      <c r="AD32" s="120">
        <f t="shared" si="75"/>
        <v>442338.2</v>
      </c>
      <c r="AE32" s="120">
        <f t="shared" si="75"/>
        <v>36722531.39999999</v>
      </c>
      <c r="AF32" s="120">
        <f t="shared" si="75"/>
        <v>767172.8</v>
      </c>
      <c r="AG32" s="120">
        <f t="shared" si="75"/>
        <v>7621950.37</v>
      </c>
      <c r="AH32" s="120">
        <f t="shared" si="75"/>
        <v>1736843</v>
      </c>
      <c r="AI32" s="120">
        <f t="shared" si="75"/>
        <v>33310451.770000003</v>
      </c>
      <c r="AJ32" s="120">
        <f t="shared" si="75"/>
        <v>4219570.25</v>
      </c>
      <c r="AK32" s="120">
        <f t="shared" si="75"/>
        <v>2318710.71</v>
      </c>
      <c r="AL32" s="120">
        <f t="shared" si="75"/>
        <v>7015978.199999999</v>
      </c>
      <c r="AM32" s="120">
        <f t="shared" si="75"/>
        <v>250880.1</v>
      </c>
      <c r="AN32" s="120">
        <f t="shared" si="75"/>
        <v>1838668.3699999999</v>
      </c>
      <c r="AO32" s="120">
        <f t="shared" si="75"/>
        <v>232551.89</v>
      </c>
      <c r="AP32" s="120">
        <f t="shared" si="75"/>
        <v>733439.35</v>
      </c>
      <c r="AQ32" s="120">
        <f t="shared" si="75"/>
        <v>13016.9</v>
      </c>
      <c r="AR32" s="120">
        <f t="shared" si="75"/>
        <v>0</v>
      </c>
      <c r="AS32" s="120">
        <f t="shared" si="75"/>
        <v>2817676.5099999993</v>
      </c>
      <c r="AT32" s="120">
        <f t="shared" si="75"/>
        <v>16523902.75</v>
      </c>
      <c r="AU32" s="120">
        <f t="shared" si="75"/>
        <v>111568824.86</v>
      </c>
      <c r="AV32" s="120">
        <f t="shared" si="75"/>
        <v>875000.67</v>
      </c>
      <c r="AW32" s="120">
        <f t="shared" si="75"/>
        <v>4440293.329999999</v>
      </c>
      <c r="AX32" s="120">
        <f t="shared" si="75"/>
        <v>0.06000000477533263</v>
      </c>
      <c r="AY32" s="120">
        <f t="shared" si="75"/>
        <v>2536540.8500000006</v>
      </c>
      <c r="AZ32" s="120">
        <f t="shared" si="75"/>
        <v>25125249.12</v>
      </c>
      <c r="BA32" s="120">
        <f t="shared" si="75"/>
        <v>162909</v>
      </c>
      <c r="BB32" s="120">
        <f t="shared" si="75"/>
        <v>128581.5</v>
      </c>
      <c r="BC32" s="120">
        <f t="shared" si="75"/>
        <v>3082244.95</v>
      </c>
      <c r="BD32" s="120">
        <f t="shared" si="75"/>
        <v>85400</v>
      </c>
      <c r="BE32" s="120">
        <f t="shared" si="75"/>
        <v>1042534.7000000001</v>
      </c>
      <c r="BF32" s="120">
        <f t="shared" si="75"/>
        <v>29626919.27</v>
      </c>
      <c r="BG32" s="120">
        <f t="shared" si="75"/>
        <v>158440.7</v>
      </c>
      <c r="BH32" s="120">
        <f t="shared" si="75"/>
        <v>2427844.58</v>
      </c>
      <c r="BI32" s="120">
        <f t="shared" si="75"/>
        <v>0</v>
      </c>
      <c r="BJ32" s="120">
        <f t="shared" si="75"/>
        <v>595000</v>
      </c>
      <c r="BK32" s="120">
        <f t="shared" si="75"/>
        <v>2000</v>
      </c>
      <c r="BL32" s="120">
        <f t="shared" si="75"/>
        <v>1354643.05</v>
      </c>
      <c r="BM32" s="120">
        <f t="shared" si="75"/>
        <v>7538821.25</v>
      </c>
      <c r="BN32" s="120">
        <f aca="true" t="shared" si="76" ref="BN32:DK32">SUM(BN3:BN31)</f>
        <v>130400</v>
      </c>
      <c r="BO32" s="120">
        <f t="shared" si="76"/>
        <v>12207149.579999998</v>
      </c>
      <c r="BP32" s="120">
        <f t="shared" si="76"/>
        <v>11924736.33</v>
      </c>
      <c r="BQ32" s="120">
        <f t="shared" si="76"/>
        <v>6011</v>
      </c>
      <c r="BR32" s="120">
        <f t="shared" si="76"/>
        <v>29350517.02</v>
      </c>
      <c r="BS32" s="120">
        <f t="shared" si="76"/>
        <v>0</v>
      </c>
      <c r="BT32" s="120">
        <f t="shared" si="76"/>
        <v>132859216.10999998</v>
      </c>
      <c r="BU32" s="120">
        <f t="shared" si="76"/>
        <v>83685963.69</v>
      </c>
      <c r="BV32" s="120">
        <f t="shared" si="76"/>
        <v>2472528.8799999994</v>
      </c>
      <c r="BW32" s="120">
        <f t="shared" si="76"/>
        <v>3908650.9000000004</v>
      </c>
      <c r="BX32" s="120">
        <f t="shared" si="76"/>
        <v>222926359.57999998</v>
      </c>
      <c r="BY32" s="120">
        <f t="shared" si="76"/>
        <v>116104076.76999998</v>
      </c>
      <c r="BZ32" s="120">
        <f t="shared" si="76"/>
        <v>49879051.720000006</v>
      </c>
      <c r="CA32" s="120">
        <f t="shared" si="76"/>
        <v>56943230.99000001</v>
      </c>
      <c r="CB32" s="120">
        <f t="shared" si="76"/>
        <v>222926359.47999996</v>
      </c>
      <c r="CC32" s="120">
        <f t="shared" si="76"/>
        <v>0.1000000019557774</v>
      </c>
      <c r="CD32" s="120">
        <f t="shared" si="76"/>
        <v>9083535.180000002</v>
      </c>
      <c r="CE32" s="120">
        <f t="shared" si="76"/>
        <v>10507274.52</v>
      </c>
      <c r="CF32" s="120">
        <f t="shared" si="76"/>
        <v>17425780.689999998</v>
      </c>
      <c r="CG32" s="120">
        <f t="shared" si="76"/>
        <v>91976365.5</v>
      </c>
      <c r="CH32" s="120">
        <f t="shared" si="76"/>
        <v>9015.059999999941</v>
      </c>
      <c r="CI32" s="120">
        <f t="shared" si="76"/>
        <v>8946674.249999998</v>
      </c>
      <c r="CJ32" s="121">
        <f t="shared" si="76"/>
        <v>22.78281309732781</v>
      </c>
      <c r="CK32" s="121">
        <f t="shared" si="76"/>
        <v>29.75100796586131</v>
      </c>
      <c r="CL32" s="121">
        <f t="shared" si="76"/>
        <v>2.4287325924812935</v>
      </c>
      <c r="CM32" s="121">
        <f t="shared" si="76"/>
        <v>2.927196585186119</v>
      </c>
      <c r="CN32" s="121">
        <f t="shared" si="76"/>
        <v>-0.28962709314218166</v>
      </c>
      <c r="CO32" s="121">
        <f t="shared" si="76"/>
        <v>2.2845754163533467</v>
      </c>
      <c r="CP32" s="121">
        <f t="shared" si="76"/>
        <v>5.312883326342771</v>
      </c>
      <c r="CQ32" s="121">
        <f t="shared" si="76"/>
        <v>3.453193224832836</v>
      </c>
      <c r="CR32" s="120">
        <f t="shared" si="76"/>
        <v>297.3368754353063</v>
      </c>
      <c r="CS32" s="120">
        <f t="shared" si="76"/>
        <v>16755139.340000004</v>
      </c>
      <c r="CT32" s="120">
        <f t="shared" si="76"/>
        <v>102435289.74</v>
      </c>
      <c r="CU32" s="120">
        <f t="shared" si="76"/>
        <v>111568824.86</v>
      </c>
      <c r="CV32" s="120">
        <f t="shared" si="76"/>
        <v>9133535.119999997</v>
      </c>
      <c r="CW32" s="120">
        <f t="shared" si="76"/>
        <v>-50000</v>
      </c>
      <c r="CX32" s="120">
        <f t="shared" si="76"/>
        <v>9083535.119999997</v>
      </c>
      <c r="CY32" s="120">
        <f t="shared" si="76"/>
        <v>-3565292.720000002</v>
      </c>
      <c r="CZ32" s="120">
        <f t="shared" si="76"/>
        <v>17425780.689999998</v>
      </c>
      <c r="DA32" s="120">
        <f t="shared" si="76"/>
        <v>12648827.840000002</v>
      </c>
      <c r="DB32" s="120">
        <f t="shared" si="76"/>
        <v>-8342245.570000003</v>
      </c>
      <c r="DC32" s="120">
        <f t="shared" si="76"/>
        <v>-24573564.169999998</v>
      </c>
      <c r="DD32" s="120">
        <f t="shared" si="76"/>
        <v>-3565292.720000002</v>
      </c>
      <c r="DE32" s="120">
        <f t="shared" si="76"/>
        <v>36275062.24999999</v>
      </c>
      <c r="DF32" s="120">
        <f t="shared" si="76"/>
        <v>29794.18910479021</v>
      </c>
      <c r="DG32" s="120">
        <f t="shared" si="76"/>
        <v>-955.6597381312172</v>
      </c>
      <c r="DH32" s="120">
        <f t="shared" si="76"/>
        <v>26223.658193032737</v>
      </c>
      <c r="DI32" s="120">
        <f t="shared" si="76"/>
        <v>10928.793430971562</v>
      </c>
      <c r="DJ32" s="120">
        <f t="shared" si="76"/>
        <v>-6280.83801041187</v>
      </c>
      <c r="DK32" s="120">
        <f t="shared" si="76"/>
        <v>-30651383.6</v>
      </c>
      <c r="DL32" s="13">
        <f>SUM(DL3:DL31)</f>
        <v>0</v>
      </c>
      <c r="DM32" s="26">
        <f>SUM(DM3:DM31)</f>
        <v>0</v>
      </c>
    </row>
    <row r="33" spans="1:117" ht="12.75">
      <c r="A33" s="31" t="s">
        <v>47</v>
      </c>
      <c r="B33" s="24">
        <f aca="true" t="shared" si="77" ref="B33:BM33">MIN(B3:B31)</f>
        <v>172</v>
      </c>
      <c r="C33" s="24">
        <f t="shared" si="77"/>
        <v>392011</v>
      </c>
      <c r="D33" s="25">
        <f t="shared" si="77"/>
        <v>1840.87</v>
      </c>
      <c r="E33" s="25">
        <f t="shared" si="77"/>
        <v>55.5</v>
      </c>
      <c r="F33" s="117">
        <f t="shared" si="77"/>
        <v>2</v>
      </c>
      <c r="G33" s="124">
        <f t="shared" si="77"/>
        <v>62614.65</v>
      </c>
      <c r="H33" s="24">
        <f t="shared" si="77"/>
        <v>72846.35</v>
      </c>
      <c r="I33" s="24">
        <f t="shared" si="77"/>
        <v>-3791.65</v>
      </c>
      <c r="J33" s="24">
        <f t="shared" si="77"/>
        <v>-154523</v>
      </c>
      <c r="K33" s="24">
        <f t="shared" si="77"/>
        <v>0</v>
      </c>
      <c r="L33" s="24">
        <f t="shared" si="77"/>
        <v>0</v>
      </c>
      <c r="M33" s="24">
        <f t="shared" si="77"/>
        <v>0</v>
      </c>
      <c r="N33" s="24">
        <f t="shared" si="77"/>
        <v>0</v>
      </c>
      <c r="O33" s="24">
        <f t="shared" si="77"/>
        <v>10781</v>
      </c>
      <c r="P33" s="24">
        <f t="shared" si="77"/>
        <v>50720.7</v>
      </c>
      <c r="Q33" s="24">
        <f t="shared" si="77"/>
        <v>-19.5</v>
      </c>
      <c r="R33" s="24">
        <f t="shared" si="77"/>
        <v>0</v>
      </c>
      <c r="S33" s="24">
        <f t="shared" si="77"/>
        <v>0</v>
      </c>
      <c r="T33" s="24">
        <f t="shared" si="77"/>
        <v>0</v>
      </c>
      <c r="U33" s="24">
        <f t="shared" si="77"/>
        <v>0</v>
      </c>
      <c r="V33" s="24">
        <f t="shared" si="77"/>
        <v>0</v>
      </c>
      <c r="W33" s="24">
        <f t="shared" si="77"/>
        <v>0</v>
      </c>
      <c r="X33" s="24">
        <f t="shared" si="77"/>
        <v>0</v>
      </c>
      <c r="Y33" s="24">
        <f t="shared" si="77"/>
        <v>291376.7</v>
      </c>
      <c r="Z33" s="24">
        <f t="shared" si="77"/>
        <v>64202.65</v>
      </c>
      <c r="AA33" s="24">
        <f t="shared" si="77"/>
        <v>0</v>
      </c>
      <c r="AB33" s="24">
        <f t="shared" si="77"/>
        <v>0</v>
      </c>
      <c r="AC33" s="24">
        <f>MIN(AC3:AC31)</f>
        <v>0</v>
      </c>
      <c r="AD33" s="24">
        <f t="shared" si="77"/>
        <v>0</v>
      </c>
      <c r="AE33" s="24">
        <f t="shared" si="77"/>
        <v>102731.35</v>
      </c>
      <c r="AF33" s="24">
        <f t="shared" si="77"/>
        <v>0</v>
      </c>
      <c r="AG33" s="24">
        <f t="shared" si="77"/>
        <v>14828.7</v>
      </c>
      <c r="AH33" s="24">
        <f t="shared" si="77"/>
        <v>0</v>
      </c>
      <c r="AI33" s="24">
        <f t="shared" si="77"/>
        <v>28523</v>
      </c>
      <c r="AJ33" s="24">
        <f t="shared" si="77"/>
        <v>3591.85</v>
      </c>
      <c r="AK33" s="24">
        <f t="shared" si="77"/>
        <v>800</v>
      </c>
      <c r="AL33" s="24">
        <f t="shared" si="77"/>
        <v>9177.8</v>
      </c>
      <c r="AM33" s="24">
        <f t="shared" si="77"/>
        <v>0</v>
      </c>
      <c r="AN33" s="24">
        <f t="shared" si="77"/>
        <v>0</v>
      </c>
      <c r="AO33" s="24">
        <f t="shared" si="77"/>
        <v>0</v>
      </c>
      <c r="AP33" s="24">
        <f t="shared" si="77"/>
        <v>0</v>
      </c>
      <c r="AQ33" s="24">
        <f t="shared" si="77"/>
        <v>0</v>
      </c>
      <c r="AR33" s="24">
        <f t="shared" si="77"/>
        <v>0</v>
      </c>
      <c r="AS33" s="24">
        <f t="shared" si="77"/>
        <v>0</v>
      </c>
      <c r="AT33" s="24">
        <f t="shared" si="77"/>
        <v>0</v>
      </c>
      <c r="AU33" s="24">
        <f t="shared" si="77"/>
        <v>291772.55</v>
      </c>
      <c r="AV33" s="24">
        <f t="shared" si="77"/>
        <v>0</v>
      </c>
      <c r="AW33" s="24">
        <f t="shared" si="77"/>
        <v>0</v>
      </c>
      <c r="AX33" s="24">
        <f t="shared" si="77"/>
        <v>-1.979060471057892E-09</v>
      </c>
      <c r="AY33" s="24">
        <f t="shared" si="77"/>
        <v>0</v>
      </c>
      <c r="AZ33" s="24">
        <f t="shared" si="77"/>
        <v>13130.35</v>
      </c>
      <c r="BA33" s="24">
        <f t="shared" si="77"/>
        <v>0</v>
      </c>
      <c r="BB33" s="24">
        <f t="shared" si="77"/>
        <v>0</v>
      </c>
      <c r="BC33" s="24">
        <f t="shared" si="77"/>
        <v>0</v>
      </c>
      <c r="BD33" s="24">
        <f t="shared" si="77"/>
        <v>0</v>
      </c>
      <c r="BE33" s="24">
        <f t="shared" si="77"/>
        <v>0</v>
      </c>
      <c r="BF33" s="24">
        <f t="shared" si="77"/>
        <v>13130.35</v>
      </c>
      <c r="BG33" s="24">
        <f t="shared" si="77"/>
        <v>0</v>
      </c>
      <c r="BH33" s="24">
        <f t="shared" si="77"/>
        <v>0</v>
      </c>
      <c r="BI33" s="24">
        <f t="shared" si="77"/>
        <v>0</v>
      </c>
      <c r="BJ33" s="24">
        <f t="shared" si="77"/>
        <v>0</v>
      </c>
      <c r="BK33" s="24">
        <f t="shared" si="77"/>
        <v>0</v>
      </c>
      <c r="BL33" s="24">
        <f t="shared" si="77"/>
        <v>0</v>
      </c>
      <c r="BM33" s="24">
        <f t="shared" si="77"/>
        <v>0</v>
      </c>
      <c r="BN33" s="24">
        <f aca="true" t="shared" si="78" ref="BN33:DK33">MIN(BN3:BN31)</f>
        <v>0</v>
      </c>
      <c r="BO33" s="24">
        <f t="shared" si="78"/>
        <v>0</v>
      </c>
      <c r="BP33" s="24">
        <f t="shared" si="78"/>
        <v>0</v>
      </c>
      <c r="BQ33" s="24">
        <f t="shared" si="78"/>
        <v>0</v>
      </c>
      <c r="BR33" s="24">
        <f t="shared" si="78"/>
        <v>13130.35</v>
      </c>
      <c r="BS33" s="24">
        <f t="shared" si="78"/>
        <v>0</v>
      </c>
      <c r="BT33" s="24">
        <f t="shared" si="78"/>
        <v>648187.9</v>
      </c>
      <c r="BU33" s="24">
        <f t="shared" si="78"/>
        <v>49359.15</v>
      </c>
      <c r="BV33" s="24">
        <f t="shared" si="78"/>
        <v>0</v>
      </c>
      <c r="BW33" s="24">
        <f t="shared" si="78"/>
        <v>0</v>
      </c>
      <c r="BX33" s="24">
        <f t="shared" si="78"/>
        <v>697547.05</v>
      </c>
      <c r="BY33" s="24">
        <f t="shared" si="78"/>
        <v>373867.55</v>
      </c>
      <c r="BZ33" s="24">
        <f t="shared" si="78"/>
        <v>0</v>
      </c>
      <c r="CA33" s="24">
        <f t="shared" si="78"/>
        <v>0</v>
      </c>
      <c r="CB33" s="24">
        <f t="shared" si="78"/>
        <v>697547.0499999999</v>
      </c>
      <c r="CC33" s="24">
        <f t="shared" si="78"/>
        <v>-0.09999999962747097</v>
      </c>
      <c r="CD33" s="24">
        <f t="shared" si="78"/>
        <v>-1711862.1400000001</v>
      </c>
      <c r="CE33" s="24">
        <f t="shared" si="78"/>
        <v>-1385789.25</v>
      </c>
      <c r="CF33" s="24">
        <f t="shared" si="78"/>
        <v>-513728.69999999995</v>
      </c>
      <c r="CG33" s="24">
        <f t="shared" si="78"/>
        <v>253487.65</v>
      </c>
      <c r="CH33" s="24">
        <f t="shared" si="78"/>
        <v>-306942.85</v>
      </c>
      <c r="CI33" s="24">
        <f t="shared" si="78"/>
        <v>-190802</v>
      </c>
      <c r="CJ33" s="93">
        <f t="shared" si="78"/>
        <v>-4.872266132464587</v>
      </c>
      <c r="CK33" s="93">
        <f t="shared" si="78"/>
        <v>-8.570028232787916</v>
      </c>
      <c r="CL33" s="93">
        <f t="shared" si="78"/>
        <v>-0.8181085417816277</v>
      </c>
      <c r="CM33" s="93">
        <f t="shared" si="78"/>
        <v>-0.6622764742808994</v>
      </c>
      <c r="CN33" s="93">
        <f t="shared" si="78"/>
        <v>-0.14353532639501723</v>
      </c>
      <c r="CO33" s="93">
        <f t="shared" si="78"/>
        <v>-0.08023592141369165</v>
      </c>
      <c r="CP33" s="93">
        <f t="shared" si="78"/>
        <v>0</v>
      </c>
      <c r="CQ33" s="93">
        <f t="shared" si="78"/>
        <v>0</v>
      </c>
      <c r="CR33" s="24">
        <f t="shared" si="78"/>
        <v>-57.99266354111184</v>
      </c>
      <c r="CS33" s="24">
        <f t="shared" si="78"/>
        <v>-19178755.259999998</v>
      </c>
      <c r="CT33" s="24">
        <f t="shared" si="78"/>
        <v>291376.7</v>
      </c>
      <c r="CU33" s="24">
        <f t="shared" si="78"/>
        <v>291772.55</v>
      </c>
      <c r="CV33" s="24">
        <f t="shared" si="78"/>
        <v>-1711862.1400000001</v>
      </c>
      <c r="CW33" s="24">
        <f t="shared" si="78"/>
        <v>-50000</v>
      </c>
      <c r="CX33" s="24">
        <f t="shared" si="78"/>
        <v>-1711862.1400000001</v>
      </c>
      <c r="CY33" s="24">
        <f t="shared" si="78"/>
        <v>-2058875.9900000002</v>
      </c>
      <c r="CZ33" s="24">
        <f t="shared" si="78"/>
        <v>-513728.69999999995</v>
      </c>
      <c r="DA33" s="24">
        <f t="shared" si="78"/>
        <v>0</v>
      </c>
      <c r="DB33" s="24">
        <f t="shared" si="78"/>
        <v>-2098001.14</v>
      </c>
      <c r="DC33" s="24">
        <f t="shared" si="78"/>
        <v>-5200584.05</v>
      </c>
      <c r="DD33" s="24">
        <f t="shared" si="78"/>
        <v>-2058875.9900000002</v>
      </c>
      <c r="DE33" s="24">
        <f t="shared" si="78"/>
        <v>95822.55</v>
      </c>
      <c r="DF33" s="24">
        <f t="shared" si="78"/>
        <v>-8380.876907894735</v>
      </c>
      <c r="DG33" s="24">
        <f t="shared" si="78"/>
        <v>-464.3386516853933</v>
      </c>
      <c r="DH33" s="24">
        <f t="shared" si="78"/>
        <v>173.77567140600317</v>
      </c>
      <c r="DI33" s="24">
        <f t="shared" si="78"/>
        <v>-490.66733524355294</v>
      </c>
      <c r="DJ33" s="24">
        <f t="shared" si="78"/>
        <v>-4600.879692982457</v>
      </c>
      <c r="DK33" s="24">
        <f t="shared" si="78"/>
        <v>-27092845.96</v>
      </c>
      <c r="DL33" s="13">
        <f>MIN(DL3:DL31)</f>
        <v>0</v>
      </c>
      <c r="DM33" s="26">
        <f>MIN(DM3:DM31)</f>
        <v>0</v>
      </c>
    </row>
    <row r="34" spans="1:117" ht="12.75">
      <c r="A34" s="31" t="s">
        <v>48</v>
      </c>
      <c r="B34" s="24">
        <f aca="true" t="shared" si="79" ref="B34:BM34">MAX(B3:B31)</f>
        <v>5737</v>
      </c>
      <c r="C34" s="24">
        <f t="shared" si="79"/>
        <v>22294501</v>
      </c>
      <c r="D34" s="25">
        <f t="shared" si="79"/>
        <v>6701.8</v>
      </c>
      <c r="E34" s="25">
        <f t="shared" si="79"/>
        <v>202.05</v>
      </c>
      <c r="F34" s="117">
        <f t="shared" si="79"/>
        <v>11</v>
      </c>
      <c r="G34" s="124">
        <f t="shared" si="79"/>
        <v>4646450.25</v>
      </c>
      <c r="H34" s="24">
        <f t="shared" si="79"/>
        <v>6140735.77</v>
      </c>
      <c r="I34" s="24">
        <f t="shared" si="79"/>
        <v>921896.35</v>
      </c>
      <c r="J34" s="24">
        <f t="shared" si="79"/>
        <v>1733999</v>
      </c>
      <c r="K34" s="24">
        <f t="shared" si="79"/>
        <v>2397452.65</v>
      </c>
      <c r="L34" s="24">
        <f t="shared" si="79"/>
        <v>1123259.91</v>
      </c>
      <c r="M34" s="24">
        <f t="shared" si="79"/>
        <v>2422062.75</v>
      </c>
      <c r="N34" s="24">
        <f t="shared" si="79"/>
        <v>246586.81</v>
      </c>
      <c r="O34" s="24">
        <f t="shared" si="79"/>
        <v>596227.65</v>
      </c>
      <c r="P34" s="24">
        <f t="shared" si="79"/>
        <v>1484395.65</v>
      </c>
      <c r="Q34" s="24">
        <f t="shared" si="79"/>
        <v>119844.35</v>
      </c>
      <c r="R34" s="24">
        <f t="shared" si="79"/>
        <v>631971.03</v>
      </c>
      <c r="S34" s="24">
        <f t="shared" si="79"/>
        <v>67548</v>
      </c>
      <c r="T34" s="24">
        <f t="shared" si="79"/>
        <v>300000</v>
      </c>
      <c r="U34" s="24">
        <f t="shared" si="79"/>
        <v>101582.64</v>
      </c>
      <c r="V34" s="24">
        <f t="shared" si="79"/>
        <v>50000</v>
      </c>
      <c r="W34" s="24">
        <f t="shared" si="79"/>
        <v>639093.68</v>
      </c>
      <c r="X34" s="24">
        <f t="shared" si="79"/>
        <v>2520090.98</v>
      </c>
      <c r="Y34" s="24">
        <f t="shared" si="79"/>
        <v>14957736.649999999</v>
      </c>
      <c r="Z34" s="24">
        <f t="shared" si="79"/>
        <v>5407606.05</v>
      </c>
      <c r="AA34" s="24">
        <f t="shared" si="79"/>
        <v>1931857.95</v>
      </c>
      <c r="AB34" s="24">
        <f t="shared" si="79"/>
        <v>110458.95</v>
      </c>
      <c r="AC34" s="24">
        <f>MAX(AC3:AC31)</f>
        <v>5130.95</v>
      </c>
      <c r="AD34" s="24">
        <f t="shared" si="79"/>
        <v>193181.4</v>
      </c>
      <c r="AE34" s="24">
        <f t="shared" si="79"/>
        <v>6013661.899999999</v>
      </c>
      <c r="AF34" s="24">
        <f t="shared" si="79"/>
        <v>246083.7</v>
      </c>
      <c r="AG34" s="24">
        <f t="shared" si="79"/>
        <v>1454870.39</v>
      </c>
      <c r="AH34" s="24">
        <f t="shared" si="79"/>
        <v>874700</v>
      </c>
      <c r="AI34" s="24">
        <f t="shared" si="79"/>
        <v>7140051.35</v>
      </c>
      <c r="AJ34" s="24">
        <f t="shared" si="79"/>
        <v>785556</v>
      </c>
      <c r="AK34" s="24">
        <f t="shared" si="79"/>
        <v>582110.91</v>
      </c>
      <c r="AL34" s="24">
        <f t="shared" si="79"/>
        <v>1132067.9</v>
      </c>
      <c r="AM34" s="24">
        <f t="shared" si="79"/>
        <v>119844.35</v>
      </c>
      <c r="AN34" s="24">
        <f t="shared" si="79"/>
        <v>662059.7</v>
      </c>
      <c r="AO34" s="24">
        <f t="shared" si="79"/>
        <v>72617.55</v>
      </c>
      <c r="AP34" s="24">
        <f t="shared" si="79"/>
        <v>649439.35</v>
      </c>
      <c r="AQ34" s="24">
        <f t="shared" si="79"/>
        <v>11016.9</v>
      </c>
      <c r="AR34" s="24">
        <f t="shared" si="79"/>
        <v>0</v>
      </c>
      <c r="AS34" s="24">
        <f t="shared" si="79"/>
        <v>662059.7</v>
      </c>
      <c r="AT34" s="24">
        <f t="shared" si="79"/>
        <v>2534560.17</v>
      </c>
      <c r="AU34" s="24">
        <f t="shared" si="79"/>
        <v>14033678.56</v>
      </c>
      <c r="AV34" s="24">
        <f t="shared" si="79"/>
        <v>255694.1</v>
      </c>
      <c r="AW34" s="24">
        <f t="shared" si="79"/>
        <v>2058875.99</v>
      </c>
      <c r="AX34" s="24">
        <f t="shared" si="79"/>
        <v>0.05000000023301254</v>
      </c>
      <c r="AY34" s="24">
        <f t="shared" si="79"/>
        <v>1031481.5</v>
      </c>
      <c r="AZ34" s="24">
        <f t="shared" si="79"/>
        <v>4945037.45</v>
      </c>
      <c r="BA34" s="24">
        <f t="shared" si="79"/>
        <v>114000</v>
      </c>
      <c r="BB34" s="24">
        <f t="shared" si="79"/>
        <v>45895</v>
      </c>
      <c r="BC34" s="24">
        <f t="shared" si="79"/>
        <v>886100</v>
      </c>
      <c r="BD34" s="24">
        <f t="shared" si="79"/>
        <v>85400</v>
      </c>
      <c r="BE34" s="24">
        <f t="shared" si="79"/>
        <v>445712.4</v>
      </c>
      <c r="BF34" s="24">
        <f t="shared" si="79"/>
        <v>5390749.850000001</v>
      </c>
      <c r="BG34" s="24">
        <f t="shared" si="79"/>
        <v>134355</v>
      </c>
      <c r="BH34" s="24">
        <f t="shared" si="79"/>
        <v>929142.85</v>
      </c>
      <c r="BI34" s="24">
        <f t="shared" si="79"/>
        <v>0</v>
      </c>
      <c r="BJ34" s="24">
        <f t="shared" si="79"/>
        <v>450000</v>
      </c>
      <c r="BK34" s="24">
        <f t="shared" si="79"/>
        <v>2000</v>
      </c>
      <c r="BL34" s="24">
        <f t="shared" si="79"/>
        <v>563649.8</v>
      </c>
      <c r="BM34" s="24">
        <f t="shared" si="79"/>
        <v>2778521.3</v>
      </c>
      <c r="BN34" s="24">
        <f aca="true" t="shared" si="80" ref="BN34:DK34">MAX(BN3:BN31)</f>
        <v>85400</v>
      </c>
      <c r="BO34" s="24">
        <f t="shared" si="80"/>
        <v>2778521.3</v>
      </c>
      <c r="BP34" s="24">
        <f t="shared" si="80"/>
        <v>2778521.3</v>
      </c>
      <c r="BQ34" s="24">
        <f t="shared" si="80"/>
        <v>6011</v>
      </c>
      <c r="BR34" s="24">
        <f t="shared" si="80"/>
        <v>5390749.85</v>
      </c>
      <c r="BS34" s="24">
        <f t="shared" si="80"/>
        <v>0</v>
      </c>
      <c r="BT34" s="24">
        <f t="shared" si="80"/>
        <v>16546056</v>
      </c>
      <c r="BU34" s="24">
        <f t="shared" si="80"/>
        <v>32024460.5</v>
      </c>
      <c r="BV34" s="24">
        <f t="shared" si="80"/>
        <v>1468319.95</v>
      </c>
      <c r="BW34" s="24">
        <f t="shared" si="80"/>
        <v>2621335.77</v>
      </c>
      <c r="BX34" s="24">
        <f t="shared" si="80"/>
        <v>39678081.14</v>
      </c>
      <c r="BY34" s="24">
        <f t="shared" si="80"/>
        <v>26832375.9</v>
      </c>
      <c r="BZ34" s="24">
        <f t="shared" si="80"/>
        <v>7914090.7</v>
      </c>
      <c r="CA34" s="24">
        <f t="shared" si="80"/>
        <v>12797321.39</v>
      </c>
      <c r="CB34" s="24">
        <f t="shared" si="80"/>
        <v>39678081.14</v>
      </c>
      <c r="CC34" s="24">
        <f t="shared" si="80"/>
        <v>0.10000000149011612</v>
      </c>
      <c r="CD34" s="24">
        <f t="shared" si="80"/>
        <v>1634338.01</v>
      </c>
      <c r="CE34" s="24">
        <f t="shared" si="80"/>
        <v>1680816.8</v>
      </c>
      <c r="CF34" s="24">
        <f t="shared" si="80"/>
        <v>2612228.55</v>
      </c>
      <c r="CG34" s="24">
        <f t="shared" si="80"/>
        <v>11452416.31</v>
      </c>
      <c r="CH34" s="24">
        <f t="shared" si="80"/>
        <v>685355.75</v>
      </c>
      <c r="CI34" s="24">
        <f t="shared" si="80"/>
        <v>2701541.1</v>
      </c>
      <c r="CJ34" s="93">
        <f t="shared" si="80"/>
        <v>13.213928538958086</v>
      </c>
      <c r="CK34" s="93">
        <f t="shared" si="80"/>
        <v>13.351486498772616</v>
      </c>
      <c r="CL34" s="93">
        <f t="shared" si="80"/>
        <v>0.5037564148213198</v>
      </c>
      <c r="CM34" s="93">
        <f t="shared" si="80"/>
        <v>0.33438376427335453</v>
      </c>
      <c r="CN34" s="93">
        <f t="shared" si="80"/>
        <v>0.17488115354640316</v>
      </c>
      <c r="CO34" s="93">
        <f t="shared" si="80"/>
        <v>0.3109108671070591</v>
      </c>
      <c r="CP34" s="93">
        <f t="shared" si="80"/>
        <v>0.7230783363076843</v>
      </c>
      <c r="CQ34" s="93">
        <f t="shared" si="80"/>
        <v>0.4700950168937829</v>
      </c>
      <c r="CR34" s="24">
        <f t="shared" si="80"/>
        <v>185.107695941159</v>
      </c>
      <c r="CS34" s="24">
        <f t="shared" si="80"/>
        <v>9243781.2</v>
      </c>
      <c r="CT34" s="24">
        <f t="shared" si="80"/>
        <v>12535673.899999999</v>
      </c>
      <c r="CU34" s="24">
        <f t="shared" si="80"/>
        <v>14033678.56</v>
      </c>
      <c r="CV34" s="24">
        <f t="shared" si="80"/>
        <v>1634338.009999996</v>
      </c>
      <c r="CW34" s="24">
        <f t="shared" si="80"/>
        <v>0</v>
      </c>
      <c r="CX34" s="24">
        <f t="shared" si="80"/>
        <v>1634338.009999996</v>
      </c>
      <c r="CY34" s="24">
        <f t="shared" si="80"/>
        <v>255694.09999999957</v>
      </c>
      <c r="CZ34" s="24">
        <f t="shared" si="80"/>
        <v>2612228.55</v>
      </c>
      <c r="DA34" s="24">
        <f t="shared" si="80"/>
        <v>2422062.75</v>
      </c>
      <c r="DB34" s="24">
        <f t="shared" si="80"/>
        <v>1481307.6</v>
      </c>
      <c r="DC34" s="24">
        <f t="shared" si="80"/>
        <v>-8978</v>
      </c>
      <c r="DD34" s="24">
        <f t="shared" si="80"/>
        <v>255694.09999999957</v>
      </c>
      <c r="DE34" s="24">
        <f t="shared" si="80"/>
        <v>5991251.399999999</v>
      </c>
      <c r="DF34" s="24">
        <f t="shared" si="80"/>
        <v>6469.38955479452</v>
      </c>
      <c r="DG34" s="24">
        <f t="shared" si="80"/>
        <v>412.7589912280701</v>
      </c>
      <c r="DH34" s="24">
        <f t="shared" si="80"/>
        <v>1524.385465116279</v>
      </c>
      <c r="DI34" s="24">
        <f t="shared" si="80"/>
        <v>1621.031281407035</v>
      </c>
      <c r="DJ34" s="24">
        <f t="shared" si="80"/>
        <v>1414.8114613180517</v>
      </c>
      <c r="DK34" s="24">
        <f t="shared" si="80"/>
        <v>7636388.99</v>
      </c>
      <c r="DL34" s="13">
        <f>MAX(DL3:DL31)</f>
        <v>0</v>
      </c>
      <c r="DM34" s="26">
        <f>MAX(DM3:DM31)</f>
        <v>0</v>
      </c>
    </row>
    <row r="35" spans="1:117" ht="13.5" thickBot="1">
      <c r="A35" s="32" t="s">
        <v>49</v>
      </c>
      <c r="B35" s="27">
        <f aca="true" t="shared" si="81" ref="B35:BM35">MEDIAN(B3:B31)</f>
        <v>607</v>
      </c>
      <c r="C35" s="27">
        <f t="shared" si="81"/>
        <v>1416528</v>
      </c>
      <c r="D35" s="28">
        <f t="shared" si="81"/>
        <v>2722.5</v>
      </c>
      <c r="E35" s="28">
        <f t="shared" si="81"/>
        <v>82.08</v>
      </c>
      <c r="F35" s="118">
        <f t="shared" si="81"/>
        <v>6</v>
      </c>
      <c r="G35" s="125">
        <f t="shared" si="81"/>
        <v>580724.95</v>
      </c>
      <c r="H35" s="27">
        <f t="shared" si="81"/>
        <v>461704.65</v>
      </c>
      <c r="I35" s="27">
        <f t="shared" si="81"/>
        <v>32928.25</v>
      </c>
      <c r="J35" s="27">
        <f t="shared" si="81"/>
        <v>3893.95</v>
      </c>
      <c r="K35" s="27">
        <f t="shared" si="81"/>
        <v>150500</v>
      </c>
      <c r="L35" s="27">
        <f t="shared" si="81"/>
        <v>653.4</v>
      </c>
      <c r="M35" s="27">
        <f t="shared" si="81"/>
        <v>233066.55</v>
      </c>
      <c r="N35" s="27">
        <f t="shared" si="81"/>
        <v>0</v>
      </c>
      <c r="O35" s="27">
        <f t="shared" si="81"/>
        <v>103344.5</v>
      </c>
      <c r="P35" s="27">
        <f t="shared" si="81"/>
        <v>199152.6</v>
      </c>
      <c r="Q35" s="27">
        <f t="shared" si="81"/>
        <v>549.3</v>
      </c>
      <c r="R35" s="27">
        <f t="shared" si="81"/>
        <v>36109.85</v>
      </c>
      <c r="S35" s="27">
        <f t="shared" si="81"/>
        <v>0</v>
      </c>
      <c r="T35" s="27">
        <f t="shared" si="81"/>
        <v>0</v>
      </c>
      <c r="U35" s="27">
        <f t="shared" si="81"/>
        <v>0</v>
      </c>
      <c r="V35" s="27">
        <f t="shared" si="81"/>
        <v>0</v>
      </c>
      <c r="W35" s="27">
        <f t="shared" si="81"/>
        <v>51216.65</v>
      </c>
      <c r="X35" s="27">
        <f t="shared" si="81"/>
        <v>352709</v>
      </c>
      <c r="Y35" s="27">
        <f t="shared" si="81"/>
        <v>2073862</v>
      </c>
      <c r="Z35" s="27">
        <f t="shared" si="81"/>
        <v>465153.80000000005</v>
      </c>
      <c r="AA35" s="27">
        <f t="shared" si="81"/>
        <v>18512.1</v>
      </c>
      <c r="AB35" s="27">
        <f t="shared" si="81"/>
        <v>4993</v>
      </c>
      <c r="AC35" s="27">
        <f>MEDIAN(AC3:AC31)</f>
        <v>0</v>
      </c>
      <c r="AD35" s="27">
        <f t="shared" si="81"/>
        <v>5345</v>
      </c>
      <c r="AE35" s="27">
        <f t="shared" si="81"/>
        <v>516119.1</v>
      </c>
      <c r="AF35" s="27">
        <f t="shared" si="81"/>
        <v>79.2</v>
      </c>
      <c r="AG35" s="27">
        <f t="shared" si="81"/>
        <v>96262.88</v>
      </c>
      <c r="AH35" s="27">
        <f t="shared" si="81"/>
        <v>0</v>
      </c>
      <c r="AI35" s="27">
        <f t="shared" si="81"/>
        <v>466493.3</v>
      </c>
      <c r="AJ35" s="27">
        <f t="shared" si="81"/>
        <v>45859</v>
      </c>
      <c r="AK35" s="27">
        <f t="shared" si="81"/>
        <v>39362.9</v>
      </c>
      <c r="AL35" s="27">
        <f t="shared" si="81"/>
        <v>135752.85</v>
      </c>
      <c r="AM35" s="27">
        <f t="shared" si="81"/>
        <v>0</v>
      </c>
      <c r="AN35" s="27">
        <f t="shared" si="81"/>
        <v>14026</v>
      </c>
      <c r="AO35" s="27">
        <f t="shared" si="81"/>
        <v>0</v>
      </c>
      <c r="AP35" s="27">
        <f t="shared" si="81"/>
        <v>0</v>
      </c>
      <c r="AQ35" s="27">
        <f t="shared" si="81"/>
        <v>0</v>
      </c>
      <c r="AR35" s="27">
        <f t="shared" si="81"/>
        <v>0</v>
      </c>
      <c r="AS35" s="27">
        <f t="shared" si="81"/>
        <v>26584.21</v>
      </c>
      <c r="AT35" s="27">
        <f t="shared" si="81"/>
        <v>358720</v>
      </c>
      <c r="AU35" s="27">
        <f t="shared" si="81"/>
        <v>1794812.5499999998</v>
      </c>
      <c r="AV35" s="27">
        <f t="shared" si="81"/>
        <v>787.77</v>
      </c>
      <c r="AW35" s="27">
        <f t="shared" si="81"/>
        <v>0</v>
      </c>
      <c r="AX35" s="27">
        <f t="shared" si="81"/>
        <v>5.5933924159035087E-11</v>
      </c>
      <c r="AY35" s="27">
        <f t="shared" si="81"/>
        <v>3257.2</v>
      </c>
      <c r="AZ35" s="27">
        <f t="shared" si="81"/>
        <v>468991</v>
      </c>
      <c r="BA35" s="27">
        <f t="shared" si="81"/>
        <v>0</v>
      </c>
      <c r="BB35" s="27">
        <f t="shared" si="81"/>
        <v>0</v>
      </c>
      <c r="BC35" s="27">
        <f t="shared" si="81"/>
        <v>0</v>
      </c>
      <c r="BD35" s="27">
        <f t="shared" si="81"/>
        <v>0</v>
      </c>
      <c r="BE35" s="27">
        <f t="shared" si="81"/>
        <v>0</v>
      </c>
      <c r="BF35" s="27">
        <f t="shared" si="81"/>
        <v>480121.85</v>
      </c>
      <c r="BG35" s="27">
        <f t="shared" si="81"/>
        <v>0</v>
      </c>
      <c r="BH35" s="27">
        <f t="shared" si="81"/>
        <v>8389.55</v>
      </c>
      <c r="BI35" s="27">
        <f t="shared" si="81"/>
        <v>0</v>
      </c>
      <c r="BJ35" s="27">
        <f t="shared" si="81"/>
        <v>0</v>
      </c>
      <c r="BK35" s="27">
        <f t="shared" si="81"/>
        <v>0</v>
      </c>
      <c r="BL35" s="27">
        <f t="shared" si="81"/>
        <v>0</v>
      </c>
      <c r="BM35" s="27">
        <f t="shared" si="81"/>
        <v>96510</v>
      </c>
      <c r="BN35" s="27">
        <f aca="true" t="shared" si="82" ref="BN35:DK35">MEDIAN(BN3:BN31)</f>
        <v>0</v>
      </c>
      <c r="BO35" s="27">
        <f t="shared" si="82"/>
        <v>293418.6</v>
      </c>
      <c r="BP35" s="27">
        <f t="shared" si="82"/>
        <v>194351</v>
      </c>
      <c r="BQ35" s="27">
        <f t="shared" si="82"/>
        <v>0</v>
      </c>
      <c r="BR35" s="27">
        <f t="shared" si="82"/>
        <v>480121.85</v>
      </c>
      <c r="BS35" s="27">
        <f t="shared" si="82"/>
        <v>0</v>
      </c>
      <c r="BT35" s="27">
        <f t="shared" si="82"/>
        <v>2771446.17</v>
      </c>
      <c r="BU35" s="27">
        <f t="shared" si="82"/>
        <v>923239.7</v>
      </c>
      <c r="BV35" s="27">
        <f t="shared" si="82"/>
        <v>0</v>
      </c>
      <c r="BW35" s="27">
        <f t="shared" si="82"/>
        <v>0</v>
      </c>
      <c r="BX35" s="27">
        <f t="shared" si="82"/>
        <v>3983946</v>
      </c>
      <c r="BY35" s="27">
        <f t="shared" si="82"/>
        <v>2081912</v>
      </c>
      <c r="BZ35" s="27">
        <f t="shared" si="82"/>
        <v>1204477.75</v>
      </c>
      <c r="CA35" s="27">
        <f t="shared" si="82"/>
        <v>594112.57</v>
      </c>
      <c r="CB35" s="27">
        <f t="shared" si="82"/>
        <v>3983946</v>
      </c>
      <c r="CC35" s="27">
        <f t="shared" si="82"/>
        <v>0</v>
      </c>
      <c r="CD35" s="27">
        <f t="shared" si="82"/>
        <v>211970.4</v>
      </c>
      <c r="CE35" s="27">
        <f t="shared" si="82"/>
        <v>276209.79999999993</v>
      </c>
      <c r="CF35" s="27">
        <f t="shared" si="82"/>
        <v>178052.05000000005</v>
      </c>
      <c r="CG35" s="27">
        <f t="shared" si="82"/>
        <v>1623731</v>
      </c>
      <c r="CH35" s="27">
        <f t="shared" si="82"/>
        <v>-32049.2</v>
      </c>
      <c r="CI35" s="27">
        <f t="shared" si="82"/>
        <v>116856.7</v>
      </c>
      <c r="CJ35" s="94">
        <f t="shared" si="82"/>
        <v>0.6254079441928967</v>
      </c>
      <c r="CK35" s="94">
        <f t="shared" si="82"/>
        <v>0.8037353466471827</v>
      </c>
      <c r="CL35" s="94">
        <f t="shared" si="82"/>
        <v>0.08960852660438928</v>
      </c>
      <c r="CM35" s="94">
        <f t="shared" si="82"/>
        <v>0.15090704202641572</v>
      </c>
      <c r="CN35" s="94">
        <f t="shared" si="82"/>
        <v>-0.016621539474643704</v>
      </c>
      <c r="CO35" s="94">
        <f t="shared" si="82"/>
        <v>0.048827095869965594</v>
      </c>
      <c r="CP35" s="94">
        <f t="shared" si="82"/>
        <v>0.15377788114877744</v>
      </c>
      <c r="CQ35" s="94">
        <f t="shared" si="82"/>
        <v>0.10218465211354874</v>
      </c>
      <c r="CR35" s="27">
        <f t="shared" si="82"/>
        <v>2.7577641188947015</v>
      </c>
      <c r="CS35" s="27">
        <f t="shared" si="82"/>
        <v>636064.9700000001</v>
      </c>
      <c r="CT35" s="27">
        <f t="shared" si="82"/>
        <v>1868425</v>
      </c>
      <c r="CU35" s="27">
        <f t="shared" si="82"/>
        <v>1794812.5499999998</v>
      </c>
      <c r="CV35" s="27">
        <f t="shared" si="82"/>
        <v>211970.40000000014</v>
      </c>
      <c r="CW35" s="27">
        <f t="shared" si="82"/>
        <v>0</v>
      </c>
      <c r="CX35" s="27">
        <f t="shared" si="82"/>
        <v>211970.40000000014</v>
      </c>
      <c r="CY35" s="27">
        <f t="shared" si="82"/>
        <v>787.7699999989127</v>
      </c>
      <c r="CZ35" s="27">
        <f t="shared" si="82"/>
        <v>178052.05000000005</v>
      </c>
      <c r="DA35" s="27">
        <f t="shared" si="82"/>
        <v>233066.55</v>
      </c>
      <c r="DB35" s="27">
        <f t="shared" si="82"/>
        <v>-23745.70000000023</v>
      </c>
      <c r="DC35" s="27">
        <f t="shared" si="82"/>
        <v>-429865.85</v>
      </c>
      <c r="DD35" s="27">
        <f t="shared" si="82"/>
        <v>787.7699999988545</v>
      </c>
      <c r="DE35" s="27">
        <f t="shared" si="82"/>
        <v>480743.5</v>
      </c>
      <c r="DF35" s="27">
        <f t="shared" si="82"/>
        <v>1041.9014602524737</v>
      </c>
      <c r="DG35" s="27">
        <f t="shared" si="82"/>
        <v>-32.56555783009212</v>
      </c>
      <c r="DH35" s="27">
        <f t="shared" si="82"/>
        <v>957.8798795180722</v>
      </c>
      <c r="DI35" s="27">
        <f t="shared" si="82"/>
        <v>373.75967906265925</v>
      </c>
      <c r="DJ35" s="27">
        <f t="shared" si="82"/>
        <v>-93.12039215686364</v>
      </c>
      <c r="DK35" s="27">
        <f t="shared" si="82"/>
        <v>-400001.6699999999</v>
      </c>
      <c r="DL35" s="29" t="e">
        <f>MEDIAN(DL3:DL31)</f>
        <v>#NUM!</v>
      </c>
      <c r="DM35" s="30" t="e">
        <f>MEDIAN(DM3:DM31)</f>
        <v>#NUM!</v>
      </c>
    </row>
    <row r="37" spans="1:118" s="9" customFormat="1" ht="12.75">
      <c r="A37" s="3" t="s">
        <v>247</v>
      </c>
      <c r="B37" s="17">
        <f>SUM(B3:B31)</f>
        <v>38207</v>
      </c>
      <c r="C37" s="17">
        <f>SUM(C3:C31)</f>
        <v>126728843</v>
      </c>
      <c r="D37" s="17">
        <f>D35</f>
        <v>2722.5</v>
      </c>
      <c r="E37" s="146">
        <f>E35</f>
        <v>82.08</v>
      </c>
      <c r="F37" s="17">
        <f>SUM(F3:F31)</f>
        <v>175</v>
      </c>
      <c r="G37" s="17">
        <f aca="true" t="shared" si="83" ref="G37:BN37">SUM(G3:G31)</f>
        <v>28885737.700000003</v>
      </c>
      <c r="H37" s="17">
        <f t="shared" si="83"/>
        <v>30199805.2</v>
      </c>
      <c r="I37" s="17">
        <f t="shared" si="83"/>
        <v>3351570.58</v>
      </c>
      <c r="J37" s="17">
        <f t="shared" si="83"/>
        <v>3236117.6900000004</v>
      </c>
      <c r="K37" s="17">
        <f t="shared" si="83"/>
        <v>8937659.19</v>
      </c>
      <c r="L37" s="17">
        <f t="shared" si="83"/>
        <v>3711168.6499999994</v>
      </c>
      <c r="M37" s="17">
        <f t="shared" si="83"/>
        <v>12648827.840000002</v>
      </c>
      <c r="N37" s="17">
        <f t="shared" si="83"/>
        <v>519579.86</v>
      </c>
      <c r="O37" s="17">
        <f t="shared" si="83"/>
        <v>4528892.15</v>
      </c>
      <c r="P37" s="17">
        <f t="shared" si="83"/>
        <v>10869855.799999999</v>
      </c>
      <c r="Q37" s="17">
        <f t="shared" si="83"/>
        <v>267438.45</v>
      </c>
      <c r="R37" s="17">
        <f t="shared" si="83"/>
        <v>2489565.96</v>
      </c>
      <c r="S37" s="17">
        <f t="shared" si="83"/>
        <v>173663.05</v>
      </c>
      <c r="T37" s="17">
        <f t="shared" si="83"/>
        <v>1366604.2</v>
      </c>
      <c r="U37" s="17">
        <f t="shared" si="83"/>
        <v>161582.64</v>
      </c>
      <c r="V37" s="17">
        <f t="shared" si="83"/>
        <v>50000</v>
      </c>
      <c r="W37" s="17">
        <f t="shared" si="83"/>
        <v>4241415.850000001</v>
      </c>
      <c r="X37" s="17">
        <f t="shared" si="83"/>
        <v>16384876.460000003</v>
      </c>
      <c r="Y37" s="17">
        <f t="shared" si="83"/>
        <v>115134117.58</v>
      </c>
      <c r="Z37" s="17">
        <f t="shared" si="83"/>
        <v>30909663.240000006</v>
      </c>
      <c r="AA37" s="17">
        <f t="shared" si="83"/>
        <v>4966427.059999998</v>
      </c>
      <c r="AB37" s="17">
        <f t="shared" si="83"/>
        <v>398971.95</v>
      </c>
      <c r="AC37" s="17">
        <f t="shared" si="83"/>
        <v>5130.95</v>
      </c>
      <c r="AD37" s="17">
        <f t="shared" si="83"/>
        <v>442338.2</v>
      </c>
      <c r="AE37" s="17">
        <f t="shared" si="83"/>
        <v>36722531.39999999</v>
      </c>
      <c r="AF37" s="17">
        <f t="shared" si="83"/>
        <v>767172.8</v>
      </c>
      <c r="AG37" s="17">
        <f t="shared" si="83"/>
        <v>7621950.37</v>
      </c>
      <c r="AH37" s="17">
        <f t="shared" si="83"/>
        <v>1736843</v>
      </c>
      <c r="AI37" s="17">
        <f t="shared" si="83"/>
        <v>33310451.770000003</v>
      </c>
      <c r="AJ37" s="17">
        <f t="shared" si="83"/>
        <v>4219570.25</v>
      </c>
      <c r="AK37" s="17">
        <f t="shared" si="83"/>
        <v>2318710.71</v>
      </c>
      <c r="AL37" s="17">
        <f t="shared" si="83"/>
        <v>7015978.199999999</v>
      </c>
      <c r="AM37" s="17">
        <f t="shared" si="83"/>
        <v>250880.1</v>
      </c>
      <c r="AN37" s="17">
        <f t="shared" si="83"/>
        <v>1838668.3699999999</v>
      </c>
      <c r="AO37" s="17">
        <f t="shared" si="83"/>
        <v>232551.89</v>
      </c>
      <c r="AP37" s="17">
        <f t="shared" si="83"/>
        <v>733439.35</v>
      </c>
      <c r="AQ37" s="17">
        <f t="shared" si="83"/>
        <v>13016.9</v>
      </c>
      <c r="AR37" s="17">
        <f t="shared" si="83"/>
        <v>0</v>
      </c>
      <c r="AS37" s="17">
        <f t="shared" si="83"/>
        <v>2817676.5099999993</v>
      </c>
      <c r="AT37" s="17">
        <f t="shared" si="83"/>
        <v>16523902.75</v>
      </c>
      <c r="AU37" s="17">
        <f t="shared" si="83"/>
        <v>111568824.86</v>
      </c>
      <c r="AV37" s="17">
        <f t="shared" si="83"/>
        <v>875000.67</v>
      </c>
      <c r="AW37" s="17">
        <f t="shared" si="83"/>
        <v>4440293.329999999</v>
      </c>
      <c r="AX37" s="4">
        <f>Y37-AU37+AV37-AW37</f>
        <v>0.05999999959021807</v>
      </c>
      <c r="AY37" s="17">
        <f t="shared" si="83"/>
        <v>2536540.8500000006</v>
      </c>
      <c r="AZ37" s="17">
        <f t="shared" si="83"/>
        <v>25125249.12</v>
      </c>
      <c r="BA37" s="17">
        <f t="shared" si="83"/>
        <v>162909</v>
      </c>
      <c r="BB37" s="17">
        <f t="shared" si="83"/>
        <v>128581.5</v>
      </c>
      <c r="BC37" s="17">
        <f t="shared" si="83"/>
        <v>3082244.95</v>
      </c>
      <c r="BD37" s="17">
        <f t="shared" si="83"/>
        <v>85400</v>
      </c>
      <c r="BE37" s="17">
        <f t="shared" si="83"/>
        <v>1042534.7000000001</v>
      </c>
      <c r="BF37" s="17">
        <f t="shared" si="83"/>
        <v>29626919.27</v>
      </c>
      <c r="BG37" s="17">
        <f t="shared" si="83"/>
        <v>158440.7</v>
      </c>
      <c r="BH37" s="17">
        <f t="shared" si="83"/>
        <v>2427844.58</v>
      </c>
      <c r="BI37" s="17">
        <f t="shared" si="83"/>
        <v>0</v>
      </c>
      <c r="BJ37" s="17">
        <f t="shared" si="83"/>
        <v>595000</v>
      </c>
      <c r="BK37" s="17">
        <f t="shared" si="83"/>
        <v>2000</v>
      </c>
      <c r="BL37" s="17">
        <f t="shared" si="83"/>
        <v>1354643.05</v>
      </c>
      <c r="BM37" s="17">
        <f t="shared" si="83"/>
        <v>7538821.25</v>
      </c>
      <c r="BN37" s="17">
        <f t="shared" si="83"/>
        <v>130400</v>
      </c>
      <c r="BO37" s="17">
        <f>SUM(BO3:BO31)</f>
        <v>12207149.579999998</v>
      </c>
      <c r="BP37" s="17">
        <f>SUM(BP3:BP31)</f>
        <v>11924736.33</v>
      </c>
      <c r="BQ37" s="17">
        <f>SUM(BQ3:BQ31)</f>
        <v>6011</v>
      </c>
      <c r="BR37" s="17">
        <f>SUM(BR3:BR31)</f>
        <v>29350517.02</v>
      </c>
      <c r="BS37" s="43">
        <f>+BF37-BO37+BP37+BQ37-BR37</f>
        <v>0</v>
      </c>
      <c r="BT37" s="17">
        <f aca="true" t="shared" si="84" ref="BT37:CB37">SUM(BT3:BT31)</f>
        <v>132859216.10999998</v>
      </c>
      <c r="BU37" s="17">
        <f t="shared" si="84"/>
        <v>83685963.69</v>
      </c>
      <c r="BV37" s="17">
        <f t="shared" si="84"/>
        <v>2472528.8799999994</v>
      </c>
      <c r="BW37" s="17">
        <f t="shared" si="84"/>
        <v>3908650.9000000004</v>
      </c>
      <c r="BX37" s="17">
        <f t="shared" si="84"/>
        <v>222926359.57999998</v>
      </c>
      <c r="BY37" s="17">
        <f t="shared" si="84"/>
        <v>116104076.76999998</v>
      </c>
      <c r="BZ37" s="17">
        <f t="shared" si="84"/>
        <v>49879051.720000006</v>
      </c>
      <c r="CA37" s="17">
        <f t="shared" si="84"/>
        <v>56943230.99000001</v>
      </c>
      <c r="CB37" s="17">
        <f t="shared" si="84"/>
        <v>222926359.47999996</v>
      </c>
      <c r="CC37" s="4">
        <f>BX37-CB37</f>
        <v>0.10000002384185791</v>
      </c>
      <c r="CD37" s="74">
        <f>K37+L37+AV37-AW37</f>
        <v>9083535.18</v>
      </c>
      <c r="CE37" s="76">
        <f>CD37+W37-AS37</f>
        <v>10507274.520000001</v>
      </c>
      <c r="CF37" s="76">
        <f>BR37-BP37</f>
        <v>17425780.689999998</v>
      </c>
      <c r="CG37" s="76">
        <f>AU37-AM37-AT37-AS37</f>
        <v>91976365.5</v>
      </c>
      <c r="CH37" s="76">
        <f>I37-AG37+AY37+AH37+BQ37</f>
        <v>9015.060000000522</v>
      </c>
      <c r="CI37" s="37">
        <f>CH37+K37</f>
        <v>8946674.25</v>
      </c>
      <c r="CJ37" s="59">
        <f>CD37/CF37</f>
        <v>0.5212699127570622</v>
      </c>
      <c r="CK37" s="140">
        <f>CE37/CF37</f>
        <v>0.6029729575346792</v>
      </c>
      <c r="CL37" s="64">
        <f>CD37/CG37*1</f>
        <v>0.09875944902389082</v>
      </c>
      <c r="CM37" s="64">
        <f>CE37/CG37</f>
        <v>0.11423885324105355</v>
      </c>
      <c r="CN37" s="64">
        <f>CH37/CG37</f>
        <v>9.801496233291064E-05</v>
      </c>
      <c r="CO37" s="64">
        <f>CI37/CG37</f>
        <v>0.09727144795692107</v>
      </c>
      <c r="CP37" s="64">
        <f>(K37+L37)/(BU37+K37+L37)</f>
        <v>0.1313007236441777</v>
      </c>
      <c r="CQ37" s="64">
        <f>(K37)/(BU37+K37+L37)</f>
        <v>0.0927770647348802</v>
      </c>
      <c r="CR37" s="75">
        <f>CS37/CE37</f>
        <v>1.5946227833019444</v>
      </c>
      <c r="CS37" s="76">
        <f>BT37-BY37</f>
        <v>16755139.340000004</v>
      </c>
      <c r="CT37" s="80">
        <f>Y37-K37-L37-V37</f>
        <v>102435289.74</v>
      </c>
      <c r="CU37" s="80">
        <f>AU37-AR37</f>
        <v>111568824.86</v>
      </c>
      <c r="CV37" s="80">
        <f>CU37-CT37</f>
        <v>9133535.120000005</v>
      </c>
      <c r="CW37" s="80">
        <f>-V37+AR37</f>
        <v>-50000</v>
      </c>
      <c r="CX37" s="80">
        <f>CV37+CW37</f>
        <v>9083535.120000005</v>
      </c>
      <c r="CY37" s="80">
        <f>CX37-K37-L37</f>
        <v>-3565292.719999994</v>
      </c>
      <c r="CZ37" s="80">
        <f>BR37-BP37</f>
        <v>17425780.689999998</v>
      </c>
      <c r="DA37" s="80">
        <f>K37+L37</f>
        <v>12648827.84</v>
      </c>
      <c r="DB37" s="80">
        <f>-CZ37+DA37+CY37</f>
        <v>-8342245.569999992</v>
      </c>
      <c r="DC37" s="80">
        <f>-BP37-DA37</f>
        <v>-24573564.17</v>
      </c>
      <c r="DD37" s="80">
        <f>DB37+DC37+BR37</f>
        <v>-3565292.719999995</v>
      </c>
      <c r="DE37" s="80">
        <f>Z37+AA37+AB37</f>
        <v>36275062.25000001</v>
      </c>
      <c r="DF37" s="80">
        <f>CS37/B37</f>
        <v>438.53585311592127</v>
      </c>
      <c r="DG37" s="80">
        <f>CH37/B37</f>
        <v>0.23595309759992988</v>
      </c>
      <c r="DH37" s="80">
        <f>DE37/B37</f>
        <v>949.4349791922948</v>
      </c>
      <c r="DI37" s="81">
        <f>CZ37/B37</f>
        <v>456.0886929096762</v>
      </c>
      <c r="DJ37" s="76">
        <f>DB37/B37</f>
        <v>-218.3433813175594</v>
      </c>
      <c r="DK37" s="147">
        <f>CA37-BW37-BU37</f>
        <v>-30651383.599999987</v>
      </c>
      <c r="DL37" s="67"/>
      <c r="DM37" s="67"/>
      <c r="DN37" s="68"/>
    </row>
    <row r="60" spans="1:115" ht="12.75">
      <c r="A60" s="3" t="s">
        <v>252</v>
      </c>
      <c r="B60" s="62">
        <f>B10+B20+B26</f>
        <v>1389</v>
      </c>
      <c r="C60" s="62">
        <f aca="true" t="shared" si="85" ref="C60:BN60">C10+C20+C26</f>
        <v>3351835</v>
      </c>
      <c r="D60" s="62">
        <f>(D10+D20+D26)/3</f>
        <v>2431.28</v>
      </c>
      <c r="E60" s="62">
        <f>(E10+E20+E26)/3</f>
        <v>73.29666666666667</v>
      </c>
      <c r="F60" s="62">
        <f>(F10+F20+F26)/3</f>
        <v>8</v>
      </c>
      <c r="G60" s="19">
        <f t="shared" si="85"/>
        <v>1349226.15</v>
      </c>
      <c r="H60" s="19">
        <f t="shared" si="85"/>
        <v>867037.7</v>
      </c>
      <c r="I60" s="19">
        <f t="shared" si="85"/>
        <v>123968.95</v>
      </c>
      <c r="J60" s="19">
        <f t="shared" si="85"/>
        <v>33418.95</v>
      </c>
      <c r="K60" s="19">
        <f t="shared" si="85"/>
        <v>310254.95</v>
      </c>
      <c r="L60" s="19">
        <f t="shared" si="85"/>
        <v>8116.15</v>
      </c>
      <c r="M60" s="19">
        <f t="shared" si="85"/>
        <v>318371.1</v>
      </c>
      <c r="N60" s="19">
        <f t="shared" si="85"/>
        <v>0</v>
      </c>
      <c r="O60" s="19">
        <f t="shared" si="85"/>
        <v>226995.09999999998</v>
      </c>
      <c r="P60" s="19">
        <f t="shared" si="85"/>
        <v>389016.45</v>
      </c>
      <c r="Q60" s="19">
        <f t="shared" si="85"/>
        <v>10404.75</v>
      </c>
      <c r="R60" s="19">
        <f t="shared" si="85"/>
        <v>101811.79999999999</v>
      </c>
      <c r="S60" s="19">
        <f t="shared" si="85"/>
        <v>69923</v>
      </c>
      <c r="T60" s="19">
        <f t="shared" si="85"/>
        <v>405000</v>
      </c>
      <c r="U60" s="19">
        <f t="shared" si="85"/>
        <v>0</v>
      </c>
      <c r="V60" s="19">
        <f t="shared" si="85"/>
        <v>0</v>
      </c>
      <c r="W60" s="19">
        <f t="shared" si="85"/>
        <v>576734.8</v>
      </c>
      <c r="X60" s="19">
        <f t="shared" si="85"/>
        <v>542160.4</v>
      </c>
      <c r="Y60" s="19">
        <f t="shared" si="85"/>
        <v>4437334.35</v>
      </c>
      <c r="Z60" s="19">
        <f t="shared" si="85"/>
        <v>1230635.6</v>
      </c>
      <c r="AA60" s="19">
        <f t="shared" si="85"/>
        <v>89850.3</v>
      </c>
      <c r="AB60" s="19">
        <f t="shared" si="85"/>
        <v>26861.25</v>
      </c>
      <c r="AC60" s="19">
        <f t="shared" si="85"/>
        <v>0</v>
      </c>
      <c r="AD60" s="19">
        <f t="shared" si="85"/>
        <v>51185.6</v>
      </c>
      <c r="AE60" s="19">
        <f t="shared" si="85"/>
        <v>1398532.75</v>
      </c>
      <c r="AF60" s="19">
        <f t="shared" si="85"/>
        <v>309.2</v>
      </c>
      <c r="AG60" s="19">
        <f t="shared" si="85"/>
        <v>477219.4</v>
      </c>
      <c r="AH60" s="19">
        <f t="shared" si="85"/>
        <v>0</v>
      </c>
      <c r="AI60" s="19">
        <f t="shared" si="85"/>
        <v>1458702.5</v>
      </c>
      <c r="AJ60" s="19">
        <f t="shared" si="85"/>
        <v>148315</v>
      </c>
      <c r="AK60" s="19">
        <f t="shared" si="85"/>
        <v>123218.35</v>
      </c>
      <c r="AL60" s="19">
        <f t="shared" si="85"/>
        <v>313960.9</v>
      </c>
      <c r="AM60" s="19">
        <f t="shared" si="85"/>
        <v>11124.75</v>
      </c>
      <c r="AN60" s="19">
        <f t="shared" si="85"/>
        <v>45985.4</v>
      </c>
      <c r="AO60" s="19">
        <f t="shared" si="85"/>
        <v>12131.75</v>
      </c>
      <c r="AP60" s="19">
        <f t="shared" si="85"/>
        <v>0</v>
      </c>
      <c r="AQ60" s="19">
        <f t="shared" si="85"/>
        <v>0</v>
      </c>
      <c r="AR60" s="19">
        <f t="shared" si="85"/>
        <v>0</v>
      </c>
      <c r="AS60" s="19">
        <f t="shared" si="85"/>
        <v>58117.15</v>
      </c>
      <c r="AT60" s="19">
        <f t="shared" si="85"/>
        <v>518064.79999999993</v>
      </c>
      <c r="AU60" s="19">
        <f t="shared" si="85"/>
        <v>4507564.800000001</v>
      </c>
      <c r="AV60" s="19">
        <f t="shared" si="85"/>
        <v>70230.45</v>
      </c>
      <c r="AW60" s="19">
        <f t="shared" si="85"/>
        <v>0</v>
      </c>
      <c r="AX60" s="19">
        <f t="shared" si="85"/>
        <v>-1.8326318240724504E-10</v>
      </c>
      <c r="AY60" s="19">
        <f t="shared" si="85"/>
        <v>57413.25</v>
      </c>
      <c r="AZ60" s="19">
        <f t="shared" si="85"/>
        <v>518871.05</v>
      </c>
      <c r="BA60" s="19">
        <f t="shared" si="85"/>
        <v>0</v>
      </c>
      <c r="BB60" s="19">
        <f t="shared" si="85"/>
        <v>0</v>
      </c>
      <c r="BC60" s="19">
        <f t="shared" si="85"/>
        <v>295906.55</v>
      </c>
      <c r="BD60" s="19">
        <f t="shared" si="85"/>
        <v>0</v>
      </c>
      <c r="BE60" s="19">
        <f t="shared" si="85"/>
        <v>0</v>
      </c>
      <c r="BF60" s="19">
        <f t="shared" si="85"/>
        <v>814777.6</v>
      </c>
      <c r="BG60" s="19">
        <f t="shared" si="85"/>
        <v>11576</v>
      </c>
      <c r="BH60" s="19">
        <f t="shared" si="85"/>
        <v>99651.75</v>
      </c>
      <c r="BI60" s="19">
        <f t="shared" si="85"/>
        <v>0</v>
      </c>
      <c r="BJ60" s="19">
        <f t="shared" si="85"/>
        <v>145000</v>
      </c>
      <c r="BK60" s="19">
        <f t="shared" si="85"/>
        <v>0</v>
      </c>
      <c r="BL60" s="19">
        <f t="shared" si="85"/>
        <v>0</v>
      </c>
      <c r="BM60" s="19">
        <f t="shared" si="85"/>
        <v>231507.8</v>
      </c>
      <c r="BN60" s="19">
        <f t="shared" si="85"/>
        <v>0</v>
      </c>
      <c r="BO60" s="19">
        <f aca="true" t="shared" si="86" ref="BO60:CI60">BO10+BO20+BO26</f>
        <v>487735.55</v>
      </c>
      <c r="BP60" s="19">
        <f t="shared" si="86"/>
        <v>487735.55</v>
      </c>
      <c r="BQ60" s="19">
        <f t="shared" si="86"/>
        <v>0</v>
      </c>
      <c r="BR60" s="19">
        <f t="shared" si="86"/>
        <v>814777.6</v>
      </c>
      <c r="BS60" s="19">
        <f t="shared" si="86"/>
        <v>0</v>
      </c>
      <c r="BT60" s="19">
        <f t="shared" si="86"/>
        <v>6863178.88</v>
      </c>
      <c r="BU60" s="19">
        <f t="shared" si="86"/>
        <v>2074087.2</v>
      </c>
      <c r="BV60" s="19">
        <f t="shared" si="86"/>
        <v>76071.7</v>
      </c>
      <c r="BW60" s="19">
        <f t="shared" si="86"/>
        <v>0</v>
      </c>
      <c r="BX60" s="19">
        <f t="shared" si="86"/>
        <v>9013337.78</v>
      </c>
      <c r="BY60" s="19">
        <f t="shared" si="86"/>
        <v>4178721.6</v>
      </c>
      <c r="BZ60" s="19">
        <f t="shared" si="86"/>
        <v>3489013.1999999997</v>
      </c>
      <c r="CA60" s="19">
        <f t="shared" si="86"/>
        <v>1345602.98</v>
      </c>
      <c r="CB60" s="19">
        <f t="shared" si="86"/>
        <v>9013337.78</v>
      </c>
      <c r="CC60" s="19">
        <f t="shared" si="86"/>
        <v>0</v>
      </c>
      <c r="CD60" s="19">
        <f t="shared" si="86"/>
        <v>388601.55</v>
      </c>
      <c r="CE60" s="19">
        <f t="shared" si="86"/>
        <v>907219.2</v>
      </c>
      <c r="CF60" s="19">
        <f t="shared" si="86"/>
        <v>327042.05</v>
      </c>
      <c r="CG60" s="19">
        <f t="shared" si="86"/>
        <v>3920258.1000000006</v>
      </c>
      <c r="CH60" s="19">
        <f t="shared" si="86"/>
        <v>-295837.2</v>
      </c>
      <c r="CI60" s="19">
        <f t="shared" si="86"/>
        <v>14417.749999999978</v>
      </c>
      <c r="CJ60" s="154">
        <f aca="true" t="shared" si="87" ref="CJ60:CJ65">CD60/CF60</f>
        <v>1.188231146422914</v>
      </c>
      <c r="CK60" s="154">
        <f aca="true" t="shared" si="88" ref="CK60:CK65">CE60/CF60</f>
        <v>2.7740139226744693</v>
      </c>
      <c r="CL60" s="154">
        <f aca="true" t="shared" si="89" ref="CL60:CL65">CD60/CG60*1</f>
        <v>0.09912652179712349</v>
      </c>
      <c r="CM60" s="154">
        <f aca="true" t="shared" si="90" ref="CM60:CM65">CE60/CG60</f>
        <v>0.23141823238628084</v>
      </c>
      <c r="CN60" s="154">
        <f aca="true" t="shared" si="91" ref="CN60:CN65">CH60/CG60</f>
        <v>-0.07546370480045687</v>
      </c>
      <c r="CO60" s="154">
        <f aca="true" t="shared" si="92" ref="CO60:CO65">CI60/CG60</f>
        <v>0.003677755298815651</v>
      </c>
      <c r="CP60" s="154">
        <f aca="true" t="shared" si="93" ref="CP60:CP65">(K60+L60)/(BU60+K60+L60)</f>
        <v>0.1330727896072421</v>
      </c>
      <c r="CQ60" s="154">
        <f aca="true" t="shared" si="94" ref="CQ60:CQ65">(K60)/(BU60+K60+L60)</f>
        <v>0.12968040028116687</v>
      </c>
      <c r="CR60" s="19">
        <f aca="true" t="shared" si="95" ref="CR60:CR65">CS60/CE60</f>
        <v>2.958995224086968</v>
      </c>
      <c r="CS60" s="19">
        <f aca="true" t="shared" si="96" ref="CS60:CS65">BT60-BY60</f>
        <v>2684457.28</v>
      </c>
      <c r="CT60" s="19">
        <f aca="true" t="shared" si="97" ref="CT60:CT65">Y60-K60-L60-V60</f>
        <v>4118963.2499999995</v>
      </c>
      <c r="CU60" s="19">
        <f aca="true" t="shared" si="98" ref="CU60:CU65">AU60-AR60</f>
        <v>4507564.800000001</v>
      </c>
      <c r="CV60" s="19">
        <f aca="true" t="shared" si="99" ref="CV60:CV65">CU60-CT60</f>
        <v>388601.5500000012</v>
      </c>
      <c r="CW60" s="19">
        <f aca="true" t="shared" si="100" ref="CW60:CW65">-V60+AR60</f>
        <v>0</v>
      </c>
      <c r="CX60" s="19">
        <f aca="true" t="shared" si="101" ref="CX60:CX65">CV60+CW60</f>
        <v>388601.5500000012</v>
      </c>
      <c r="CY60" s="19">
        <f aca="true" t="shared" si="102" ref="CY60:CY65">CX60-K60-L60</f>
        <v>70230.4500000012</v>
      </c>
      <c r="CZ60" s="19">
        <f aca="true" t="shared" si="103" ref="CZ60:CZ65">BR60-BP60</f>
        <v>327042.05</v>
      </c>
      <c r="DA60" s="19">
        <f aca="true" t="shared" si="104" ref="DA60:DA65">K60+L60</f>
        <v>318371.10000000003</v>
      </c>
      <c r="DB60" s="19">
        <f aca="true" t="shared" si="105" ref="DB60:DB65">-CZ60+DA60+CY60</f>
        <v>61559.50000000125</v>
      </c>
      <c r="DC60" s="19">
        <f aca="true" t="shared" si="106" ref="DC60:DC65">-BP60-DA60</f>
        <v>-806106.65</v>
      </c>
      <c r="DD60" s="19">
        <f aca="true" t="shared" si="107" ref="DD60:DD65">DB60+DC60+BR60</f>
        <v>70230.45000000123</v>
      </c>
      <c r="DE60" s="19">
        <f aca="true" t="shared" si="108" ref="DE60:DE65">Z60+AA60+AB60</f>
        <v>1347347.1500000001</v>
      </c>
      <c r="DF60" s="19">
        <f aca="true" t="shared" si="109" ref="DF60:DF65">CS60/B60</f>
        <v>1932.6546292296614</v>
      </c>
      <c r="DG60" s="19">
        <f aca="true" t="shared" si="110" ref="DG60:DG65">CH60/B60</f>
        <v>-212.9857451403888</v>
      </c>
      <c r="DH60" s="19">
        <f aca="true" t="shared" si="111" ref="DH60:DH65">DE60/B60</f>
        <v>970.0123470122392</v>
      </c>
      <c r="DI60" s="19">
        <f aca="true" t="shared" si="112" ref="DI60:DI65">CZ60/B60</f>
        <v>235.45143988480922</v>
      </c>
      <c r="DJ60" s="19">
        <f aca="true" t="shared" si="113" ref="DJ60:DJ65">DB60/B60</f>
        <v>44.31929445644438</v>
      </c>
      <c r="DK60" s="19">
        <f aca="true" t="shared" si="114" ref="DK60:DK65">CA60-BW60-BU60</f>
        <v>-728484.22</v>
      </c>
    </row>
    <row r="61" spans="1:115" ht="12.75">
      <c r="A61" s="3" t="s">
        <v>253</v>
      </c>
      <c r="B61" s="62">
        <f>B4+B19+B21+B24+B25</f>
        <v>14287</v>
      </c>
      <c r="C61" s="62">
        <f aca="true" t="shared" si="115" ref="C61:BN61">C4+C19+C21+C24+C25</f>
        <v>46009683</v>
      </c>
      <c r="D61" s="62">
        <f>(D4+D19+D21+D24+D25)/5</f>
        <v>3028.5620000000004</v>
      </c>
      <c r="E61" s="62">
        <f>(E4+E19+E21+E24+E25)/5</f>
        <v>91.30600000000001</v>
      </c>
      <c r="F61" s="62">
        <f>(F4+F19+F21+F24+F25)/5</f>
        <v>3.4</v>
      </c>
      <c r="G61" s="19">
        <f t="shared" si="115"/>
        <v>9568894.649999999</v>
      </c>
      <c r="H61" s="19">
        <f t="shared" si="115"/>
        <v>11612810.98</v>
      </c>
      <c r="I61" s="19">
        <f t="shared" si="115"/>
        <v>564449.25</v>
      </c>
      <c r="J61" s="19">
        <f t="shared" si="115"/>
        <v>179101.69000000003</v>
      </c>
      <c r="K61" s="19">
        <f t="shared" si="115"/>
        <v>2748328.29</v>
      </c>
      <c r="L61" s="19">
        <f t="shared" si="115"/>
        <v>783643.29</v>
      </c>
      <c r="M61" s="19">
        <f t="shared" si="115"/>
        <v>3531971.58</v>
      </c>
      <c r="N61" s="19">
        <f t="shared" si="115"/>
        <v>246586.81</v>
      </c>
      <c r="O61" s="19">
        <f t="shared" si="115"/>
        <v>1580246.1500000001</v>
      </c>
      <c r="P61" s="19">
        <f t="shared" si="115"/>
        <v>3963158.7500000005</v>
      </c>
      <c r="Q61" s="19">
        <f t="shared" si="115"/>
        <v>129322.90000000001</v>
      </c>
      <c r="R61" s="19">
        <f t="shared" si="115"/>
        <v>866760.3300000001</v>
      </c>
      <c r="S61" s="19">
        <f t="shared" si="115"/>
        <v>50389.95</v>
      </c>
      <c r="T61" s="19">
        <f t="shared" si="115"/>
        <v>0</v>
      </c>
      <c r="U61" s="19">
        <f t="shared" si="115"/>
        <v>0</v>
      </c>
      <c r="V61" s="19">
        <f t="shared" si="115"/>
        <v>0</v>
      </c>
      <c r="W61" s="19">
        <f t="shared" si="115"/>
        <v>917150.28</v>
      </c>
      <c r="X61" s="19">
        <f t="shared" si="115"/>
        <v>5511477.78</v>
      </c>
      <c r="Y61" s="19">
        <f t="shared" si="115"/>
        <v>37805170.82000001</v>
      </c>
      <c r="Z61" s="19">
        <f t="shared" si="115"/>
        <v>11166272.549999999</v>
      </c>
      <c r="AA61" s="19">
        <f t="shared" si="115"/>
        <v>2432913.4499999997</v>
      </c>
      <c r="AB61" s="19">
        <f t="shared" si="115"/>
        <v>172644.9</v>
      </c>
      <c r="AC61" s="19">
        <f t="shared" si="115"/>
        <v>0</v>
      </c>
      <c r="AD61" s="19">
        <f t="shared" si="115"/>
        <v>63323.75</v>
      </c>
      <c r="AE61" s="19">
        <f t="shared" si="115"/>
        <v>13835154.650000002</v>
      </c>
      <c r="AF61" s="19">
        <f t="shared" si="115"/>
        <v>103345.55</v>
      </c>
      <c r="AG61" s="19">
        <f t="shared" si="115"/>
        <v>956552.7499999999</v>
      </c>
      <c r="AH61" s="19">
        <f t="shared" si="115"/>
        <v>41930</v>
      </c>
      <c r="AI61" s="19">
        <f t="shared" si="115"/>
        <v>12151671.13</v>
      </c>
      <c r="AJ61" s="19">
        <f t="shared" si="115"/>
        <v>956973.2000000001</v>
      </c>
      <c r="AK61" s="19">
        <f t="shared" si="115"/>
        <v>674465.3500000001</v>
      </c>
      <c r="AL61" s="19">
        <f t="shared" si="115"/>
        <v>2083064.65</v>
      </c>
      <c r="AM61" s="19">
        <f t="shared" si="115"/>
        <v>129331.25</v>
      </c>
      <c r="AN61" s="19">
        <f t="shared" si="115"/>
        <v>473086.76999999996</v>
      </c>
      <c r="AO61" s="19">
        <f t="shared" si="115"/>
        <v>60780.44</v>
      </c>
      <c r="AP61" s="19">
        <f t="shared" si="115"/>
        <v>0</v>
      </c>
      <c r="AQ61" s="19">
        <f t="shared" si="115"/>
        <v>0</v>
      </c>
      <c r="AR61" s="19">
        <f t="shared" si="115"/>
        <v>0</v>
      </c>
      <c r="AS61" s="19">
        <f t="shared" si="115"/>
        <v>533867.21</v>
      </c>
      <c r="AT61" s="19">
        <f t="shared" si="115"/>
        <v>5514610.680000001</v>
      </c>
      <c r="AU61" s="19">
        <f t="shared" si="115"/>
        <v>36939036.42</v>
      </c>
      <c r="AV61" s="19">
        <f t="shared" si="115"/>
        <v>50346.28</v>
      </c>
      <c r="AW61" s="19">
        <f t="shared" si="115"/>
        <v>916480.6699999999</v>
      </c>
      <c r="AX61" s="19">
        <f t="shared" si="115"/>
        <v>0.010000000592071956</v>
      </c>
      <c r="AY61" s="19">
        <f t="shared" si="115"/>
        <v>120542.05</v>
      </c>
      <c r="AZ61" s="19">
        <f t="shared" si="115"/>
        <v>8347865.06</v>
      </c>
      <c r="BA61" s="19">
        <f t="shared" si="115"/>
        <v>114000</v>
      </c>
      <c r="BB61" s="19">
        <f t="shared" si="115"/>
        <v>84944</v>
      </c>
      <c r="BC61" s="19">
        <f t="shared" si="115"/>
        <v>2726971.3</v>
      </c>
      <c r="BD61" s="19">
        <f t="shared" si="115"/>
        <v>0</v>
      </c>
      <c r="BE61" s="19">
        <f t="shared" si="115"/>
        <v>243039.75</v>
      </c>
      <c r="BF61" s="19">
        <f t="shared" si="115"/>
        <v>11516820.110000001</v>
      </c>
      <c r="BG61" s="19">
        <f t="shared" si="115"/>
        <v>0</v>
      </c>
      <c r="BH61" s="19">
        <f t="shared" si="115"/>
        <v>1923072.78</v>
      </c>
      <c r="BI61" s="19">
        <f t="shared" si="115"/>
        <v>0</v>
      </c>
      <c r="BJ61" s="19">
        <f t="shared" si="115"/>
        <v>0</v>
      </c>
      <c r="BK61" s="19">
        <f t="shared" si="115"/>
        <v>0</v>
      </c>
      <c r="BL61" s="19">
        <f t="shared" si="115"/>
        <v>948257.9</v>
      </c>
      <c r="BM61" s="19">
        <f t="shared" si="115"/>
        <v>1120060.65</v>
      </c>
      <c r="BN61" s="19">
        <f t="shared" si="115"/>
        <v>0</v>
      </c>
      <c r="BO61" s="19">
        <f aca="true" t="shared" si="116" ref="BO61:CI61">BO4+BO19+BO21+BO24+BO25</f>
        <v>3991391.33</v>
      </c>
      <c r="BP61" s="19">
        <f t="shared" si="116"/>
        <v>3952342.33</v>
      </c>
      <c r="BQ61" s="19">
        <f t="shared" si="116"/>
        <v>0</v>
      </c>
      <c r="BR61" s="19">
        <f t="shared" si="116"/>
        <v>11477771.110000001</v>
      </c>
      <c r="BS61" s="19">
        <f t="shared" si="116"/>
        <v>0</v>
      </c>
      <c r="BT61" s="19">
        <f t="shared" si="116"/>
        <v>44613521.56000001</v>
      </c>
      <c r="BU61" s="19">
        <f t="shared" si="116"/>
        <v>24304381.139999997</v>
      </c>
      <c r="BV61" s="19">
        <f t="shared" si="116"/>
        <v>537933.53</v>
      </c>
      <c r="BW61" s="19">
        <f t="shared" si="116"/>
        <v>0</v>
      </c>
      <c r="BX61" s="19">
        <f t="shared" si="116"/>
        <v>69455836.23</v>
      </c>
      <c r="BY61" s="19">
        <f t="shared" si="116"/>
        <v>28765020.36</v>
      </c>
      <c r="BZ61" s="19">
        <f t="shared" si="116"/>
        <v>16077267.069999998</v>
      </c>
      <c r="CA61" s="19">
        <f t="shared" si="116"/>
        <v>24613548.6</v>
      </c>
      <c r="CB61" s="19">
        <f t="shared" si="116"/>
        <v>69455836.03</v>
      </c>
      <c r="CC61" s="19">
        <f t="shared" si="116"/>
        <v>0.20000000158324838</v>
      </c>
      <c r="CD61" s="19">
        <f t="shared" si="116"/>
        <v>2665837.1900000004</v>
      </c>
      <c r="CE61" s="19">
        <f t="shared" si="116"/>
        <v>3049120.26</v>
      </c>
      <c r="CF61" s="19">
        <f t="shared" si="116"/>
        <v>7525428.779999999</v>
      </c>
      <c r="CG61" s="19">
        <f t="shared" si="116"/>
        <v>30761227.279999997</v>
      </c>
      <c r="CH61" s="19">
        <f t="shared" si="116"/>
        <v>-229631.44999999998</v>
      </c>
      <c r="CI61" s="19">
        <f t="shared" si="116"/>
        <v>2518696.84</v>
      </c>
      <c r="CJ61" s="154">
        <f t="shared" si="87"/>
        <v>0.354243893329358</v>
      </c>
      <c r="CK61" s="154">
        <f t="shared" si="88"/>
        <v>0.4051756184449599</v>
      </c>
      <c r="CL61" s="154">
        <f t="shared" si="89"/>
        <v>0.08666225068767805</v>
      </c>
      <c r="CM61" s="154">
        <f t="shared" si="90"/>
        <v>0.09912219146023617</v>
      </c>
      <c r="CN61" s="154">
        <f t="shared" si="91"/>
        <v>-0.0074649638621310565</v>
      </c>
      <c r="CO61" s="154">
        <f t="shared" si="92"/>
        <v>0.08187894511080118</v>
      </c>
      <c r="CP61" s="154">
        <f t="shared" si="93"/>
        <v>0.12688341808021178</v>
      </c>
      <c r="CQ61" s="154">
        <f t="shared" si="94"/>
        <v>0.09873162327136946</v>
      </c>
      <c r="CR61" s="19">
        <f t="shared" si="95"/>
        <v>5.19772913122161</v>
      </c>
      <c r="CS61" s="19">
        <f t="shared" si="96"/>
        <v>15848501.20000001</v>
      </c>
      <c r="CT61" s="19">
        <f t="shared" si="97"/>
        <v>34273199.24000001</v>
      </c>
      <c r="CU61" s="19">
        <f t="shared" si="98"/>
        <v>36939036.42</v>
      </c>
      <c r="CV61" s="19">
        <f t="shared" si="99"/>
        <v>2665837.1799999923</v>
      </c>
      <c r="CW61" s="19">
        <f t="shared" si="100"/>
        <v>0</v>
      </c>
      <c r="CX61" s="19">
        <f t="shared" si="101"/>
        <v>2665837.1799999923</v>
      </c>
      <c r="CY61" s="19">
        <f t="shared" si="102"/>
        <v>-866134.4000000078</v>
      </c>
      <c r="CZ61" s="19">
        <f t="shared" si="103"/>
        <v>7525428.780000001</v>
      </c>
      <c r="DA61" s="19">
        <f t="shared" si="104"/>
        <v>3531971.58</v>
      </c>
      <c r="DB61" s="19">
        <f t="shared" si="105"/>
        <v>-4859591.600000009</v>
      </c>
      <c r="DC61" s="19">
        <f t="shared" si="106"/>
        <v>-7484313.91</v>
      </c>
      <c r="DD61" s="19">
        <f t="shared" si="107"/>
        <v>-866134.4000000078</v>
      </c>
      <c r="DE61" s="19">
        <f t="shared" si="108"/>
        <v>13771830.899999999</v>
      </c>
      <c r="DF61" s="19">
        <f t="shared" si="109"/>
        <v>1109.2952474277322</v>
      </c>
      <c r="DG61" s="19">
        <f t="shared" si="110"/>
        <v>-16.072754952054314</v>
      </c>
      <c r="DH61" s="19">
        <f t="shared" si="111"/>
        <v>963.9414082732553</v>
      </c>
      <c r="DI61" s="19">
        <f t="shared" si="112"/>
        <v>526.7326086652203</v>
      </c>
      <c r="DJ61" s="19">
        <f t="shared" si="113"/>
        <v>-340.1407993280611</v>
      </c>
      <c r="DK61" s="19">
        <f t="shared" si="114"/>
        <v>309167.4600000046</v>
      </c>
    </row>
    <row r="62" spans="1:115" ht="12.75">
      <c r="A62" s="3" t="s">
        <v>254</v>
      </c>
      <c r="B62" s="62">
        <f>B9+B11+B22+B27</f>
        <v>11873</v>
      </c>
      <c r="C62" s="62">
        <f aca="true" t="shared" si="117" ref="C62:BN62">C9+C11+C22+C27</f>
        <v>43065808</v>
      </c>
      <c r="D62" s="62">
        <f>(D9+D11+D22+D27)/4</f>
        <v>3425.0475</v>
      </c>
      <c r="E62" s="62">
        <f>(E9+E11+E22+E27)/4</f>
        <v>103.25999999999999</v>
      </c>
      <c r="F62" s="62">
        <f>(F9+F11+F22+F27)/4</f>
        <v>3.5</v>
      </c>
      <c r="G62" s="19">
        <f t="shared" si="117"/>
        <v>8672654.95</v>
      </c>
      <c r="H62" s="19">
        <f t="shared" si="117"/>
        <v>10314055.92</v>
      </c>
      <c r="I62" s="19">
        <f t="shared" si="117"/>
        <v>1419801.05</v>
      </c>
      <c r="J62" s="19">
        <f t="shared" si="117"/>
        <v>519218.65</v>
      </c>
      <c r="K62" s="19">
        <f t="shared" si="117"/>
        <v>3566334.8</v>
      </c>
      <c r="L62" s="19">
        <f t="shared" si="117"/>
        <v>587516.5</v>
      </c>
      <c r="M62" s="19">
        <f t="shared" si="117"/>
        <v>4153851.3</v>
      </c>
      <c r="N62" s="19">
        <f t="shared" si="117"/>
        <v>100000</v>
      </c>
      <c r="O62" s="19">
        <f t="shared" si="117"/>
        <v>1131049.6500000001</v>
      </c>
      <c r="P62" s="19">
        <f t="shared" si="117"/>
        <v>2947979.4</v>
      </c>
      <c r="Q62" s="19">
        <f t="shared" si="117"/>
        <v>83074.09999999999</v>
      </c>
      <c r="R62" s="19">
        <f t="shared" si="117"/>
        <v>754217.85</v>
      </c>
      <c r="S62" s="19">
        <f t="shared" si="117"/>
        <v>0</v>
      </c>
      <c r="T62" s="19">
        <f t="shared" si="117"/>
        <v>626604.2</v>
      </c>
      <c r="U62" s="19">
        <f t="shared" si="117"/>
        <v>0</v>
      </c>
      <c r="V62" s="19">
        <f t="shared" si="117"/>
        <v>0</v>
      </c>
      <c r="W62" s="19">
        <f t="shared" si="117"/>
        <v>1380822.05</v>
      </c>
      <c r="X62" s="19">
        <f t="shared" si="117"/>
        <v>4169346.15</v>
      </c>
      <c r="Y62" s="19">
        <f t="shared" si="117"/>
        <v>34891853.22</v>
      </c>
      <c r="Z62" s="19">
        <f t="shared" si="117"/>
        <v>10890823.650000002</v>
      </c>
      <c r="AA62" s="19">
        <f t="shared" si="117"/>
        <v>778931.6499999999</v>
      </c>
      <c r="AB62" s="19">
        <f t="shared" si="117"/>
        <v>116154.1</v>
      </c>
      <c r="AC62" s="19">
        <f t="shared" si="117"/>
        <v>0</v>
      </c>
      <c r="AD62" s="19">
        <f t="shared" si="117"/>
        <v>44668.5</v>
      </c>
      <c r="AE62" s="19">
        <f t="shared" si="117"/>
        <v>11830577.900000002</v>
      </c>
      <c r="AF62" s="19">
        <f t="shared" si="117"/>
        <v>134946</v>
      </c>
      <c r="AG62" s="19">
        <f t="shared" si="117"/>
        <v>3231940.0999999996</v>
      </c>
      <c r="AH62" s="19">
        <f t="shared" si="117"/>
        <v>795213</v>
      </c>
      <c r="AI62" s="19">
        <f t="shared" si="117"/>
        <v>12047915.15</v>
      </c>
      <c r="AJ62" s="19">
        <f t="shared" si="117"/>
        <v>158029.85</v>
      </c>
      <c r="AK62" s="19">
        <f t="shared" si="117"/>
        <v>736702.06</v>
      </c>
      <c r="AL62" s="19">
        <f t="shared" si="117"/>
        <v>946633.35</v>
      </c>
      <c r="AM62" s="19">
        <f t="shared" si="117"/>
        <v>11374</v>
      </c>
      <c r="AN62" s="19">
        <f t="shared" si="117"/>
        <v>137477.7</v>
      </c>
      <c r="AO62" s="19">
        <f t="shared" si="117"/>
        <v>131124.35</v>
      </c>
      <c r="AP62" s="19">
        <f t="shared" si="117"/>
        <v>649439.35</v>
      </c>
      <c r="AQ62" s="19">
        <f t="shared" si="117"/>
        <v>0</v>
      </c>
      <c r="AR62" s="19">
        <f t="shared" si="117"/>
        <v>0</v>
      </c>
      <c r="AS62" s="19">
        <f t="shared" si="117"/>
        <v>918041.3999999999</v>
      </c>
      <c r="AT62" s="19">
        <f t="shared" si="117"/>
        <v>4189921.15</v>
      </c>
      <c r="AU62" s="19">
        <f t="shared" si="117"/>
        <v>34206080.96</v>
      </c>
      <c r="AV62" s="19">
        <f t="shared" si="117"/>
        <v>238285.83</v>
      </c>
      <c r="AW62" s="19">
        <f t="shared" si="117"/>
        <v>924058.09</v>
      </c>
      <c r="AX62" s="19">
        <f t="shared" si="117"/>
        <v>-1.6014496395655442E-09</v>
      </c>
      <c r="AY62" s="19">
        <f t="shared" si="117"/>
        <v>1611486.1</v>
      </c>
      <c r="AZ62" s="19">
        <f t="shared" si="117"/>
        <v>9647223</v>
      </c>
      <c r="BA62" s="19">
        <f t="shared" si="117"/>
        <v>46500</v>
      </c>
      <c r="BB62" s="19">
        <f t="shared" si="117"/>
        <v>17658</v>
      </c>
      <c r="BC62" s="19">
        <f t="shared" si="117"/>
        <v>0</v>
      </c>
      <c r="BD62" s="19">
        <f t="shared" si="117"/>
        <v>0</v>
      </c>
      <c r="BE62" s="19">
        <f t="shared" si="117"/>
        <v>566900.3</v>
      </c>
      <c r="BF62" s="19">
        <f t="shared" si="117"/>
        <v>10278281.3</v>
      </c>
      <c r="BG62" s="19">
        <f t="shared" si="117"/>
        <v>0</v>
      </c>
      <c r="BH62" s="19">
        <f t="shared" si="117"/>
        <v>51388.4</v>
      </c>
      <c r="BI62" s="19">
        <f t="shared" si="117"/>
        <v>0</v>
      </c>
      <c r="BJ62" s="19">
        <f t="shared" si="117"/>
        <v>0</v>
      </c>
      <c r="BK62" s="19">
        <f t="shared" si="117"/>
        <v>0</v>
      </c>
      <c r="BL62" s="19">
        <f t="shared" si="117"/>
        <v>134295.25</v>
      </c>
      <c r="BM62" s="19">
        <f t="shared" si="117"/>
        <v>3466048.25</v>
      </c>
      <c r="BN62" s="19">
        <f t="shared" si="117"/>
        <v>0</v>
      </c>
      <c r="BO62" s="19">
        <f aca="true" t="shared" si="118" ref="BO62:CI62">BO9+BO11+BO22+BO27</f>
        <v>3651731.9</v>
      </c>
      <c r="BP62" s="19">
        <f t="shared" si="118"/>
        <v>3499778.65</v>
      </c>
      <c r="BQ62" s="19">
        <f t="shared" si="118"/>
        <v>0</v>
      </c>
      <c r="BR62" s="19">
        <f t="shared" si="118"/>
        <v>10126328.05</v>
      </c>
      <c r="BS62" s="19">
        <f t="shared" si="118"/>
        <v>0</v>
      </c>
      <c r="BT62" s="19">
        <f t="shared" si="118"/>
        <v>36361228.9</v>
      </c>
      <c r="BU62" s="19">
        <f t="shared" si="118"/>
        <v>38356152.449999996</v>
      </c>
      <c r="BV62" s="19">
        <f t="shared" si="118"/>
        <v>1587032</v>
      </c>
      <c r="BW62" s="19">
        <f t="shared" si="118"/>
        <v>0</v>
      </c>
      <c r="BX62" s="19">
        <f t="shared" si="118"/>
        <v>76304413.35000001</v>
      </c>
      <c r="BY62" s="19">
        <f t="shared" si="118"/>
        <v>45854957.92</v>
      </c>
      <c r="BZ62" s="19">
        <f t="shared" si="118"/>
        <v>14873011.659999998</v>
      </c>
      <c r="CA62" s="19">
        <f t="shared" si="118"/>
        <v>15576443.870000001</v>
      </c>
      <c r="CB62" s="19">
        <f t="shared" si="118"/>
        <v>76304413.45000002</v>
      </c>
      <c r="CC62" s="19">
        <f t="shared" si="118"/>
        <v>-0.09999999962747097</v>
      </c>
      <c r="CD62" s="19">
        <f t="shared" si="118"/>
        <v>3468079.0400000005</v>
      </c>
      <c r="CE62" s="19">
        <f t="shared" si="118"/>
        <v>3930859.6900000004</v>
      </c>
      <c r="CF62" s="19">
        <f t="shared" si="118"/>
        <v>6626549.399999999</v>
      </c>
      <c r="CG62" s="19">
        <f t="shared" si="118"/>
        <v>29086744.41</v>
      </c>
      <c r="CH62" s="19">
        <f t="shared" si="118"/>
        <v>594560.05</v>
      </c>
      <c r="CI62" s="19">
        <f t="shared" si="118"/>
        <v>4160894.85</v>
      </c>
      <c r="CJ62" s="154">
        <f t="shared" si="87"/>
        <v>0.5233612292998224</v>
      </c>
      <c r="CK62" s="154">
        <f t="shared" si="88"/>
        <v>0.593198579339045</v>
      </c>
      <c r="CL62" s="154">
        <f t="shared" si="89"/>
        <v>0.1192322864021756</v>
      </c>
      <c r="CM62" s="154">
        <f t="shared" si="90"/>
        <v>0.13514264898785214</v>
      </c>
      <c r="CN62" s="154">
        <f t="shared" si="91"/>
        <v>0.02044092806053574</v>
      </c>
      <c r="CO62" s="154">
        <f t="shared" si="92"/>
        <v>0.14305123981388193</v>
      </c>
      <c r="CP62" s="154">
        <f t="shared" si="93"/>
        <v>0.09771467733639051</v>
      </c>
      <c r="CQ62" s="154">
        <f t="shared" si="94"/>
        <v>0.08389401282986245</v>
      </c>
      <c r="CR62" s="19">
        <f t="shared" si="95"/>
        <v>-2.415178807870398</v>
      </c>
      <c r="CS62" s="19">
        <f t="shared" si="96"/>
        <v>-9493729.020000003</v>
      </c>
      <c r="CT62" s="19">
        <f t="shared" si="97"/>
        <v>30738001.919999998</v>
      </c>
      <c r="CU62" s="19">
        <f t="shared" si="98"/>
        <v>34206080.96</v>
      </c>
      <c r="CV62" s="19">
        <f t="shared" si="99"/>
        <v>3468079.040000003</v>
      </c>
      <c r="CW62" s="19">
        <f t="shared" si="100"/>
        <v>0</v>
      </c>
      <c r="CX62" s="19">
        <f t="shared" si="101"/>
        <v>3468079.040000003</v>
      </c>
      <c r="CY62" s="19">
        <f t="shared" si="102"/>
        <v>-685772.259999997</v>
      </c>
      <c r="CZ62" s="19">
        <f t="shared" si="103"/>
        <v>6626549.4</v>
      </c>
      <c r="DA62" s="19">
        <f t="shared" si="104"/>
        <v>4153851.3</v>
      </c>
      <c r="DB62" s="19">
        <f t="shared" si="105"/>
        <v>-3158470.3599999975</v>
      </c>
      <c r="DC62" s="19">
        <f t="shared" si="106"/>
        <v>-7653629.949999999</v>
      </c>
      <c r="DD62" s="19">
        <f t="shared" si="107"/>
        <v>-685772.259999996</v>
      </c>
      <c r="DE62" s="19">
        <f t="shared" si="108"/>
        <v>11785909.400000002</v>
      </c>
      <c r="DF62" s="19">
        <f t="shared" si="109"/>
        <v>-799.6065880569362</v>
      </c>
      <c r="DG62" s="19">
        <f t="shared" si="110"/>
        <v>50.076648698728214</v>
      </c>
      <c r="DH62" s="19">
        <f t="shared" si="111"/>
        <v>992.664819337994</v>
      </c>
      <c r="DI62" s="19">
        <f t="shared" si="112"/>
        <v>558.1192116567001</v>
      </c>
      <c r="DJ62" s="19">
        <f t="shared" si="113"/>
        <v>-266.0212549482016</v>
      </c>
      <c r="DK62" s="19">
        <f t="shared" si="114"/>
        <v>-22779708.579999994</v>
      </c>
    </row>
    <row r="63" spans="1:115" ht="12.75">
      <c r="A63" s="3" t="s">
        <v>255</v>
      </c>
      <c r="B63" s="62">
        <f>B7+B8+B17</f>
        <v>1792</v>
      </c>
      <c r="C63" s="62">
        <f aca="true" t="shared" si="119" ref="C63:BN63">C7+C8+C17</f>
        <v>4434646</v>
      </c>
      <c r="D63" s="62">
        <f>(D7+D8+D17)/3</f>
        <v>2486.9933333333333</v>
      </c>
      <c r="E63" s="62">
        <f>(E7+E8+E17)/3</f>
        <v>74.98</v>
      </c>
      <c r="F63" s="62">
        <f>(F7+F8+F17)/3</f>
        <v>8</v>
      </c>
      <c r="G63" s="19">
        <f t="shared" si="119"/>
        <v>2303190.85</v>
      </c>
      <c r="H63" s="19">
        <f t="shared" si="119"/>
        <v>1547096.7500000002</v>
      </c>
      <c r="I63" s="19">
        <f t="shared" si="119"/>
        <v>145800.93</v>
      </c>
      <c r="J63" s="19">
        <f t="shared" si="119"/>
        <v>89316.3</v>
      </c>
      <c r="K63" s="19">
        <f t="shared" si="119"/>
        <v>256865.95</v>
      </c>
      <c r="L63" s="19">
        <f t="shared" si="119"/>
        <v>552703.2</v>
      </c>
      <c r="M63" s="19">
        <f t="shared" si="119"/>
        <v>809569.1499999999</v>
      </c>
      <c r="N63" s="19">
        <f t="shared" si="119"/>
        <v>0</v>
      </c>
      <c r="O63" s="19">
        <f t="shared" si="119"/>
        <v>322744.6</v>
      </c>
      <c r="P63" s="19">
        <f t="shared" si="119"/>
        <v>608518.1</v>
      </c>
      <c r="Q63" s="19">
        <f t="shared" si="119"/>
        <v>-19.5</v>
      </c>
      <c r="R63" s="19">
        <f t="shared" si="119"/>
        <v>0</v>
      </c>
      <c r="S63" s="19">
        <f t="shared" si="119"/>
        <v>0</v>
      </c>
      <c r="T63" s="19">
        <f t="shared" si="119"/>
        <v>300000</v>
      </c>
      <c r="U63" s="19">
        <f t="shared" si="119"/>
        <v>0</v>
      </c>
      <c r="V63" s="19">
        <f t="shared" si="119"/>
        <v>50000</v>
      </c>
      <c r="W63" s="19">
        <f t="shared" si="119"/>
        <v>350000</v>
      </c>
      <c r="X63" s="19">
        <f t="shared" si="119"/>
        <v>1387681.4</v>
      </c>
      <c r="Y63" s="19">
        <f t="shared" si="119"/>
        <v>7563898.580000001</v>
      </c>
      <c r="Z63" s="19">
        <f t="shared" si="119"/>
        <v>1773517.4500000002</v>
      </c>
      <c r="AA63" s="19">
        <f t="shared" si="119"/>
        <v>46170.4</v>
      </c>
      <c r="AB63" s="19">
        <f t="shared" si="119"/>
        <v>13599.15</v>
      </c>
      <c r="AC63" s="19">
        <f t="shared" si="119"/>
        <v>0</v>
      </c>
      <c r="AD63" s="19">
        <f t="shared" si="119"/>
        <v>6941.65</v>
      </c>
      <c r="AE63" s="19">
        <f t="shared" si="119"/>
        <v>1840228.65</v>
      </c>
      <c r="AF63" s="19">
        <f t="shared" si="119"/>
        <v>145789.6</v>
      </c>
      <c r="AG63" s="19">
        <f t="shared" si="119"/>
        <v>527983.2</v>
      </c>
      <c r="AH63" s="19">
        <f t="shared" si="119"/>
        <v>0</v>
      </c>
      <c r="AI63" s="19">
        <f t="shared" si="119"/>
        <v>1361456.65</v>
      </c>
      <c r="AJ63" s="19">
        <f t="shared" si="119"/>
        <v>373433.6</v>
      </c>
      <c r="AK63" s="19">
        <f t="shared" si="119"/>
        <v>182021.05000000002</v>
      </c>
      <c r="AL63" s="19">
        <f t="shared" si="119"/>
        <v>1550965.25</v>
      </c>
      <c r="AM63" s="19">
        <f t="shared" si="119"/>
        <v>0</v>
      </c>
      <c r="AN63" s="19">
        <f t="shared" si="119"/>
        <v>61683.85</v>
      </c>
      <c r="AO63" s="19">
        <f t="shared" si="119"/>
        <v>0</v>
      </c>
      <c r="AP63" s="19">
        <f t="shared" si="119"/>
        <v>70000</v>
      </c>
      <c r="AQ63" s="19">
        <f t="shared" si="119"/>
        <v>2000</v>
      </c>
      <c r="AR63" s="19">
        <f t="shared" si="119"/>
        <v>0</v>
      </c>
      <c r="AS63" s="19">
        <f t="shared" si="119"/>
        <v>133683.85</v>
      </c>
      <c r="AT63" s="19">
        <f t="shared" si="119"/>
        <v>1454229.8499999999</v>
      </c>
      <c r="AU63" s="19">
        <f t="shared" si="119"/>
        <v>7569791.699999999</v>
      </c>
      <c r="AV63" s="19">
        <f t="shared" si="119"/>
        <v>33148.65</v>
      </c>
      <c r="AW63" s="19">
        <f t="shared" si="119"/>
        <v>27255.53</v>
      </c>
      <c r="AX63" s="19">
        <f t="shared" si="119"/>
        <v>8.221832104027271E-10</v>
      </c>
      <c r="AY63" s="19">
        <f t="shared" si="119"/>
        <v>36021.8</v>
      </c>
      <c r="AZ63" s="19">
        <f t="shared" si="119"/>
        <v>1509100.9</v>
      </c>
      <c r="BA63" s="19">
        <f t="shared" si="119"/>
        <v>0</v>
      </c>
      <c r="BB63" s="19">
        <f t="shared" si="119"/>
        <v>0</v>
      </c>
      <c r="BC63" s="19">
        <f t="shared" si="119"/>
        <v>0</v>
      </c>
      <c r="BD63" s="19">
        <f t="shared" si="119"/>
        <v>0</v>
      </c>
      <c r="BE63" s="19">
        <f t="shared" si="119"/>
        <v>133162.4</v>
      </c>
      <c r="BF63" s="19">
        <f t="shared" si="119"/>
        <v>1642263.2999999998</v>
      </c>
      <c r="BG63" s="19">
        <f t="shared" si="119"/>
        <v>7251.3</v>
      </c>
      <c r="BH63" s="19">
        <f t="shared" si="119"/>
        <v>7378</v>
      </c>
      <c r="BI63" s="19">
        <f t="shared" si="119"/>
        <v>0</v>
      </c>
      <c r="BJ63" s="19">
        <f t="shared" si="119"/>
        <v>0</v>
      </c>
      <c r="BK63" s="19">
        <f t="shared" si="119"/>
        <v>0</v>
      </c>
      <c r="BL63" s="19">
        <f t="shared" si="119"/>
        <v>75400</v>
      </c>
      <c r="BM63" s="19">
        <f t="shared" si="119"/>
        <v>1130022.35</v>
      </c>
      <c r="BN63" s="19">
        <f t="shared" si="119"/>
        <v>0</v>
      </c>
      <c r="BO63" s="19">
        <f aca="true" t="shared" si="120" ref="BO63:CI63">BO7+BO8+BO17</f>
        <v>1220051.65</v>
      </c>
      <c r="BP63" s="19">
        <f t="shared" si="120"/>
        <v>1220051.65</v>
      </c>
      <c r="BQ63" s="19">
        <f t="shared" si="120"/>
        <v>0</v>
      </c>
      <c r="BR63" s="19">
        <f t="shared" si="120"/>
        <v>1642263.3</v>
      </c>
      <c r="BS63" s="19">
        <f t="shared" si="120"/>
        <v>0</v>
      </c>
      <c r="BT63" s="19">
        <f t="shared" si="120"/>
        <v>8344544.02</v>
      </c>
      <c r="BU63" s="19">
        <f t="shared" si="120"/>
        <v>1238820.85</v>
      </c>
      <c r="BV63" s="19">
        <f t="shared" si="120"/>
        <v>5820.35</v>
      </c>
      <c r="BW63" s="19">
        <f t="shared" si="120"/>
        <v>247139.18</v>
      </c>
      <c r="BX63" s="19">
        <f t="shared" si="120"/>
        <v>9836324.4</v>
      </c>
      <c r="BY63" s="19">
        <f t="shared" si="120"/>
        <v>5179702.9</v>
      </c>
      <c r="BZ63" s="19">
        <f t="shared" si="120"/>
        <v>3271406.5</v>
      </c>
      <c r="CA63" s="19">
        <f t="shared" si="120"/>
        <v>1385215</v>
      </c>
      <c r="CB63" s="19">
        <f t="shared" si="120"/>
        <v>9836324.4</v>
      </c>
      <c r="CC63" s="19">
        <f t="shared" si="120"/>
        <v>0</v>
      </c>
      <c r="CD63" s="19">
        <f t="shared" si="120"/>
        <v>815462.2700000001</v>
      </c>
      <c r="CE63" s="19">
        <f t="shared" si="120"/>
        <v>1031778.42</v>
      </c>
      <c r="CF63" s="19">
        <f t="shared" si="120"/>
        <v>422211.65</v>
      </c>
      <c r="CG63" s="19">
        <f t="shared" si="120"/>
        <v>5981877.999999999</v>
      </c>
      <c r="CH63" s="19">
        <f t="shared" si="120"/>
        <v>-346160.47</v>
      </c>
      <c r="CI63" s="19">
        <f t="shared" si="120"/>
        <v>-89294.51999999999</v>
      </c>
      <c r="CJ63" s="154">
        <f t="shared" si="87"/>
        <v>1.9314063692936945</v>
      </c>
      <c r="CK63" s="154">
        <f t="shared" si="88"/>
        <v>2.4437469217156846</v>
      </c>
      <c r="CL63" s="154">
        <f t="shared" si="89"/>
        <v>0.13632211656606844</v>
      </c>
      <c r="CM63" s="154">
        <f t="shared" si="90"/>
        <v>0.17248402926305087</v>
      </c>
      <c r="CN63" s="154">
        <f t="shared" si="91"/>
        <v>-0.05786819289861813</v>
      </c>
      <c r="CO63" s="154">
        <f t="shared" si="92"/>
        <v>-0.014927506044088495</v>
      </c>
      <c r="CP63" s="154">
        <f t="shared" si="93"/>
        <v>0.3952221744882566</v>
      </c>
      <c r="CQ63" s="154">
        <f t="shared" si="94"/>
        <v>0.1253989474660587</v>
      </c>
      <c r="CR63" s="19">
        <f t="shared" si="95"/>
        <v>3.0673651034492453</v>
      </c>
      <c r="CS63" s="19">
        <f t="shared" si="96"/>
        <v>3164841.119999999</v>
      </c>
      <c r="CT63" s="19">
        <f t="shared" si="97"/>
        <v>6704329.430000001</v>
      </c>
      <c r="CU63" s="19">
        <f t="shared" si="98"/>
        <v>7569791.699999999</v>
      </c>
      <c r="CV63" s="19">
        <f t="shared" si="99"/>
        <v>865462.2699999986</v>
      </c>
      <c r="CW63" s="19">
        <f t="shared" si="100"/>
        <v>-50000</v>
      </c>
      <c r="CX63" s="19">
        <f t="shared" si="101"/>
        <v>815462.2699999986</v>
      </c>
      <c r="CY63" s="19">
        <f t="shared" si="102"/>
        <v>5893.119999998715</v>
      </c>
      <c r="CZ63" s="19">
        <f t="shared" si="103"/>
        <v>422211.65000000014</v>
      </c>
      <c r="DA63" s="19">
        <f t="shared" si="104"/>
        <v>809569.1499999999</v>
      </c>
      <c r="DB63" s="19">
        <f t="shared" si="105"/>
        <v>393250.6199999985</v>
      </c>
      <c r="DC63" s="19">
        <f t="shared" si="106"/>
        <v>-2029620.7999999998</v>
      </c>
      <c r="DD63" s="19">
        <f t="shared" si="107"/>
        <v>5893.119999998715</v>
      </c>
      <c r="DE63" s="19">
        <f t="shared" si="108"/>
        <v>1833287</v>
      </c>
      <c r="DF63" s="19">
        <f t="shared" si="109"/>
        <v>1766.0943749999994</v>
      </c>
      <c r="DG63" s="19">
        <f t="shared" si="110"/>
        <v>-193.16990513392855</v>
      </c>
      <c r="DH63" s="19">
        <f t="shared" si="111"/>
        <v>1023.0396205357143</v>
      </c>
      <c r="DI63" s="19">
        <f t="shared" si="112"/>
        <v>235.60917968750007</v>
      </c>
      <c r="DJ63" s="19">
        <f t="shared" si="113"/>
        <v>219.44789062499916</v>
      </c>
      <c r="DK63" s="19">
        <f t="shared" si="114"/>
        <v>-100745.03000000003</v>
      </c>
    </row>
    <row r="64" spans="1:115" ht="12.75">
      <c r="A64" s="3" t="s">
        <v>256</v>
      </c>
      <c r="B64" s="62">
        <f>B3+B5+B6+B12+B13+B14+B15+B16+B18+B23+B28+B29+B30+B31</f>
        <v>8866</v>
      </c>
      <c r="C64" s="62">
        <f>C3+C5+C6+C12+C13+C14+C15+C16+C18+C23+C28+C29+C30+C31</f>
        <v>29866871</v>
      </c>
      <c r="D64" s="62">
        <f>(D3+D5+D6+D12+D13+D14+D15+D16+D18+D23+D28+D29+D30+D31)/14</f>
        <v>2953.7714285714283</v>
      </c>
      <c r="E64" s="62">
        <f>(E3+E5+E6+E12+E13+E14+E15+E16+E18+E23+E28+E29+E30+E31)/14</f>
        <v>89.05285714285716</v>
      </c>
      <c r="F64" s="62">
        <f>(F3+F5+F6+F12+F13+F14+F15+F16+F18+F23+F28+F29+F30+F31)/14</f>
        <v>6.857142857142857</v>
      </c>
      <c r="G64" s="19">
        <f>G3+G5+G6+G12+G13+G14+G15+G16+G18+G23+G28+G29+G30+G31</f>
        <v>6991771.100000001</v>
      </c>
      <c r="H64" s="19">
        <f aca="true" t="shared" si="121" ref="H64:BS64">H3+H5+H6+H12+H13+H14+H15+H16+H18+H23+H28+H29+H30+H31</f>
        <v>5858803.850000001</v>
      </c>
      <c r="I64" s="19">
        <f t="shared" si="121"/>
        <v>1097550.4</v>
      </c>
      <c r="J64" s="19">
        <f t="shared" si="121"/>
        <v>2415062.1</v>
      </c>
      <c r="K64" s="19">
        <f t="shared" si="121"/>
        <v>2055875.2</v>
      </c>
      <c r="L64" s="19">
        <f t="shared" si="121"/>
        <v>1779189.5099999998</v>
      </c>
      <c r="M64" s="19">
        <f t="shared" si="121"/>
        <v>3835064.7099999995</v>
      </c>
      <c r="N64" s="19">
        <f t="shared" si="121"/>
        <v>172993.05</v>
      </c>
      <c r="O64" s="19">
        <f t="shared" si="121"/>
        <v>1267856.65</v>
      </c>
      <c r="P64" s="19">
        <f t="shared" si="121"/>
        <v>2961183.1</v>
      </c>
      <c r="Q64" s="19">
        <f t="shared" si="121"/>
        <v>44656.200000000004</v>
      </c>
      <c r="R64" s="19">
        <f t="shared" si="121"/>
        <v>766775.9799999999</v>
      </c>
      <c r="S64" s="19">
        <f t="shared" si="121"/>
        <v>53350.1</v>
      </c>
      <c r="T64" s="19">
        <f t="shared" si="121"/>
        <v>35000</v>
      </c>
      <c r="U64" s="19">
        <f t="shared" si="121"/>
        <v>161582.64</v>
      </c>
      <c r="V64" s="19">
        <f t="shared" si="121"/>
        <v>0</v>
      </c>
      <c r="W64" s="19">
        <f t="shared" si="121"/>
        <v>1016708.7199999999</v>
      </c>
      <c r="X64" s="19">
        <f t="shared" si="121"/>
        <v>4774210.73</v>
      </c>
      <c r="Y64" s="19">
        <f t="shared" si="121"/>
        <v>30435860.610000007</v>
      </c>
      <c r="Z64" s="19">
        <f t="shared" si="121"/>
        <v>5848413.989999999</v>
      </c>
      <c r="AA64" s="19">
        <f t="shared" si="121"/>
        <v>1618561.2600000002</v>
      </c>
      <c r="AB64" s="19">
        <f t="shared" si="121"/>
        <v>69712.55</v>
      </c>
      <c r="AC64" s="19">
        <f t="shared" si="121"/>
        <v>5130.95</v>
      </c>
      <c r="AD64" s="19">
        <f t="shared" si="121"/>
        <v>276218.69999999995</v>
      </c>
      <c r="AE64" s="19">
        <f t="shared" si="121"/>
        <v>7818037.45</v>
      </c>
      <c r="AF64" s="19">
        <f t="shared" si="121"/>
        <v>382782.45</v>
      </c>
      <c r="AG64" s="19">
        <f t="shared" si="121"/>
        <v>2428254.92</v>
      </c>
      <c r="AH64" s="19">
        <f t="shared" si="121"/>
        <v>899700</v>
      </c>
      <c r="AI64" s="19">
        <f t="shared" si="121"/>
        <v>6290706.34</v>
      </c>
      <c r="AJ64" s="19">
        <f t="shared" si="121"/>
        <v>2582818.6</v>
      </c>
      <c r="AK64" s="19">
        <f t="shared" si="121"/>
        <v>602303.9</v>
      </c>
      <c r="AL64" s="19">
        <f t="shared" si="121"/>
        <v>2121354.05</v>
      </c>
      <c r="AM64" s="19">
        <f t="shared" si="121"/>
        <v>99050.1</v>
      </c>
      <c r="AN64" s="19">
        <f t="shared" si="121"/>
        <v>1120434.65</v>
      </c>
      <c r="AO64" s="19">
        <f t="shared" si="121"/>
        <v>28515.350000000002</v>
      </c>
      <c r="AP64" s="19">
        <f t="shared" si="121"/>
        <v>14000</v>
      </c>
      <c r="AQ64" s="19">
        <f t="shared" si="121"/>
        <v>11016.9</v>
      </c>
      <c r="AR64" s="19">
        <f t="shared" si="121"/>
        <v>0</v>
      </c>
      <c r="AS64" s="19">
        <f t="shared" si="121"/>
        <v>1173966.9</v>
      </c>
      <c r="AT64" s="19">
        <f t="shared" si="121"/>
        <v>4847076.27</v>
      </c>
      <c r="AU64" s="19">
        <f t="shared" si="121"/>
        <v>28346350.980000004</v>
      </c>
      <c r="AV64" s="19">
        <f t="shared" si="121"/>
        <v>482989.45999999996</v>
      </c>
      <c r="AW64" s="19">
        <f t="shared" si="121"/>
        <v>2572499.04</v>
      </c>
      <c r="AX64" s="19">
        <f t="shared" si="121"/>
        <v>0.05000000514579028</v>
      </c>
      <c r="AY64" s="19">
        <f t="shared" si="121"/>
        <v>711077.65</v>
      </c>
      <c r="AZ64" s="19">
        <f t="shared" si="121"/>
        <v>5102189.11</v>
      </c>
      <c r="BA64" s="19">
        <f t="shared" si="121"/>
        <v>2409</v>
      </c>
      <c r="BB64" s="19">
        <f t="shared" si="121"/>
        <v>25979.5</v>
      </c>
      <c r="BC64" s="19">
        <f t="shared" si="121"/>
        <v>59367.1</v>
      </c>
      <c r="BD64" s="19">
        <f t="shared" si="121"/>
        <v>85400</v>
      </c>
      <c r="BE64" s="19">
        <f t="shared" si="121"/>
        <v>99432.25</v>
      </c>
      <c r="BF64" s="19">
        <f t="shared" si="121"/>
        <v>5374776.96</v>
      </c>
      <c r="BG64" s="19">
        <f t="shared" si="121"/>
        <v>139613.4</v>
      </c>
      <c r="BH64" s="19">
        <f t="shared" si="121"/>
        <v>346353.65</v>
      </c>
      <c r="BI64" s="19">
        <f t="shared" si="121"/>
        <v>0</v>
      </c>
      <c r="BJ64" s="19">
        <f t="shared" si="121"/>
        <v>450000</v>
      </c>
      <c r="BK64" s="19">
        <f t="shared" si="121"/>
        <v>2000</v>
      </c>
      <c r="BL64" s="19">
        <f t="shared" si="121"/>
        <v>196689.9</v>
      </c>
      <c r="BM64" s="19">
        <f t="shared" si="121"/>
        <v>1591182.2</v>
      </c>
      <c r="BN64" s="19">
        <f t="shared" si="121"/>
        <v>130400</v>
      </c>
      <c r="BO64" s="19">
        <f t="shared" si="121"/>
        <v>2856239.1500000004</v>
      </c>
      <c r="BP64" s="19">
        <f t="shared" si="121"/>
        <v>2764828.1500000004</v>
      </c>
      <c r="BQ64" s="19">
        <f t="shared" si="121"/>
        <v>6011</v>
      </c>
      <c r="BR64" s="19">
        <f t="shared" si="121"/>
        <v>5289376.96</v>
      </c>
      <c r="BS64" s="19">
        <f t="shared" si="121"/>
        <v>0</v>
      </c>
      <c r="BT64" s="19">
        <f aca="true" t="shared" si="122" ref="BT64:CI64">BT3+BT5+BT6+BT12+BT13+BT14+BT15+BT16+BT18+BT23+BT28+BT29+BT30+BT31</f>
        <v>36676742.75</v>
      </c>
      <c r="BU64" s="19">
        <f t="shared" si="122"/>
        <v>17712522.05</v>
      </c>
      <c r="BV64" s="19">
        <f t="shared" si="122"/>
        <v>265671.3</v>
      </c>
      <c r="BW64" s="19">
        <f t="shared" si="122"/>
        <v>3661511.72</v>
      </c>
      <c r="BX64" s="19">
        <f t="shared" si="122"/>
        <v>58316447.82</v>
      </c>
      <c r="BY64" s="19">
        <f t="shared" si="122"/>
        <v>32125673.99</v>
      </c>
      <c r="BZ64" s="19">
        <f t="shared" si="122"/>
        <v>12168353.290000001</v>
      </c>
      <c r="CA64" s="19">
        <f t="shared" si="122"/>
        <v>14022420.540000001</v>
      </c>
      <c r="CB64" s="19">
        <f t="shared" si="122"/>
        <v>58316447.82</v>
      </c>
      <c r="CC64" s="19">
        <f t="shared" si="122"/>
        <v>0</v>
      </c>
      <c r="CD64" s="19">
        <f t="shared" si="122"/>
        <v>1745555.13</v>
      </c>
      <c r="CE64" s="19">
        <f t="shared" si="122"/>
        <v>1588296.9499999997</v>
      </c>
      <c r="CF64" s="19">
        <f t="shared" si="122"/>
        <v>2524548.81</v>
      </c>
      <c r="CG64" s="19">
        <f t="shared" si="122"/>
        <v>22226257.71</v>
      </c>
      <c r="CH64" s="19">
        <f t="shared" si="122"/>
        <v>286084.1299999999</v>
      </c>
      <c r="CI64" s="19">
        <f t="shared" si="122"/>
        <v>2341959.33</v>
      </c>
      <c r="CJ64" s="154">
        <f t="shared" si="87"/>
        <v>0.6914325138360069</v>
      </c>
      <c r="CK64" s="154">
        <f t="shared" si="88"/>
        <v>0.6291409156791069</v>
      </c>
      <c r="CL64" s="154">
        <f t="shared" si="89"/>
        <v>0.078535719002963</v>
      </c>
      <c r="CM64" s="154">
        <f t="shared" si="90"/>
        <v>0.0714603857618998</v>
      </c>
      <c r="CN64" s="154">
        <f t="shared" si="91"/>
        <v>0.012871448434222258</v>
      </c>
      <c r="CO64" s="154">
        <f t="shared" si="92"/>
        <v>0.10536903515459148</v>
      </c>
      <c r="CP64" s="154">
        <f t="shared" si="93"/>
        <v>0.17798117036100058</v>
      </c>
      <c r="CQ64" s="154">
        <f t="shared" si="94"/>
        <v>0.095410925729114</v>
      </c>
      <c r="CR64" s="19">
        <f t="shared" si="95"/>
        <v>2.86537650280069</v>
      </c>
      <c r="CS64" s="19">
        <f t="shared" si="96"/>
        <v>4551068.760000002</v>
      </c>
      <c r="CT64" s="19">
        <f t="shared" si="97"/>
        <v>26600795.900000006</v>
      </c>
      <c r="CU64" s="19">
        <f t="shared" si="98"/>
        <v>28346350.980000004</v>
      </c>
      <c r="CV64" s="19">
        <f t="shared" si="99"/>
        <v>1745555.0799999982</v>
      </c>
      <c r="CW64" s="19">
        <f t="shared" si="100"/>
        <v>0</v>
      </c>
      <c r="CX64" s="19">
        <f t="shared" si="101"/>
        <v>1745555.0799999982</v>
      </c>
      <c r="CY64" s="19">
        <f t="shared" si="102"/>
        <v>-2089509.6300000015</v>
      </c>
      <c r="CZ64" s="19">
        <f t="shared" si="103"/>
        <v>2524548.8099999996</v>
      </c>
      <c r="DA64" s="19">
        <f t="shared" si="104"/>
        <v>3835064.71</v>
      </c>
      <c r="DB64" s="19">
        <f t="shared" si="105"/>
        <v>-778993.7300000011</v>
      </c>
      <c r="DC64" s="19">
        <f t="shared" si="106"/>
        <v>-6599892.86</v>
      </c>
      <c r="DD64" s="19">
        <f t="shared" si="107"/>
        <v>-2089509.6300000018</v>
      </c>
      <c r="DE64" s="19">
        <f t="shared" si="108"/>
        <v>7536687.8</v>
      </c>
      <c r="DF64" s="19">
        <f t="shared" si="109"/>
        <v>513.3170268441238</v>
      </c>
      <c r="DG64" s="19">
        <f t="shared" si="110"/>
        <v>32.26755357545679</v>
      </c>
      <c r="DH64" s="19">
        <f t="shared" si="111"/>
        <v>850.0662982179111</v>
      </c>
      <c r="DI64" s="19">
        <f t="shared" si="112"/>
        <v>284.74495939544323</v>
      </c>
      <c r="DJ64" s="19">
        <f t="shared" si="113"/>
        <v>-87.86304195804209</v>
      </c>
      <c r="DK64" s="19">
        <f t="shared" si="114"/>
        <v>-7351613.23</v>
      </c>
    </row>
    <row r="65" spans="1:115" ht="12.75">
      <c r="A65" s="3" t="s">
        <v>248</v>
      </c>
      <c r="B65" s="62">
        <f>SUM(B60:B64)</f>
        <v>38207</v>
      </c>
      <c r="C65" s="62">
        <f aca="true" t="shared" si="123" ref="C65:BN65">SUM(C60:C64)</f>
        <v>126728843</v>
      </c>
      <c r="D65" s="62">
        <f>MEDIAN(D60:D64)</f>
        <v>2953.7714285714283</v>
      </c>
      <c r="E65" s="62">
        <f>MEDIAN(E60:E64)</f>
        <v>89.05285714285716</v>
      </c>
      <c r="F65" s="62">
        <f>MEDIAN(F60:F64)</f>
        <v>6.857142857142857</v>
      </c>
      <c r="G65" s="19">
        <f t="shared" si="123"/>
        <v>28885737.700000003</v>
      </c>
      <c r="H65" s="19">
        <f t="shared" si="123"/>
        <v>30199805.200000003</v>
      </c>
      <c r="I65" s="19">
        <f t="shared" si="123"/>
        <v>3351570.58</v>
      </c>
      <c r="J65" s="19">
        <f t="shared" si="123"/>
        <v>3236117.6900000004</v>
      </c>
      <c r="K65" s="19">
        <f t="shared" si="123"/>
        <v>8937659.19</v>
      </c>
      <c r="L65" s="19">
        <f t="shared" si="123"/>
        <v>3711168.6499999994</v>
      </c>
      <c r="M65" s="19">
        <f t="shared" si="123"/>
        <v>12648827.84</v>
      </c>
      <c r="N65" s="19">
        <f t="shared" si="123"/>
        <v>519579.86</v>
      </c>
      <c r="O65" s="19">
        <f t="shared" si="123"/>
        <v>4528892.15</v>
      </c>
      <c r="P65" s="19">
        <f t="shared" si="123"/>
        <v>10869855.799999999</v>
      </c>
      <c r="Q65" s="19">
        <f t="shared" si="123"/>
        <v>267438.45</v>
      </c>
      <c r="R65" s="19">
        <f t="shared" si="123"/>
        <v>2489565.96</v>
      </c>
      <c r="S65" s="19">
        <f t="shared" si="123"/>
        <v>173663.05</v>
      </c>
      <c r="T65" s="19">
        <f t="shared" si="123"/>
        <v>1366604.2</v>
      </c>
      <c r="U65" s="19">
        <f t="shared" si="123"/>
        <v>161582.64</v>
      </c>
      <c r="V65" s="19">
        <f t="shared" si="123"/>
        <v>50000</v>
      </c>
      <c r="W65" s="19">
        <f t="shared" si="123"/>
        <v>4241415.85</v>
      </c>
      <c r="X65" s="19">
        <f t="shared" si="123"/>
        <v>16384876.46</v>
      </c>
      <c r="Y65" s="19">
        <f t="shared" si="123"/>
        <v>115134117.58000001</v>
      </c>
      <c r="Z65" s="19">
        <f t="shared" si="123"/>
        <v>30909663.24</v>
      </c>
      <c r="AA65" s="19">
        <f t="shared" si="123"/>
        <v>4966427.06</v>
      </c>
      <c r="AB65" s="19">
        <f t="shared" si="123"/>
        <v>398971.95</v>
      </c>
      <c r="AC65" s="19">
        <f t="shared" si="123"/>
        <v>5130.95</v>
      </c>
      <c r="AD65" s="19">
        <f t="shared" si="123"/>
        <v>442338.19999999995</v>
      </c>
      <c r="AE65" s="19">
        <f t="shared" si="123"/>
        <v>36722531.400000006</v>
      </c>
      <c r="AF65" s="19">
        <f t="shared" si="123"/>
        <v>767172.8</v>
      </c>
      <c r="AG65" s="19">
        <f t="shared" si="123"/>
        <v>7621950.37</v>
      </c>
      <c r="AH65" s="19">
        <f t="shared" si="123"/>
        <v>1736843</v>
      </c>
      <c r="AI65" s="19">
        <f t="shared" si="123"/>
        <v>33310451.77</v>
      </c>
      <c r="AJ65" s="19">
        <f t="shared" si="123"/>
        <v>4219570.25</v>
      </c>
      <c r="AK65" s="19">
        <f t="shared" si="123"/>
        <v>2318710.7100000004</v>
      </c>
      <c r="AL65" s="19">
        <f t="shared" si="123"/>
        <v>7015978.2</v>
      </c>
      <c r="AM65" s="19">
        <f t="shared" si="123"/>
        <v>250880.1</v>
      </c>
      <c r="AN65" s="19">
        <f t="shared" si="123"/>
        <v>1838668.3699999999</v>
      </c>
      <c r="AO65" s="19">
        <f t="shared" si="123"/>
        <v>232551.89</v>
      </c>
      <c r="AP65" s="19">
        <f t="shared" si="123"/>
        <v>733439.35</v>
      </c>
      <c r="AQ65" s="19">
        <f t="shared" si="123"/>
        <v>13016.9</v>
      </c>
      <c r="AR65" s="19">
        <f t="shared" si="123"/>
        <v>0</v>
      </c>
      <c r="AS65" s="19">
        <f t="shared" si="123"/>
        <v>2817676.51</v>
      </c>
      <c r="AT65" s="19">
        <f t="shared" si="123"/>
        <v>16523902.75</v>
      </c>
      <c r="AU65" s="19">
        <f t="shared" si="123"/>
        <v>111568824.86000001</v>
      </c>
      <c r="AV65" s="19">
        <f t="shared" si="123"/>
        <v>875000.6699999999</v>
      </c>
      <c r="AW65" s="19">
        <f t="shared" si="123"/>
        <v>4440293.33</v>
      </c>
      <c r="AX65" s="19">
        <f t="shared" si="123"/>
        <v>0.06000000477533263</v>
      </c>
      <c r="AY65" s="19">
        <f t="shared" si="123"/>
        <v>2536540.85</v>
      </c>
      <c r="AZ65" s="19">
        <f t="shared" si="123"/>
        <v>25125249.119999997</v>
      </c>
      <c r="BA65" s="19">
        <f t="shared" si="123"/>
        <v>162909</v>
      </c>
      <c r="BB65" s="19">
        <f t="shared" si="123"/>
        <v>128581.5</v>
      </c>
      <c r="BC65" s="19">
        <f t="shared" si="123"/>
        <v>3082244.9499999997</v>
      </c>
      <c r="BD65" s="19">
        <f t="shared" si="123"/>
        <v>85400</v>
      </c>
      <c r="BE65" s="19">
        <f t="shared" si="123"/>
        <v>1042534.7000000001</v>
      </c>
      <c r="BF65" s="19">
        <f t="shared" si="123"/>
        <v>29626919.270000003</v>
      </c>
      <c r="BG65" s="19">
        <f t="shared" si="123"/>
        <v>158440.69999999998</v>
      </c>
      <c r="BH65" s="19">
        <f t="shared" si="123"/>
        <v>2427844.58</v>
      </c>
      <c r="BI65" s="19">
        <f t="shared" si="123"/>
        <v>0</v>
      </c>
      <c r="BJ65" s="19">
        <f t="shared" si="123"/>
        <v>595000</v>
      </c>
      <c r="BK65" s="19">
        <f t="shared" si="123"/>
        <v>2000</v>
      </c>
      <c r="BL65" s="19">
        <f t="shared" si="123"/>
        <v>1354643.0499999998</v>
      </c>
      <c r="BM65" s="19">
        <f t="shared" si="123"/>
        <v>7538821.250000001</v>
      </c>
      <c r="BN65" s="19">
        <f t="shared" si="123"/>
        <v>130400</v>
      </c>
      <c r="BO65" s="19">
        <f aca="true" t="shared" si="124" ref="BO65:CI65">SUM(BO60:BO64)</f>
        <v>12207149.58</v>
      </c>
      <c r="BP65" s="19">
        <f t="shared" si="124"/>
        <v>11924736.33</v>
      </c>
      <c r="BQ65" s="19">
        <f t="shared" si="124"/>
        <v>6011</v>
      </c>
      <c r="BR65" s="19">
        <f t="shared" si="124"/>
        <v>29350517.020000003</v>
      </c>
      <c r="BS65" s="19">
        <f t="shared" si="124"/>
        <v>0</v>
      </c>
      <c r="BT65" s="19">
        <f t="shared" si="124"/>
        <v>132859216.11</v>
      </c>
      <c r="BU65" s="19">
        <f t="shared" si="124"/>
        <v>83685963.69</v>
      </c>
      <c r="BV65" s="19">
        <f t="shared" si="124"/>
        <v>2472528.88</v>
      </c>
      <c r="BW65" s="19">
        <f t="shared" si="124"/>
        <v>3908650.9000000004</v>
      </c>
      <c r="BX65" s="19">
        <f t="shared" si="124"/>
        <v>222926359.58</v>
      </c>
      <c r="BY65" s="19">
        <f t="shared" si="124"/>
        <v>116104076.77</v>
      </c>
      <c r="BZ65" s="19">
        <f t="shared" si="124"/>
        <v>49879051.72</v>
      </c>
      <c r="CA65" s="19">
        <f t="shared" si="124"/>
        <v>56943230.99</v>
      </c>
      <c r="CB65" s="19">
        <f t="shared" si="124"/>
        <v>222926359.48000002</v>
      </c>
      <c r="CC65" s="19">
        <f t="shared" si="124"/>
        <v>0.1000000019557774</v>
      </c>
      <c r="CD65" s="19">
        <f t="shared" si="124"/>
        <v>9083535.180000002</v>
      </c>
      <c r="CE65" s="19">
        <f t="shared" si="124"/>
        <v>10507274.52</v>
      </c>
      <c r="CF65" s="19">
        <f t="shared" si="124"/>
        <v>17425780.689999998</v>
      </c>
      <c r="CG65" s="19">
        <f t="shared" si="124"/>
        <v>91976365.5</v>
      </c>
      <c r="CH65" s="19">
        <f t="shared" si="124"/>
        <v>9015.05999999994</v>
      </c>
      <c r="CI65" s="19">
        <f t="shared" si="124"/>
        <v>8946674.25</v>
      </c>
      <c r="CJ65" s="154">
        <f t="shared" si="87"/>
        <v>0.5212699127570624</v>
      </c>
      <c r="CK65" s="154">
        <f t="shared" si="88"/>
        <v>0.602972957534679</v>
      </c>
      <c r="CL65" s="154">
        <f t="shared" si="89"/>
        <v>0.09875944902389083</v>
      </c>
      <c r="CM65" s="154">
        <f t="shared" si="90"/>
        <v>0.11423885324105354</v>
      </c>
      <c r="CN65" s="154">
        <f t="shared" si="91"/>
        <v>9.801496233290431E-05</v>
      </c>
      <c r="CO65" s="154">
        <f t="shared" si="92"/>
        <v>0.09727144795692107</v>
      </c>
      <c r="CP65" s="154">
        <f t="shared" si="93"/>
        <v>0.1313007236441777</v>
      </c>
      <c r="CQ65" s="154">
        <f t="shared" si="94"/>
        <v>0.0927770647348802</v>
      </c>
      <c r="CR65" s="19">
        <f t="shared" si="95"/>
        <v>1.5946227833019446</v>
      </c>
      <c r="CS65" s="19">
        <f t="shared" si="96"/>
        <v>16755139.340000004</v>
      </c>
      <c r="CT65" s="19">
        <f t="shared" si="97"/>
        <v>102435289.74000001</v>
      </c>
      <c r="CU65" s="19">
        <f t="shared" si="98"/>
        <v>111568824.86000001</v>
      </c>
      <c r="CV65" s="19">
        <f t="shared" si="99"/>
        <v>9133535.120000005</v>
      </c>
      <c r="CW65" s="19">
        <f t="shared" si="100"/>
        <v>-50000</v>
      </c>
      <c r="CX65" s="19">
        <f t="shared" si="101"/>
        <v>9083535.120000005</v>
      </c>
      <c r="CY65" s="19">
        <f t="shared" si="102"/>
        <v>-3565292.719999994</v>
      </c>
      <c r="CZ65" s="19">
        <f t="shared" si="103"/>
        <v>17425780.690000005</v>
      </c>
      <c r="DA65" s="19">
        <f t="shared" si="104"/>
        <v>12648827.84</v>
      </c>
      <c r="DB65" s="19">
        <f t="shared" si="105"/>
        <v>-8342245.569999999</v>
      </c>
      <c r="DC65" s="19">
        <f t="shared" si="106"/>
        <v>-24573564.17</v>
      </c>
      <c r="DD65" s="19">
        <f t="shared" si="107"/>
        <v>-3565292.719999999</v>
      </c>
      <c r="DE65" s="19">
        <f t="shared" si="108"/>
        <v>36275062.25</v>
      </c>
      <c r="DF65" s="19">
        <f t="shared" si="109"/>
        <v>438.53585311592127</v>
      </c>
      <c r="DG65" s="19">
        <f t="shared" si="110"/>
        <v>0.23595309759991467</v>
      </c>
      <c r="DH65" s="19">
        <f t="shared" si="111"/>
        <v>949.4349791922946</v>
      </c>
      <c r="DI65" s="19">
        <f t="shared" si="112"/>
        <v>456.08869290967635</v>
      </c>
      <c r="DJ65" s="19">
        <f t="shared" si="113"/>
        <v>-218.3433813175596</v>
      </c>
      <c r="DK65" s="19">
        <f t="shared" si="114"/>
        <v>-30651383.599999994</v>
      </c>
    </row>
  </sheetData>
  <printOptions/>
  <pageMargins left="0.7480314960629921" right="0.3937007874015748" top="0.7874015748031497" bottom="0.3937007874015748" header="0.3937007874015748" footer="0.2755905511811024"/>
  <pageSetup horizontalDpi="300" verticalDpi="300" orientation="landscape" paperSize="9" scale="95" r:id="rId1"/>
  <headerFooter alignWithMargins="0">
    <oddHeader>&amp;L&amp;"Arial,Fett"&amp;14Ortsgemeinden Kanton Glarus: Erhebung Finanzkennzahlen vom April 2002&amp;RKennzahlen Jahr 2000</oddHeader>
    <oddFooter>&amp;L&amp;8BHP Bern&amp;R&amp;8&amp;F/&amp;A/&amp;Pvon &amp;N</oddFooter>
  </headerFooter>
  <colBreaks count="3" manualBreakCount="3">
    <brk id="12" max="65535" man="1"/>
    <brk id="21" max="65535" man="1"/>
    <brk id="3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1:DN65"/>
  <sheetViews>
    <sheetView workbookViewId="0" topLeftCell="A1">
      <pane xSplit="6" ySplit="2" topLeftCell="AO3" activePane="bottomRight" state="frozen"/>
      <selection pane="topLeft" activeCell="N5" sqref="N5"/>
      <selection pane="topRight" activeCell="N5" sqref="N5"/>
      <selection pane="bottomLeft" activeCell="N5" sqref="N5"/>
      <selection pane="bottomRight" activeCell="AS11" sqref="AS11"/>
    </sheetView>
  </sheetViews>
  <sheetFormatPr defaultColWidth="11.421875" defaultRowHeight="12.75"/>
  <cols>
    <col min="1" max="1" width="13.8515625" style="3" customWidth="1"/>
    <col min="2" max="2" width="9.7109375" style="3" customWidth="1"/>
    <col min="3" max="3" width="13.140625" style="3" customWidth="1"/>
    <col min="4" max="4" width="10.140625" style="3" customWidth="1"/>
    <col min="5" max="5" width="9.7109375" style="3" customWidth="1"/>
    <col min="6" max="6" width="8.28125" style="3" customWidth="1"/>
    <col min="7" max="38" width="12.140625" style="0" customWidth="1"/>
    <col min="39" max="50" width="12.57421875" style="0" customWidth="1"/>
    <col min="51" max="70" width="11.28125" style="0" customWidth="1"/>
    <col min="71" max="80" width="12.28125" style="0" customWidth="1"/>
    <col min="81" max="81" width="13.8515625" style="0" customWidth="1"/>
    <col min="82" max="82" width="14.140625" style="0" customWidth="1"/>
    <col min="83" max="83" width="13.7109375" style="0" customWidth="1"/>
    <col min="84" max="84" width="12.57421875" style="0" customWidth="1"/>
    <col min="85" max="85" width="13.421875" style="0" customWidth="1"/>
    <col min="86" max="87" width="13.140625" style="0" customWidth="1"/>
    <col min="88" max="95" width="12.421875" style="0" customWidth="1"/>
    <col min="96" max="96" width="14.28125" style="0" customWidth="1"/>
    <col min="97" max="114" width="12.421875" style="0" customWidth="1"/>
    <col min="115" max="115" width="11.57421875" style="0" customWidth="1"/>
  </cols>
  <sheetData>
    <row r="1" spans="1:117" s="2" customFormat="1" ht="15.75" customHeight="1" thickBot="1">
      <c r="A1" s="48"/>
      <c r="B1" s="23" t="s">
        <v>200</v>
      </c>
      <c r="C1" s="23"/>
      <c r="D1" s="23"/>
      <c r="E1" s="23"/>
      <c r="F1" s="55"/>
      <c r="G1" s="21" t="s">
        <v>62</v>
      </c>
      <c r="H1" s="21"/>
      <c r="I1" s="21"/>
      <c r="J1" s="21"/>
      <c r="K1" s="21"/>
      <c r="L1" s="21"/>
      <c r="M1" s="21" t="s">
        <v>67</v>
      </c>
      <c r="N1" s="21"/>
      <c r="O1" s="21"/>
      <c r="P1" s="21"/>
      <c r="Q1" s="21"/>
      <c r="R1" s="21"/>
      <c r="S1" s="21" t="s">
        <v>67</v>
      </c>
      <c r="T1" s="21"/>
      <c r="U1" s="21"/>
      <c r="V1" s="21"/>
      <c r="W1" s="21"/>
      <c r="X1" s="21"/>
      <c r="Y1" s="21" t="s">
        <v>67</v>
      </c>
      <c r="Z1" s="21"/>
      <c r="AA1" s="21"/>
      <c r="AB1" s="21"/>
      <c r="AC1" s="21"/>
      <c r="AD1" s="21"/>
      <c r="AE1" s="21"/>
      <c r="AF1" s="21" t="s">
        <v>67</v>
      </c>
      <c r="AG1" s="21"/>
      <c r="AH1" s="21"/>
      <c r="AI1" s="21"/>
      <c r="AJ1" s="21"/>
      <c r="AK1" s="21"/>
      <c r="AL1" s="21" t="s">
        <v>67</v>
      </c>
      <c r="AM1" s="21"/>
      <c r="AN1" s="21"/>
      <c r="AO1" s="21"/>
      <c r="AP1" s="21"/>
      <c r="AQ1" s="21" t="s">
        <v>67</v>
      </c>
      <c r="AR1" s="21"/>
      <c r="AS1" s="21"/>
      <c r="AT1" s="21"/>
      <c r="AU1" s="21"/>
      <c r="AV1" s="21" t="s">
        <v>67</v>
      </c>
      <c r="AW1" s="21"/>
      <c r="AX1" s="21"/>
      <c r="AY1" s="21"/>
      <c r="AZ1" s="21" t="s">
        <v>63</v>
      </c>
      <c r="BA1" s="21"/>
      <c r="BB1" s="21"/>
      <c r="BC1" s="21"/>
      <c r="BD1" s="21"/>
      <c r="BE1" s="21"/>
      <c r="BF1" s="21" t="s">
        <v>138</v>
      </c>
      <c r="BG1" s="21"/>
      <c r="BH1" s="21"/>
      <c r="BI1" s="21"/>
      <c r="BJ1" s="21"/>
      <c r="BK1" s="21"/>
      <c r="BL1" s="21" t="s">
        <v>138</v>
      </c>
      <c r="BM1" s="21"/>
      <c r="BN1" s="21"/>
      <c r="BO1" s="21"/>
      <c r="BP1" s="21"/>
      <c r="BQ1" s="21" t="s">
        <v>138</v>
      </c>
      <c r="BS1" s="21"/>
      <c r="BT1" s="58" t="s">
        <v>64</v>
      </c>
      <c r="BU1" s="21"/>
      <c r="BV1" s="21"/>
      <c r="BW1" s="21"/>
      <c r="BX1" s="21"/>
      <c r="BY1" s="21"/>
      <c r="BZ1" s="21"/>
      <c r="CA1" s="21"/>
      <c r="CB1" s="21"/>
      <c r="CC1" s="21"/>
      <c r="CD1" s="58" t="s">
        <v>65</v>
      </c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</row>
    <row r="2" spans="1:117" s="1" customFormat="1" ht="89.25" customHeight="1">
      <c r="A2" s="49"/>
      <c r="B2" s="40" t="s">
        <v>66</v>
      </c>
      <c r="C2" s="20" t="s">
        <v>37</v>
      </c>
      <c r="D2" s="20" t="s">
        <v>68</v>
      </c>
      <c r="E2" s="20" t="s">
        <v>52</v>
      </c>
      <c r="F2" s="126" t="s">
        <v>212</v>
      </c>
      <c r="G2" s="130" t="s">
        <v>76</v>
      </c>
      <c r="H2" s="54" t="s">
        <v>77</v>
      </c>
      <c r="I2" s="54" t="s">
        <v>78</v>
      </c>
      <c r="J2" s="54" t="s">
        <v>79</v>
      </c>
      <c r="K2" s="54" t="s">
        <v>80</v>
      </c>
      <c r="L2" s="54" t="s">
        <v>81</v>
      </c>
      <c r="M2" s="54" t="s">
        <v>82</v>
      </c>
      <c r="N2" s="54" t="s">
        <v>83</v>
      </c>
      <c r="O2" s="54" t="s">
        <v>84</v>
      </c>
      <c r="P2" s="54" t="s">
        <v>85</v>
      </c>
      <c r="Q2" s="54" t="s">
        <v>86</v>
      </c>
      <c r="R2" s="54" t="s">
        <v>87</v>
      </c>
      <c r="S2" s="54" t="s">
        <v>88</v>
      </c>
      <c r="T2" s="54" t="s">
        <v>89</v>
      </c>
      <c r="U2" s="54" t="s">
        <v>90</v>
      </c>
      <c r="V2" s="54" t="s">
        <v>91</v>
      </c>
      <c r="W2" s="54" t="s">
        <v>92</v>
      </c>
      <c r="X2" s="54" t="s">
        <v>93</v>
      </c>
      <c r="Y2" s="54" t="s">
        <v>94</v>
      </c>
      <c r="Z2" s="54" t="s">
        <v>95</v>
      </c>
      <c r="AA2" s="54" t="s">
        <v>96</v>
      </c>
      <c r="AB2" s="54" t="s">
        <v>97</v>
      </c>
      <c r="AC2" s="54" t="s">
        <v>215</v>
      </c>
      <c r="AD2" s="54" t="s">
        <v>98</v>
      </c>
      <c r="AE2" s="54" t="s">
        <v>99</v>
      </c>
      <c r="AF2" s="54" t="s">
        <v>100</v>
      </c>
      <c r="AG2" s="54" t="s">
        <v>101</v>
      </c>
      <c r="AH2" s="54" t="s">
        <v>102</v>
      </c>
      <c r="AI2" s="54" t="s">
        <v>103</v>
      </c>
      <c r="AJ2" s="54" t="s">
        <v>104</v>
      </c>
      <c r="AK2" s="54" t="s">
        <v>105</v>
      </c>
      <c r="AL2" s="54" t="s">
        <v>106</v>
      </c>
      <c r="AM2" s="54" t="s">
        <v>107</v>
      </c>
      <c r="AN2" s="36" t="s">
        <v>108</v>
      </c>
      <c r="AO2" s="36" t="s">
        <v>109</v>
      </c>
      <c r="AP2" s="36" t="s">
        <v>110</v>
      </c>
      <c r="AQ2" s="36" t="s">
        <v>111</v>
      </c>
      <c r="AR2" s="36" t="s">
        <v>112</v>
      </c>
      <c r="AS2" s="36" t="s">
        <v>113</v>
      </c>
      <c r="AT2" s="36" t="s">
        <v>114</v>
      </c>
      <c r="AU2" s="36" t="s">
        <v>115</v>
      </c>
      <c r="AV2" s="36" t="s">
        <v>116</v>
      </c>
      <c r="AW2" s="36" t="s">
        <v>117</v>
      </c>
      <c r="AX2" s="36" t="s">
        <v>118</v>
      </c>
      <c r="AY2" s="54" t="s">
        <v>139</v>
      </c>
      <c r="AZ2" s="54" t="s">
        <v>119</v>
      </c>
      <c r="BA2" s="54" t="s">
        <v>120</v>
      </c>
      <c r="BB2" s="54" t="s">
        <v>121</v>
      </c>
      <c r="BC2" s="54" t="s">
        <v>122</v>
      </c>
      <c r="BD2" s="54" t="s">
        <v>123</v>
      </c>
      <c r="BE2" s="54" t="s">
        <v>124</v>
      </c>
      <c r="BF2" s="54" t="s">
        <v>125</v>
      </c>
      <c r="BG2" s="54" t="s">
        <v>126</v>
      </c>
      <c r="BH2" s="54" t="s">
        <v>127</v>
      </c>
      <c r="BI2" s="54" t="s">
        <v>128</v>
      </c>
      <c r="BJ2" s="54" t="s">
        <v>129</v>
      </c>
      <c r="BK2" s="54" t="s">
        <v>130</v>
      </c>
      <c r="BL2" s="54" t="s">
        <v>132</v>
      </c>
      <c r="BM2" s="54" t="s">
        <v>131</v>
      </c>
      <c r="BN2" s="54" t="s">
        <v>133</v>
      </c>
      <c r="BO2" s="54" t="s">
        <v>134</v>
      </c>
      <c r="BP2" s="54" t="s">
        <v>135</v>
      </c>
      <c r="BQ2" s="54" t="s">
        <v>136</v>
      </c>
      <c r="BR2" s="54" t="s">
        <v>137</v>
      </c>
      <c r="BS2" s="54" t="s">
        <v>118</v>
      </c>
      <c r="BT2" s="36" t="s">
        <v>140</v>
      </c>
      <c r="BU2" s="36" t="s">
        <v>141</v>
      </c>
      <c r="BV2" s="36" t="s">
        <v>146</v>
      </c>
      <c r="BW2" s="36" t="s">
        <v>142</v>
      </c>
      <c r="BX2" s="36" t="s">
        <v>143</v>
      </c>
      <c r="BY2" s="36" t="s">
        <v>144</v>
      </c>
      <c r="BZ2" s="36" t="s">
        <v>145</v>
      </c>
      <c r="CA2" s="36" t="s">
        <v>147</v>
      </c>
      <c r="CB2" s="36" t="s">
        <v>148</v>
      </c>
      <c r="CC2" s="36" t="s">
        <v>118</v>
      </c>
      <c r="CD2" s="131" t="s">
        <v>149</v>
      </c>
      <c r="CE2" s="131" t="s">
        <v>150</v>
      </c>
      <c r="CF2" s="131" t="s">
        <v>60</v>
      </c>
      <c r="CG2" s="131" t="s">
        <v>151</v>
      </c>
      <c r="CH2" s="131" t="s">
        <v>152</v>
      </c>
      <c r="CI2" s="131" t="s">
        <v>153</v>
      </c>
      <c r="CJ2" s="131" t="s">
        <v>46</v>
      </c>
      <c r="CK2" s="131" t="s">
        <v>249</v>
      </c>
      <c r="CL2" s="131" t="s">
        <v>45</v>
      </c>
      <c r="CM2" s="131" t="s">
        <v>69</v>
      </c>
      <c r="CN2" s="131" t="s">
        <v>43</v>
      </c>
      <c r="CO2" s="131" t="s">
        <v>44</v>
      </c>
      <c r="CP2" s="131" t="s">
        <v>154</v>
      </c>
      <c r="CQ2" s="131" t="s">
        <v>156</v>
      </c>
      <c r="CR2" s="131" t="s">
        <v>155</v>
      </c>
      <c r="CS2" s="131" t="s">
        <v>161</v>
      </c>
      <c r="CT2" s="131" t="s">
        <v>164</v>
      </c>
      <c r="CU2" s="131" t="s">
        <v>165</v>
      </c>
      <c r="CV2" s="131" t="s">
        <v>163</v>
      </c>
      <c r="CW2" s="131" t="s">
        <v>167</v>
      </c>
      <c r="CX2" s="131" t="s">
        <v>149</v>
      </c>
      <c r="CY2" s="131" t="s">
        <v>168</v>
      </c>
      <c r="CZ2" s="131" t="s">
        <v>173</v>
      </c>
      <c r="DA2" s="131" t="s">
        <v>178</v>
      </c>
      <c r="DB2" s="131" t="s">
        <v>179</v>
      </c>
      <c r="DC2" s="131" t="s">
        <v>181</v>
      </c>
      <c r="DD2" s="131" t="s">
        <v>184</v>
      </c>
      <c r="DE2" s="131" t="s">
        <v>190</v>
      </c>
      <c r="DF2" s="131" t="s">
        <v>198</v>
      </c>
      <c r="DG2" s="131" t="s">
        <v>194</v>
      </c>
      <c r="DH2" s="131" t="s">
        <v>195</v>
      </c>
      <c r="DI2" s="131" t="s">
        <v>196</v>
      </c>
      <c r="DJ2" s="131" t="s">
        <v>199</v>
      </c>
      <c r="DK2" s="131" t="s">
        <v>250</v>
      </c>
      <c r="DL2" s="131"/>
      <c r="DM2" s="132"/>
    </row>
    <row r="3" spans="1:117" s="5" customFormat="1" ht="12.75" customHeight="1">
      <c r="A3" s="50" t="s">
        <v>38</v>
      </c>
      <c r="B3" s="41">
        <v>172</v>
      </c>
      <c r="C3" s="6">
        <v>391363</v>
      </c>
      <c r="D3" s="33">
        <v>2275.37</v>
      </c>
      <c r="E3" s="33">
        <v>71.41</v>
      </c>
      <c r="F3" s="127">
        <v>8</v>
      </c>
      <c r="G3" s="133">
        <v>160160.6</v>
      </c>
      <c r="H3" s="43">
        <v>136144.5</v>
      </c>
      <c r="I3" s="43">
        <v>3413.85</v>
      </c>
      <c r="J3" s="43">
        <v>0</v>
      </c>
      <c r="K3" s="43">
        <v>28510.75</v>
      </c>
      <c r="L3" s="43">
        <v>0</v>
      </c>
      <c r="M3" s="43">
        <f aca="true" t="shared" si="0" ref="M3:M31">SUM(K3:L3)</f>
        <v>28510.75</v>
      </c>
      <c r="N3" s="43">
        <v>0</v>
      </c>
      <c r="O3" s="43">
        <v>122407.2</v>
      </c>
      <c r="P3" s="43">
        <v>104481.7</v>
      </c>
      <c r="Q3" s="43">
        <v>4590.35</v>
      </c>
      <c r="R3" s="43">
        <v>75416.75</v>
      </c>
      <c r="S3" s="43">
        <v>0</v>
      </c>
      <c r="T3" s="43">
        <v>0</v>
      </c>
      <c r="U3" s="43">
        <v>0</v>
      </c>
      <c r="V3" s="43">
        <v>0</v>
      </c>
      <c r="W3" s="43">
        <f aca="true" t="shared" si="1" ref="W3:W14">SUM(R3:V3)</f>
        <v>75416.75</v>
      </c>
      <c r="X3" s="43">
        <v>133269</v>
      </c>
      <c r="Y3" s="43">
        <f aca="true" t="shared" si="2" ref="Y3:Y14">SUM(G3:X3)-M3-W3</f>
        <v>768394.7</v>
      </c>
      <c r="Z3" s="43">
        <v>273108.75</v>
      </c>
      <c r="AA3" s="43">
        <v>9590.35</v>
      </c>
      <c r="AB3" s="43">
        <v>166.25</v>
      </c>
      <c r="AC3" s="43">
        <v>2133.35</v>
      </c>
      <c r="AD3" s="43">
        <v>6125.5</v>
      </c>
      <c r="AE3" s="43">
        <f aca="true" t="shared" si="3" ref="AE3:AE14">SUM(Z3:AD3)</f>
        <v>291124.19999999995</v>
      </c>
      <c r="AF3" s="43">
        <v>47.1</v>
      </c>
      <c r="AG3" s="43">
        <v>44019.25</v>
      </c>
      <c r="AH3" s="43">
        <v>0</v>
      </c>
      <c r="AI3" s="43">
        <v>135351.65</v>
      </c>
      <c r="AJ3" s="43">
        <v>273937.95</v>
      </c>
      <c r="AK3" s="43">
        <v>9775.2</v>
      </c>
      <c r="AL3" s="43">
        <v>73446.05</v>
      </c>
      <c r="AM3" s="43">
        <v>4590.35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f aca="true" t="shared" si="4" ref="AS3:AS14">SUM(AN3:AR3)</f>
        <v>0</v>
      </c>
      <c r="AT3" s="4">
        <v>148074</v>
      </c>
      <c r="AU3" s="4">
        <f aca="true" t="shared" si="5" ref="AU3:AU14">SUM(Z3:AT3)-AE3-AH3-AS3</f>
        <v>980365.75</v>
      </c>
      <c r="AV3" s="4">
        <v>211971.05</v>
      </c>
      <c r="AW3" s="4">
        <v>0</v>
      </c>
      <c r="AX3" s="4">
        <f aca="true" t="shared" si="6" ref="AX3:AX14">Y3-AU3+AV3-AW3</f>
        <v>-5.820766091346741E-11</v>
      </c>
      <c r="AY3" s="43">
        <v>26963.8</v>
      </c>
      <c r="AZ3" s="43">
        <v>34918.75</v>
      </c>
      <c r="BA3" s="43">
        <v>59042</v>
      </c>
      <c r="BB3" s="43">
        <v>0</v>
      </c>
      <c r="BC3" s="43">
        <v>0</v>
      </c>
      <c r="BD3" s="43">
        <v>0</v>
      </c>
      <c r="BE3" s="43">
        <v>0</v>
      </c>
      <c r="BF3" s="43">
        <f aca="true" t="shared" si="7" ref="BF3:BF14">SUM(AZ3:BE3)</f>
        <v>93960.75</v>
      </c>
      <c r="BG3" s="43">
        <v>0</v>
      </c>
      <c r="BH3" s="43">
        <v>0</v>
      </c>
      <c r="BI3" s="43">
        <v>0</v>
      </c>
      <c r="BJ3" s="43">
        <v>0</v>
      </c>
      <c r="BK3" s="43">
        <v>11551</v>
      </c>
      <c r="BL3" s="43">
        <v>0</v>
      </c>
      <c r="BM3" s="43">
        <v>0</v>
      </c>
      <c r="BN3" s="43">
        <v>0</v>
      </c>
      <c r="BO3" s="43">
        <f aca="true" t="shared" si="8" ref="BO3:BO14">SUM(BG3:BN3)</f>
        <v>11551</v>
      </c>
      <c r="BP3" s="43">
        <v>11551</v>
      </c>
      <c r="BQ3" s="43">
        <v>0</v>
      </c>
      <c r="BR3" s="43">
        <v>93960.75</v>
      </c>
      <c r="BS3" s="43">
        <f aca="true" t="shared" si="9" ref="BS3:BS14">+BF3-BO3+BP3+BQ3-BR3</f>
        <v>0</v>
      </c>
      <c r="BT3" s="4">
        <v>1490397.1</v>
      </c>
      <c r="BU3" s="4">
        <v>251170</v>
      </c>
      <c r="BV3" s="4">
        <v>0</v>
      </c>
      <c r="BW3" s="4">
        <v>0</v>
      </c>
      <c r="BX3" s="4">
        <f aca="true" t="shared" si="10" ref="BX3:BX14">SUM(BT3:BW3)</f>
        <v>1741567.1</v>
      </c>
      <c r="BY3" s="4">
        <v>465633.35</v>
      </c>
      <c r="BZ3" s="4">
        <v>210882.15</v>
      </c>
      <c r="CA3" s="4">
        <v>1065051.6</v>
      </c>
      <c r="CB3" s="4">
        <f aca="true" t="shared" si="11" ref="CB3:CB14">SUM(BY3:CA3)</f>
        <v>1741567.1</v>
      </c>
      <c r="CC3" s="4">
        <f aca="true" t="shared" si="12" ref="CC3:CC14">BX3-CB3</f>
        <v>0</v>
      </c>
      <c r="CD3" s="74">
        <f aca="true" t="shared" si="13" ref="CD3:CD14">K3+L3+AV3-AW3</f>
        <v>240481.8</v>
      </c>
      <c r="CE3" s="76">
        <f aca="true" t="shared" si="14" ref="CE3:CE14">CD3+W3-AS3</f>
        <v>315898.55</v>
      </c>
      <c r="CF3" s="76">
        <f aca="true" t="shared" si="15" ref="CF3:CF14">BR3-BP3</f>
        <v>82409.75</v>
      </c>
      <c r="CG3" s="76">
        <f aca="true" t="shared" si="16" ref="CG3:CG10">AU3-AM3-AT3-AS3</f>
        <v>827701.4</v>
      </c>
      <c r="CH3" s="76">
        <f aca="true" t="shared" si="17" ref="CH3:CH14">I3-AG3+AY3+AH3+BQ3</f>
        <v>-13641.600000000002</v>
      </c>
      <c r="CI3" s="37">
        <f aca="true" t="shared" si="18" ref="CI3:CI14">CH3+K3</f>
        <v>14869.149999999998</v>
      </c>
      <c r="CJ3" s="59">
        <f>IF(CF3=0,"-",(CD3/CF3))</f>
        <v>2.9181231589708743</v>
      </c>
      <c r="CK3" s="59">
        <f>IF(CF3=0,"-",(CE3/CF3))</f>
        <v>3.833266694778227</v>
      </c>
      <c r="CL3" s="141">
        <f>IF(CG3=0,"-",(CD3/CG3*1))</f>
        <v>0.29054173401180666</v>
      </c>
      <c r="CM3" s="141">
        <f>IF(CE3=0,"-",(CE3/CG3))</f>
        <v>0.3816576243558365</v>
      </c>
      <c r="CN3" s="141">
        <f>IF(CG3=0,"-",(CH3/CG3))</f>
        <v>-0.016481305939557434</v>
      </c>
      <c r="CO3" s="141">
        <f>IF(CG3=0,"-",(CI3/CG3))</f>
        <v>0.017964389090075233</v>
      </c>
      <c r="CP3" s="141">
        <f>IF(BU3+K3+L3=0,"-",((K3+L3)/(BU3+K3+L3)))</f>
        <v>0.1019403373310462</v>
      </c>
      <c r="CQ3" s="141">
        <f>IF(BU3+K3+L3=0,"-",((K3)/(BU3+K3+L3)))</f>
        <v>0.1019403373310462</v>
      </c>
      <c r="CR3" s="142">
        <f>IF(CE3=0,"-",(CS3/CE3))</f>
        <v>3.243964715887427</v>
      </c>
      <c r="CS3" s="76">
        <f>BT3-BY3</f>
        <v>1024763.7500000001</v>
      </c>
      <c r="CT3" s="80">
        <f aca="true" t="shared" si="19" ref="CT3:CT14">Y3-K3-L3-V3</f>
        <v>739883.95</v>
      </c>
      <c r="CU3" s="80">
        <f aca="true" t="shared" si="20" ref="CU3:CU14">AU3-AR3</f>
        <v>980365.75</v>
      </c>
      <c r="CV3" s="80">
        <f aca="true" t="shared" si="21" ref="CV3:CV14">CU3-CT3</f>
        <v>240481.80000000005</v>
      </c>
      <c r="CW3" s="80">
        <f aca="true" t="shared" si="22" ref="CW3:CW14">-V3+AR3</f>
        <v>0</v>
      </c>
      <c r="CX3" s="80">
        <f aca="true" t="shared" si="23" ref="CX3:CX14">CV3+CW3</f>
        <v>240481.80000000005</v>
      </c>
      <c r="CY3" s="80">
        <f aca="true" t="shared" si="24" ref="CY3:CY14">CX3-K3-L3</f>
        <v>211971.05000000005</v>
      </c>
      <c r="CZ3" s="80">
        <f aca="true" t="shared" si="25" ref="CZ3:CZ14">BR3-BP3</f>
        <v>82409.75</v>
      </c>
      <c r="DA3" s="80">
        <f aca="true" t="shared" si="26" ref="DA3:DA14">K3+L3</f>
        <v>28510.75</v>
      </c>
      <c r="DB3" s="80">
        <f aca="true" t="shared" si="27" ref="DB3:DB14">-CZ3+DA3+CY3</f>
        <v>158072.05000000005</v>
      </c>
      <c r="DC3" s="80">
        <f aca="true" t="shared" si="28" ref="DC3:DC14">-BP3-DA3</f>
        <v>-40061.75</v>
      </c>
      <c r="DD3" s="80">
        <f aca="true" t="shared" si="29" ref="DD3:DD14">DB3+DC3+BR3</f>
        <v>211971.05000000005</v>
      </c>
      <c r="DE3" s="80">
        <f aca="true" t="shared" si="30" ref="DE3:DE14">Z3+AA3+AB3</f>
        <v>282865.35</v>
      </c>
      <c r="DF3" s="80">
        <f aca="true" t="shared" si="31" ref="DF3:DF14">CS3/B3</f>
        <v>5957.928779069768</v>
      </c>
      <c r="DG3" s="80">
        <f aca="true" t="shared" si="32" ref="DG3:DG14">CH3/B3</f>
        <v>-79.31162790697675</v>
      </c>
      <c r="DH3" s="80">
        <f aca="true" t="shared" si="33" ref="DH3:DH14">DE3/B3</f>
        <v>1644.565988372093</v>
      </c>
      <c r="DI3" s="81">
        <f aca="true" t="shared" si="34" ref="DI3:DI14">CZ3/B3</f>
        <v>479.1264534883721</v>
      </c>
      <c r="DJ3" s="76">
        <f aca="true" t="shared" si="35" ref="DJ3:DJ14">DB3/B3</f>
        <v>919.0235465116282</v>
      </c>
      <c r="DK3" s="147">
        <f>CA3-BW3-BU3</f>
        <v>813881.6000000001</v>
      </c>
      <c r="DL3" s="64"/>
      <c r="DM3" s="65"/>
    </row>
    <row r="4" spans="1:117" ht="12.75">
      <c r="A4" s="51" t="s">
        <v>0</v>
      </c>
      <c r="B4" s="42">
        <v>1929</v>
      </c>
      <c r="C4" s="38">
        <v>5168360</v>
      </c>
      <c r="D4" s="39">
        <v>2679.29</v>
      </c>
      <c r="E4" s="39">
        <v>84.08</v>
      </c>
      <c r="F4" s="128">
        <v>15</v>
      </c>
      <c r="G4" s="134">
        <v>2834799.15</v>
      </c>
      <c r="H4" s="42">
        <v>2853282.63</v>
      </c>
      <c r="I4" s="42">
        <v>172871.5</v>
      </c>
      <c r="J4" s="42">
        <v>2000</v>
      </c>
      <c r="K4" s="42">
        <v>564598.5</v>
      </c>
      <c r="L4" s="42">
        <v>0</v>
      </c>
      <c r="M4" s="43">
        <f t="shared" si="0"/>
        <v>564598.5</v>
      </c>
      <c r="N4" s="42">
        <v>0</v>
      </c>
      <c r="O4" s="42">
        <v>645579.55</v>
      </c>
      <c r="P4" s="42">
        <v>1514046.4</v>
      </c>
      <c r="Q4" s="42">
        <v>0</v>
      </c>
      <c r="R4" s="42">
        <v>66957.46</v>
      </c>
      <c r="S4" s="42">
        <v>0</v>
      </c>
      <c r="T4" s="42">
        <v>0</v>
      </c>
      <c r="U4" s="42">
        <v>0</v>
      </c>
      <c r="V4" s="42">
        <v>0</v>
      </c>
      <c r="W4" s="43">
        <f t="shared" si="1"/>
        <v>66957.46</v>
      </c>
      <c r="X4" s="42">
        <v>948276.64</v>
      </c>
      <c r="Y4" s="43">
        <f t="shared" si="2"/>
        <v>9602411.83</v>
      </c>
      <c r="Z4" s="42">
        <v>2433751.05</v>
      </c>
      <c r="AA4" s="42">
        <v>0</v>
      </c>
      <c r="AB4" s="42">
        <v>0</v>
      </c>
      <c r="AC4" s="42">
        <v>0</v>
      </c>
      <c r="AD4" s="42">
        <v>0</v>
      </c>
      <c r="AE4" s="43">
        <f t="shared" si="3"/>
        <v>2433751.05</v>
      </c>
      <c r="AF4" s="42">
        <v>0</v>
      </c>
      <c r="AG4" s="42">
        <v>179642.95</v>
      </c>
      <c r="AH4" s="42">
        <v>0</v>
      </c>
      <c r="AI4" s="42">
        <v>3433960.85</v>
      </c>
      <c r="AJ4" s="42">
        <v>739757.05</v>
      </c>
      <c r="AK4" s="42">
        <v>79984.4</v>
      </c>
      <c r="AL4" s="42">
        <v>1201029.15</v>
      </c>
      <c r="AM4" s="42">
        <v>0</v>
      </c>
      <c r="AN4" s="38">
        <v>84313.69</v>
      </c>
      <c r="AO4" s="38">
        <v>0</v>
      </c>
      <c r="AP4" s="38">
        <v>0</v>
      </c>
      <c r="AQ4" s="38">
        <v>0</v>
      </c>
      <c r="AR4" s="38">
        <v>0</v>
      </c>
      <c r="AS4" s="4">
        <f t="shared" si="4"/>
        <v>84313.69</v>
      </c>
      <c r="AT4" s="38">
        <v>902168.29</v>
      </c>
      <c r="AU4" s="4">
        <f t="shared" si="5"/>
        <v>9054607.430000002</v>
      </c>
      <c r="AV4" s="38">
        <v>0</v>
      </c>
      <c r="AW4" s="38">
        <v>547804.4</v>
      </c>
      <c r="AX4" s="4">
        <f t="shared" si="6"/>
        <v>-1.5133991837501526E-09</v>
      </c>
      <c r="AY4" s="42">
        <v>0</v>
      </c>
      <c r="AZ4" s="42">
        <v>2480302</v>
      </c>
      <c r="BA4" s="42">
        <v>0</v>
      </c>
      <c r="BB4" s="42">
        <v>29894</v>
      </c>
      <c r="BC4" s="42">
        <v>268776.3</v>
      </c>
      <c r="BD4" s="42">
        <v>0</v>
      </c>
      <c r="BE4" s="42">
        <v>82717.4</v>
      </c>
      <c r="BF4" s="43">
        <f t="shared" si="7"/>
        <v>2861689.6999999997</v>
      </c>
      <c r="BG4" s="42">
        <v>0</v>
      </c>
      <c r="BH4" s="42">
        <v>745606.55</v>
      </c>
      <c r="BI4" s="42">
        <v>0</v>
      </c>
      <c r="BJ4" s="42">
        <v>0</v>
      </c>
      <c r="BK4" s="42">
        <v>0</v>
      </c>
      <c r="BL4" s="42">
        <v>0</v>
      </c>
      <c r="BM4" s="42">
        <v>560578</v>
      </c>
      <c r="BN4" s="42">
        <v>0</v>
      </c>
      <c r="BO4" s="43">
        <f t="shared" si="8"/>
        <v>1306184.55</v>
      </c>
      <c r="BP4" s="42">
        <v>1306184.55</v>
      </c>
      <c r="BQ4" s="42">
        <v>0</v>
      </c>
      <c r="BR4" s="42">
        <v>2861689.7</v>
      </c>
      <c r="BS4" s="43">
        <f t="shared" si="9"/>
        <v>0</v>
      </c>
      <c r="BT4" s="38">
        <v>17500457.38</v>
      </c>
      <c r="BU4" s="38">
        <v>6151839.05</v>
      </c>
      <c r="BV4" s="38">
        <v>302094.21</v>
      </c>
      <c r="BW4" s="38">
        <v>0</v>
      </c>
      <c r="BX4" s="4">
        <f t="shared" si="10"/>
        <v>23954390.64</v>
      </c>
      <c r="BY4" s="38">
        <v>8792024.16</v>
      </c>
      <c r="BZ4" s="38">
        <v>1989529.34</v>
      </c>
      <c r="CA4" s="38">
        <v>13172837.14</v>
      </c>
      <c r="CB4" s="4">
        <f t="shared" si="11"/>
        <v>23954390.64</v>
      </c>
      <c r="CC4" s="4">
        <f t="shared" si="12"/>
        <v>0</v>
      </c>
      <c r="CD4" s="74">
        <f t="shared" si="13"/>
        <v>16794.099999999977</v>
      </c>
      <c r="CE4" s="76">
        <f t="shared" si="14"/>
        <v>-562.1300000000192</v>
      </c>
      <c r="CF4" s="76">
        <f t="shared" si="15"/>
        <v>1555505.1500000001</v>
      </c>
      <c r="CG4" s="76">
        <f t="shared" si="16"/>
        <v>8068125.450000001</v>
      </c>
      <c r="CH4" s="76">
        <f t="shared" si="17"/>
        <v>-6771.450000000012</v>
      </c>
      <c r="CI4" s="37">
        <f t="shared" si="18"/>
        <v>557827.05</v>
      </c>
      <c r="CJ4" s="59">
        <f aca="true" t="shared" si="36" ref="CJ4:CJ31">IF(CF4=0,"-",(CD4/CF4))</f>
        <v>0.01079655698986273</v>
      </c>
      <c r="CK4" s="59">
        <f aca="true" t="shared" si="37" ref="CK4:CK31">IF(CF4=0,"-",(CE4/CF4))</f>
        <v>-0.00036138099574920673</v>
      </c>
      <c r="CL4" s="141">
        <f aca="true" t="shared" si="38" ref="CL4:CL31">IF(CG4=0,"-",(CD4/CG4*1))</f>
        <v>0.0020815367961339736</v>
      </c>
      <c r="CM4" s="141">
        <f aca="true" t="shared" si="39" ref="CM4:CM31">IF(CE4=0,"-",(CE4/CG4))</f>
        <v>-6.967293747273341E-05</v>
      </c>
      <c r="CN4" s="141">
        <f aca="true" t="shared" si="40" ref="CN4:CN31">IF(CG4=0,"-",(CH4/CG4))</f>
        <v>-0.000839284173500303</v>
      </c>
      <c r="CO4" s="141">
        <f aca="true" t="shared" si="41" ref="CO4:CO31">IF(CG4=0,"-",(CI4/CG4))</f>
        <v>0.06913961036637079</v>
      </c>
      <c r="CP4" s="141">
        <f aca="true" t="shared" si="42" ref="CP4:CP31">IF(BU4+K4+L4=0,"-",((K4+L4)/(BU4+K4+L4)))</f>
        <v>0.08406219752612752</v>
      </c>
      <c r="CQ4" s="141">
        <f aca="true" t="shared" si="43" ref="CQ4:CQ31">IF(BU4+K4+L4=0,"-",((K4)/(BU4+K4+L4)))</f>
        <v>0.08406219752612752</v>
      </c>
      <c r="CR4" s="142">
        <f aca="true" t="shared" si="44" ref="CR4:CR31">IF(CE4=0,"-",(CS4/CE4))</f>
        <v>-15491.849251951864</v>
      </c>
      <c r="CS4" s="76">
        <f aca="true" t="shared" si="45" ref="CS4:CS31">BT4-BY4</f>
        <v>8708433.219999999</v>
      </c>
      <c r="CT4" s="80">
        <f t="shared" si="19"/>
        <v>9037813.33</v>
      </c>
      <c r="CU4" s="80">
        <f t="shared" si="20"/>
        <v>9054607.430000002</v>
      </c>
      <c r="CV4" s="80">
        <f t="shared" si="21"/>
        <v>16794.10000000149</v>
      </c>
      <c r="CW4" s="80">
        <f t="shared" si="22"/>
        <v>0</v>
      </c>
      <c r="CX4" s="80">
        <f t="shared" si="23"/>
        <v>16794.10000000149</v>
      </c>
      <c r="CY4" s="80">
        <f t="shared" si="24"/>
        <v>-547804.3999999985</v>
      </c>
      <c r="CZ4" s="80">
        <f t="shared" si="25"/>
        <v>1555505.1500000001</v>
      </c>
      <c r="DA4" s="80">
        <f t="shared" si="26"/>
        <v>564598.5</v>
      </c>
      <c r="DB4" s="80">
        <f t="shared" si="27"/>
        <v>-1538711.0499999986</v>
      </c>
      <c r="DC4" s="80">
        <f t="shared" si="28"/>
        <v>-1870783.05</v>
      </c>
      <c r="DD4" s="80">
        <f t="shared" si="29"/>
        <v>-547804.3999999985</v>
      </c>
      <c r="DE4" s="80">
        <f t="shared" si="30"/>
        <v>2433751.05</v>
      </c>
      <c r="DF4" s="80">
        <f t="shared" si="31"/>
        <v>4514.480673924312</v>
      </c>
      <c r="DG4" s="80">
        <f t="shared" si="32"/>
        <v>-3.5103421461897417</v>
      </c>
      <c r="DH4" s="80">
        <f t="shared" si="33"/>
        <v>1261.6646189735613</v>
      </c>
      <c r="DI4" s="81">
        <f t="shared" si="34"/>
        <v>806.3790305857958</v>
      </c>
      <c r="DJ4" s="76">
        <f t="shared" si="35"/>
        <v>-797.6729134266452</v>
      </c>
      <c r="DK4" s="147">
        <f>CA4-BW4-BU4</f>
        <v>7020998.090000001</v>
      </c>
      <c r="DL4" s="67"/>
      <c r="DM4" s="68"/>
    </row>
    <row r="5" spans="1:117" ht="12.75">
      <c r="A5" s="52" t="s">
        <v>32</v>
      </c>
      <c r="B5" s="43">
        <v>406</v>
      </c>
      <c r="C5" s="4">
        <v>1105346</v>
      </c>
      <c r="D5" s="34">
        <v>2722.53</v>
      </c>
      <c r="E5" s="34">
        <v>85.44</v>
      </c>
      <c r="F5" s="8">
        <v>7</v>
      </c>
      <c r="G5" s="133">
        <f>649861.2-1800.5</f>
        <v>648060.7</v>
      </c>
      <c r="H5" s="43">
        <f>785195.95-4389.6</f>
        <v>780806.35</v>
      </c>
      <c r="I5" s="43">
        <f>497022.05-128285.15</f>
        <v>368736.9</v>
      </c>
      <c r="J5" s="43">
        <v>0</v>
      </c>
      <c r="K5" s="43">
        <v>207063.5</v>
      </c>
      <c r="L5" s="43">
        <v>0</v>
      </c>
      <c r="M5" s="43">
        <f t="shared" si="0"/>
        <v>207063.5</v>
      </c>
      <c r="N5" s="43">
        <v>0</v>
      </c>
      <c r="O5" s="43">
        <v>60248.8</v>
      </c>
      <c r="P5" s="43">
        <v>165373.7</v>
      </c>
      <c r="Q5" s="43">
        <f>33844.95-8895.35</f>
        <v>24949.6</v>
      </c>
      <c r="R5" s="43">
        <f>97238.8-88295.35</f>
        <v>8943.449999999997</v>
      </c>
      <c r="S5" s="43">
        <v>0</v>
      </c>
      <c r="T5" s="43">
        <v>0</v>
      </c>
      <c r="U5" s="43">
        <v>0</v>
      </c>
      <c r="V5" s="43">
        <v>0</v>
      </c>
      <c r="W5" s="43">
        <f t="shared" si="1"/>
        <v>8943.449999999997</v>
      </c>
      <c r="X5" s="43">
        <f>15570.3+67445</f>
        <v>83015.3</v>
      </c>
      <c r="Y5" s="43">
        <f t="shared" si="2"/>
        <v>2347198.3</v>
      </c>
      <c r="Z5" s="43">
        <f>493135.75-514.4</f>
        <v>492621.35</v>
      </c>
      <c r="AA5" s="43">
        <v>0</v>
      </c>
      <c r="AB5" s="43">
        <v>11663.25</v>
      </c>
      <c r="AC5" s="43">
        <v>0</v>
      </c>
      <c r="AD5" s="43">
        <f>197930-9429.9</f>
        <v>188500.1</v>
      </c>
      <c r="AE5" s="43">
        <f t="shared" si="3"/>
        <v>692784.7</v>
      </c>
      <c r="AF5" s="43">
        <v>420</v>
      </c>
      <c r="AG5" s="43">
        <v>159448.85</v>
      </c>
      <c r="AH5" s="43">
        <v>0</v>
      </c>
      <c r="AI5" s="43">
        <f>1317817.82-261711.92</f>
        <v>1056105.9000000001</v>
      </c>
      <c r="AJ5" s="43">
        <f>5342.7</f>
        <v>5342.7</v>
      </c>
      <c r="AK5" s="43">
        <v>17333</v>
      </c>
      <c r="AL5" s="43">
        <v>128941.85</v>
      </c>
      <c r="AM5" s="43">
        <v>26281.6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f t="shared" si="4"/>
        <v>0</v>
      </c>
      <c r="AT5" s="4">
        <v>67445</v>
      </c>
      <c r="AU5" s="4">
        <f t="shared" si="5"/>
        <v>2154103.6000000006</v>
      </c>
      <c r="AV5" s="4">
        <v>0</v>
      </c>
      <c r="AW5" s="4">
        <f>193094.7</f>
        <v>193094.7</v>
      </c>
      <c r="AX5" s="144">
        <f t="shared" si="6"/>
        <v>-7.566995918750763E-10</v>
      </c>
      <c r="AY5" s="43">
        <v>0</v>
      </c>
      <c r="AZ5" s="43">
        <v>614028</v>
      </c>
      <c r="BA5" s="43">
        <v>0</v>
      </c>
      <c r="BB5" s="43">
        <v>0</v>
      </c>
      <c r="BC5" s="43">
        <v>0</v>
      </c>
      <c r="BD5" s="43">
        <v>0</v>
      </c>
      <c r="BE5" s="43">
        <v>0</v>
      </c>
      <c r="BF5" s="43">
        <f t="shared" si="7"/>
        <v>614028</v>
      </c>
      <c r="BG5" s="43">
        <v>0</v>
      </c>
      <c r="BH5" s="43">
        <f>132446</f>
        <v>132446</v>
      </c>
      <c r="BI5" s="43">
        <v>0</v>
      </c>
      <c r="BJ5" s="43">
        <v>0</v>
      </c>
      <c r="BK5" s="43">
        <v>0</v>
      </c>
      <c r="BL5" s="43">
        <v>0</v>
      </c>
      <c r="BM5" s="43">
        <v>0</v>
      </c>
      <c r="BN5" s="43">
        <v>0</v>
      </c>
      <c r="BO5" s="43">
        <f t="shared" si="8"/>
        <v>132446</v>
      </c>
      <c r="BP5" s="43">
        <v>132446</v>
      </c>
      <c r="BQ5" s="43">
        <v>0</v>
      </c>
      <c r="BR5" s="43">
        <f>614028</f>
        <v>614028</v>
      </c>
      <c r="BS5" s="43">
        <f t="shared" si="9"/>
        <v>0</v>
      </c>
      <c r="BT5" s="4">
        <v>4719113.4</v>
      </c>
      <c r="BU5" s="4">
        <v>2450729.3</v>
      </c>
      <c r="BV5" s="4">
        <v>0</v>
      </c>
      <c r="BW5" s="4">
        <v>2814430.47</v>
      </c>
      <c r="BX5" s="4">
        <f t="shared" si="10"/>
        <v>9984273.17</v>
      </c>
      <c r="BY5" s="4">
        <v>8940085.55</v>
      </c>
      <c r="BZ5" s="4">
        <v>1044187.62</v>
      </c>
      <c r="CA5" s="4">
        <v>0</v>
      </c>
      <c r="CB5" s="4">
        <f t="shared" si="11"/>
        <v>9984273.17</v>
      </c>
      <c r="CC5" s="4">
        <f t="shared" si="12"/>
        <v>0</v>
      </c>
      <c r="CD5" s="74">
        <f t="shared" si="13"/>
        <v>13968.799999999988</v>
      </c>
      <c r="CE5" s="76">
        <f t="shared" si="14"/>
        <v>22912.249999999985</v>
      </c>
      <c r="CF5" s="76">
        <f t="shared" si="15"/>
        <v>481582</v>
      </c>
      <c r="CG5" s="76">
        <f t="shared" si="16"/>
        <v>2060377.0000000005</v>
      </c>
      <c r="CH5" s="76">
        <f t="shared" si="17"/>
        <v>209288.05000000002</v>
      </c>
      <c r="CI5" s="37">
        <f t="shared" si="18"/>
        <v>416351.55000000005</v>
      </c>
      <c r="CJ5" s="59">
        <f t="shared" si="36"/>
        <v>0.029006067502522912</v>
      </c>
      <c r="CK5" s="59">
        <f t="shared" si="37"/>
        <v>0.04757704814548713</v>
      </c>
      <c r="CL5" s="141">
        <f t="shared" si="38"/>
        <v>0.006779730117352303</v>
      </c>
      <c r="CM5" s="141">
        <f t="shared" si="39"/>
        <v>0.011120416312160339</v>
      </c>
      <c r="CN5" s="141">
        <f t="shared" si="40"/>
        <v>0.10157755109865814</v>
      </c>
      <c r="CO5" s="141">
        <f t="shared" si="41"/>
        <v>0.20207542114865384</v>
      </c>
      <c r="CP5" s="141">
        <f t="shared" si="42"/>
        <v>0.07790806717513872</v>
      </c>
      <c r="CQ5" s="141">
        <f t="shared" si="43"/>
        <v>0.07790806717513872</v>
      </c>
      <c r="CR5" s="142">
        <f t="shared" si="44"/>
        <v>-184.2233805060613</v>
      </c>
      <c r="CS5" s="76">
        <f t="shared" si="45"/>
        <v>-4220972.15</v>
      </c>
      <c r="CT5" s="80">
        <f t="shared" si="19"/>
        <v>2140134.8</v>
      </c>
      <c r="CU5" s="80">
        <f t="shared" si="20"/>
        <v>2154103.6000000006</v>
      </c>
      <c r="CV5" s="80">
        <f t="shared" si="21"/>
        <v>13968.800000000745</v>
      </c>
      <c r="CW5" s="80">
        <f t="shared" si="22"/>
        <v>0</v>
      </c>
      <c r="CX5" s="80">
        <f t="shared" si="23"/>
        <v>13968.800000000745</v>
      </c>
      <c r="CY5" s="80">
        <f t="shared" si="24"/>
        <v>-193094.69999999925</v>
      </c>
      <c r="CZ5" s="80">
        <f t="shared" si="25"/>
        <v>481582</v>
      </c>
      <c r="DA5" s="80">
        <f t="shared" si="26"/>
        <v>207063.5</v>
      </c>
      <c r="DB5" s="80">
        <f t="shared" si="27"/>
        <v>-467613.19999999925</v>
      </c>
      <c r="DC5" s="80">
        <f t="shared" si="28"/>
        <v>-339509.5</v>
      </c>
      <c r="DD5" s="80">
        <f t="shared" si="29"/>
        <v>-193094.69999999925</v>
      </c>
      <c r="DE5" s="80">
        <f t="shared" si="30"/>
        <v>504284.6</v>
      </c>
      <c r="DF5" s="80">
        <f t="shared" si="31"/>
        <v>-10396.483128078818</v>
      </c>
      <c r="DG5" s="80">
        <f t="shared" si="32"/>
        <v>515.4878078817734</v>
      </c>
      <c r="DH5" s="80">
        <f t="shared" si="33"/>
        <v>1242.0802955665024</v>
      </c>
      <c r="DI5" s="81">
        <f t="shared" si="34"/>
        <v>1186.1625615763546</v>
      </c>
      <c r="DJ5" s="76">
        <f t="shared" si="35"/>
        <v>-1151.7566502463035</v>
      </c>
      <c r="DK5" s="147">
        <f aca="true" t="shared" si="46" ref="DK5:DK31">CA5-BW5-BU5</f>
        <v>-5265159.77</v>
      </c>
      <c r="DL5" s="64"/>
      <c r="DM5" s="65"/>
    </row>
    <row r="6" spans="1:117" ht="12.75">
      <c r="A6" s="51" t="s">
        <v>1</v>
      </c>
      <c r="B6" s="42">
        <v>229</v>
      </c>
      <c r="C6" s="38">
        <v>651448</v>
      </c>
      <c r="D6" s="39">
        <v>2844.75</v>
      </c>
      <c r="E6" s="39">
        <v>89.28</v>
      </c>
      <c r="F6" s="128">
        <v>10</v>
      </c>
      <c r="G6" s="134">
        <v>277778.05</v>
      </c>
      <c r="H6" s="42">
        <v>217194.5</v>
      </c>
      <c r="I6" s="42">
        <v>16426.45</v>
      </c>
      <c r="J6" s="42">
        <v>0</v>
      </c>
      <c r="K6" s="42">
        <v>57616.85</v>
      </c>
      <c r="L6" s="42">
        <v>0</v>
      </c>
      <c r="M6" s="43">
        <f t="shared" si="0"/>
        <v>57616.85</v>
      </c>
      <c r="N6" s="42">
        <v>100</v>
      </c>
      <c r="O6" s="42">
        <v>129584.3</v>
      </c>
      <c r="P6" s="42">
        <v>293614.1</v>
      </c>
      <c r="Q6" s="42">
        <v>772.75</v>
      </c>
      <c r="R6" s="42">
        <v>1713.85</v>
      </c>
      <c r="S6" s="42">
        <v>0</v>
      </c>
      <c r="T6" s="42">
        <v>0</v>
      </c>
      <c r="U6" s="42">
        <v>0</v>
      </c>
      <c r="V6" s="42">
        <v>0</v>
      </c>
      <c r="W6" s="43">
        <f t="shared" si="1"/>
        <v>1713.85</v>
      </c>
      <c r="X6" s="42">
        <v>154566.15</v>
      </c>
      <c r="Y6" s="43">
        <f t="shared" si="2"/>
        <v>1149367</v>
      </c>
      <c r="Z6" s="42">
        <v>145184.4</v>
      </c>
      <c r="AA6" s="42">
        <v>0</v>
      </c>
      <c r="AB6" s="42">
        <v>3187.65</v>
      </c>
      <c r="AC6" s="42">
        <v>0</v>
      </c>
      <c r="AD6" s="42">
        <v>450</v>
      </c>
      <c r="AE6" s="43">
        <f t="shared" si="3"/>
        <v>148822.05</v>
      </c>
      <c r="AF6" s="42">
        <v>0</v>
      </c>
      <c r="AG6" s="42">
        <v>71466.1</v>
      </c>
      <c r="AH6" s="42">
        <v>0</v>
      </c>
      <c r="AI6" s="42">
        <v>123038.95</v>
      </c>
      <c r="AJ6" s="42">
        <v>285138.8</v>
      </c>
      <c r="AK6" s="42">
        <v>67852.75</v>
      </c>
      <c r="AL6" s="42">
        <v>285608.55</v>
      </c>
      <c r="AM6" s="42">
        <v>0</v>
      </c>
      <c r="AN6" s="38">
        <v>10190.9</v>
      </c>
      <c r="AO6" s="38">
        <v>0</v>
      </c>
      <c r="AP6" s="38">
        <v>0</v>
      </c>
      <c r="AQ6" s="38">
        <v>0</v>
      </c>
      <c r="AR6" s="38">
        <v>0</v>
      </c>
      <c r="AS6" s="4">
        <f t="shared" si="4"/>
        <v>10190.9</v>
      </c>
      <c r="AT6" s="38">
        <v>159296.45</v>
      </c>
      <c r="AU6" s="4">
        <f t="shared" si="5"/>
        <v>1151414.5499999998</v>
      </c>
      <c r="AV6" s="38">
        <v>2047.55</v>
      </c>
      <c r="AW6" s="38">
        <v>0</v>
      </c>
      <c r="AX6" s="4">
        <f t="shared" si="6"/>
        <v>1.8621904018800706E-10</v>
      </c>
      <c r="AY6" s="42">
        <v>46710.2</v>
      </c>
      <c r="AZ6" s="42">
        <v>35923.9</v>
      </c>
      <c r="BA6" s="42">
        <v>0</v>
      </c>
      <c r="BB6" s="42">
        <v>0</v>
      </c>
      <c r="BC6" s="42">
        <v>0</v>
      </c>
      <c r="BD6" s="42">
        <v>0</v>
      </c>
      <c r="BE6" s="42">
        <v>10777.9</v>
      </c>
      <c r="BF6" s="43">
        <f t="shared" si="7"/>
        <v>46701.8</v>
      </c>
      <c r="BG6" s="42">
        <v>0</v>
      </c>
      <c r="BH6" s="42">
        <v>0</v>
      </c>
      <c r="BI6" s="42">
        <v>0</v>
      </c>
      <c r="BJ6" s="42">
        <v>0</v>
      </c>
      <c r="BK6" s="42">
        <v>0</v>
      </c>
      <c r="BL6" s="42">
        <v>0</v>
      </c>
      <c r="BM6" s="42">
        <v>25100</v>
      </c>
      <c r="BN6" s="42">
        <v>0</v>
      </c>
      <c r="BO6" s="43">
        <f t="shared" si="8"/>
        <v>25100</v>
      </c>
      <c r="BP6" s="42">
        <v>25100</v>
      </c>
      <c r="BQ6" s="42">
        <v>0</v>
      </c>
      <c r="BR6" s="42">
        <v>46701.8</v>
      </c>
      <c r="BS6" s="43">
        <f t="shared" si="9"/>
        <v>0</v>
      </c>
      <c r="BT6" s="38">
        <v>2093045.01</v>
      </c>
      <c r="BU6" s="38">
        <v>561815.7</v>
      </c>
      <c r="BV6" s="38">
        <v>12796.9</v>
      </c>
      <c r="BW6" s="38">
        <v>0</v>
      </c>
      <c r="BX6" s="4">
        <f t="shared" si="10"/>
        <v>2667657.61</v>
      </c>
      <c r="BY6" s="38">
        <v>1043171.35</v>
      </c>
      <c r="BZ6" s="38">
        <v>569905.15</v>
      </c>
      <c r="CA6" s="38">
        <v>1054581.11</v>
      </c>
      <c r="CB6" s="4">
        <f t="shared" si="11"/>
        <v>2667657.6100000003</v>
      </c>
      <c r="CC6" s="4">
        <f t="shared" si="12"/>
        <v>0</v>
      </c>
      <c r="CD6" s="74">
        <f t="shared" si="13"/>
        <v>59664.4</v>
      </c>
      <c r="CE6" s="76">
        <f t="shared" si="14"/>
        <v>51187.35</v>
      </c>
      <c r="CF6" s="76">
        <f t="shared" si="15"/>
        <v>21601.800000000003</v>
      </c>
      <c r="CG6" s="76">
        <f t="shared" si="16"/>
        <v>981927.1999999998</v>
      </c>
      <c r="CH6" s="76">
        <f t="shared" si="17"/>
        <v>-8329.450000000012</v>
      </c>
      <c r="CI6" s="37">
        <f t="shared" si="18"/>
        <v>49287.39999999999</v>
      </c>
      <c r="CJ6" s="59">
        <f t="shared" si="36"/>
        <v>2.7620105731929745</v>
      </c>
      <c r="CK6" s="59">
        <f t="shared" si="37"/>
        <v>2.369587256617504</v>
      </c>
      <c r="CL6" s="141">
        <f t="shared" si="38"/>
        <v>0.060762549402847796</v>
      </c>
      <c r="CM6" s="141">
        <f t="shared" si="39"/>
        <v>0.05212947558637749</v>
      </c>
      <c r="CN6" s="141">
        <f t="shared" si="40"/>
        <v>-0.008482757173851599</v>
      </c>
      <c r="CO6" s="141">
        <f t="shared" si="41"/>
        <v>0.050194556174836584</v>
      </c>
      <c r="CP6" s="141">
        <f t="shared" si="42"/>
        <v>0.0930155349440387</v>
      </c>
      <c r="CQ6" s="141">
        <f t="shared" si="43"/>
        <v>0.0930155349440387</v>
      </c>
      <c r="CR6" s="142">
        <f t="shared" si="44"/>
        <v>20.51041243588504</v>
      </c>
      <c r="CS6" s="76">
        <f t="shared" si="45"/>
        <v>1049873.6600000001</v>
      </c>
      <c r="CT6" s="80">
        <f t="shared" si="19"/>
        <v>1091750.15</v>
      </c>
      <c r="CU6" s="80">
        <f t="shared" si="20"/>
        <v>1151414.5499999998</v>
      </c>
      <c r="CV6" s="80">
        <f t="shared" si="21"/>
        <v>59664.39999999991</v>
      </c>
      <c r="CW6" s="80">
        <f t="shared" si="22"/>
        <v>0</v>
      </c>
      <c r="CX6" s="80">
        <f t="shared" si="23"/>
        <v>59664.39999999991</v>
      </c>
      <c r="CY6" s="80">
        <f t="shared" si="24"/>
        <v>2047.5499999999083</v>
      </c>
      <c r="CZ6" s="80">
        <f t="shared" si="25"/>
        <v>21601.800000000003</v>
      </c>
      <c r="DA6" s="80">
        <f t="shared" si="26"/>
        <v>57616.85</v>
      </c>
      <c r="DB6" s="80">
        <f t="shared" si="27"/>
        <v>38062.599999999904</v>
      </c>
      <c r="DC6" s="80">
        <f t="shared" si="28"/>
        <v>-82716.85</v>
      </c>
      <c r="DD6" s="80">
        <f t="shared" si="29"/>
        <v>2047.549999999901</v>
      </c>
      <c r="DE6" s="80">
        <f t="shared" si="30"/>
        <v>148372.05</v>
      </c>
      <c r="DF6" s="80">
        <f t="shared" si="31"/>
        <v>4584.60113537118</v>
      </c>
      <c r="DG6" s="80">
        <f t="shared" si="32"/>
        <v>-36.37314410480354</v>
      </c>
      <c r="DH6" s="80">
        <f t="shared" si="33"/>
        <v>647.9128820960698</v>
      </c>
      <c r="DI6" s="81">
        <f t="shared" si="34"/>
        <v>94.33100436681224</v>
      </c>
      <c r="DJ6" s="76">
        <f t="shared" si="35"/>
        <v>166.2122270742354</v>
      </c>
      <c r="DK6" s="147">
        <f t="shared" si="46"/>
        <v>492765.41000000015</v>
      </c>
      <c r="DL6" s="67"/>
      <c r="DM6" s="68"/>
    </row>
    <row r="7" spans="1:117" ht="12.75">
      <c r="A7" s="52" t="s">
        <v>2</v>
      </c>
      <c r="B7" s="43">
        <v>745</v>
      </c>
      <c r="C7" s="4">
        <v>1623384</v>
      </c>
      <c r="D7" s="34">
        <v>2179.04</v>
      </c>
      <c r="E7" s="34">
        <v>68.38</v>
      </c>
      <c r="F7" s="8">
        <v>8</v>
      </c>
      <c r="G7" s="133">
        <v>908625.05</v>
      </c>
      <c r="H7" s="43">
        <v>712014.85</v>
      </c>
      <c r="I7" s="43">
        <v>8040.9</v>
      </c>
      <c r="J7" s="43">
        <v>113945.95</v>
      </c>
      <c r="K7" s="43">
        <v>27708.95</v>
      </c>
      <c r="L7" s="43">
        <v>157516.05</v>
      </c>
      <c r="M7" s="43">
        <f t="shared" si="0"/>
        <v>185225</v>
      </c>
      <c r="N7" s="43">
        <v>0</v>
      </c>
      <c r="O7" s="43">
        <v>133125.55</v>
      </c>
      <c r="P7" s="43">
        <v>189907.6</v>
      </c>
      <c r="Q7" s="43">
        <v>0</v>
      </c>
      <c r="R7" s="43">
        <v>0</v>
      </c>
      <c r="S7" s="43">
        <v>0</v>
      </c>
      <c r="T7" s="43">
        <v>150000</v>
      </c>
      <c r="U7" s="43">
        <v>0</v>
      </c>
      <c r="V7" s="43">
        <v>0</v>
      </c>
      <c r="W7" s="43">
        <f t="shared" si="1"/>
        <v>150000</v>
      </c>
      <c r="X7" s="43">
        <v>304982.9</v>
      </c>
      <c r="Y7" s="43">
        <f t="shared" si="2"/>
        <v>2705867.8</v>
      </c>
      <c r="Z7" s="43">
        <v>723534.3</v>
      </c>
      <c r="AA7" s="43">
        <v>0</v>
      </c>
      <c r="AB7" s="43">
        <v>2686.25</v>
      </c>
      <c r="AC7" s="43">
        <v>0</v>
      </c>
      <c r="AD7" s="43">
        <v>0</v>
      </c>
      <c r="AE7" s="43">
        <f t="shared" si="3"/>
        <v>726220.55</v>
      </c>
      <c r="AF7" s="43">
        <v>118190.1</v>
      </c>
      <c r="AG7" s="43">
        <v>266472.75</v>
      </c>
      <c r="AH7" s="43">
        <v>0</v>
      </c>
      <c r="AI7" s="43">
        <v>622891.5</v>
      </c>
      <c r="AJ7" s="43">
        <v>299805.85</v>
      </c>
      <c r="AK7" s="43">
        <v>35109.5</v>
      </c>
      <c r="AL7" s="43">
        <v>287555.3</v>
      </c>
      <c r="AM7" s="43">
        <v>0</v>
      </c>
      <c r="AN7" s="4">
        <v>16000</v>
      </c>
      <c r="AO7" s="4">
        <v>0</v>
      </c>
      <c r="AP7" s="4">
        <v>0</v>
      </c>
      <c r="AQ7" s="4">
        <v>2000</v>
      </c>
      <c r="AR7" s="4">
        <v>0</v>
      </c>
      <c r="AS7" s="4">
        <f t="shared" si="4"/>
        <v>18000</v>
      </c>
      <c r="AT7" s="4">
        <v>337580.45</v>
      </c>
      <c r="AU7" s="4">
        <f t="shared" si="5"/>
        <v>2711826</v>
      </c>
      <c r="AV7" s="4">
        <v>5958.2</v>
      </c>
      <c r="AW7" s="4">
        <v>0</v>
      </c>
      <c r="AX7" s="4">
        <f t="shared" si="6"/>
        <v>-1.864464138634503E-10</v>
      </c>
      <c r="AY7" s="43">
        <v>0</v>
      </c>
      <c r="AZ7" s="43">
        <v>285626.35</v>
      </c>
      <c r="BA7" s="43">
        <v>0</v>
      </c>
      <c r="BB7" s="43">
        <v>0</v>
      </c>
      <c r="BC7" s="43">
        <v>0</v>
      </c>
      <c r="BD7" s="43">
        <v>0</v>
      </c>
      <c r="BE7" s="43">
        <v>0</v>
      </c>
      <c r="BF7" s="43">
        <f t="shared" si="7"/>
        <v>285626.35</v>
      </c>
      <c r="BG7" s="43">
        <v>0</v>
      </c>
      <c r="BH7" s="43">
        <v>0</v>
      </c>
      <c r="BI7" s="43">
        <v>0</v>
      </c>
      <c r="BJ7" s="43">
        <v>0</v>
      </c>
      <c r="BK7" s="43">
        <v>0</v>
      </c>
      <c r="BL7" s="43">
        <v>75000</v>
      </c>
      <c r="BM7" s="43">
        <v>45548</v>
      </c>
      <c r="BN7" s="43">
        <v>0</v>
      </c>
      <c r="BO7" s="43">
        <f t="shared" si="8"/>
        <v>120548</v>
      </c>
      <c r="BP7" s="43">
        <v>120548</v>
      </c>
      <c r="BQ7" s="43">
        <v>0</v>
      </c>
      <c r="BR7" s="43">
        <v>285626.35</v>
      </c>
      <c r="BS7" s="43">
        <f t="shared" si="9"/>
        <v>0</v>
      </c>
      <c r="BT7" s="4">
        <v>3495909</v>
      </c>
      <c r="BU7" s="4">
        <v>121135</v>
      </c>
      <c r="BV7" s="4">
        <v>16000</v>
      </c>
      <c r="BW7" s="4">
        <v>0</v>
      </c>
      <c r="BX7" s="4">
        <f t="shared" si="10"/>
        <v>3633044</v>
      </c>
      <c r="BY7" s="4">
        <v>825585</v>
      </c>
      <c r="BZ7" s="4">
        <v>1631291</v>
      </c>
      <c r="CA7" s="4">
        <v>1176168</v>
      </c>
      <c r="CB7" s="4">
        <f t="shared" si="11"/>
        <v>3633044</v>
      </c>
      <c r="CC7" s="4">
        <f t="shared" si="12"/>
        <v>0</v>
      </c>
      <c r="CD7" s="74">
        <f t="shared" si="13"/>
        <v>191183.2</v>
      </c>
      <c r="CE7" s="76">
        <f t="shared" si="14"/>
        <v>323183.2</v>
      </c>
      <c r="CF7" s="76">
        <f t="shared" si="15"/>
        <v>165078.34999999998</v>
      </c>
      <c r="CG7" s="76">
        <f t="shared" si="16"/>
        <v>2356245.55</v>
      </c>
      <c r="CH7" s="76">
        <f t="shared" si="17"/>
        <v>-258431.85</v>
      </c>
      <c r="CI7" s="37">
        <f t="shared" si="18"/>
        <v>-230722.9</v>
      </c>
      <c r="CJ7" s="59">
        <f t="shared" si="36"/>
        <v>1.1581361214235546</v>
      </c>
      <c r="CK7" s="59">
        <f t="shared" si="37"/>
        <v>1.957756422934928</v>
      </c>
      <c r="CL7" s="141">
        <f t="shared" si="38"/>
        <v>0.08113891185916511</v>
      </c>
      <c r="CM7" s="141">
        <f t="shared" si="39"/>
        <v>0.1371602378198656</v>
      </c>
      <c r="CN7" s="141">
        <f t="shared" si="40"/>
        <v>-0.10967950687482467</v>
      </c>
      <c r="CO7" s="141">
        <f t="shared" si="41"/>
        <v>-0.09791971808710684</v>
      </c>
      <c r="CP7" s="141">
        <f t="shared" si="42"/>
        <v>0.6045991643817731</v>
      </c>
      <c r="CQ7" s="141">
        <f t="shared" si="43"/>
        <v>0.09044571745658703</v>
      </c>
      <c r="CR7" s="142">
        <f t="shared" si="44"/>
        <v>8.262570579163768</v>
      </c>
      <c r="CS7" s="76">
        <f t="shared" si="45"/>
        <v>2670324</v>
      </c>
      <c r="CT7" s="80">
        <f t="shared" si="19"/>
        <v>2520642.8</v>
      </c>
      <c r="CU7" s="80">
        <f t="shared" si="20"/>
        <v>2711826</v>
      </c>
      <c r="CV7" s="80">
        <f t="shared" si="21"/>
        <v>191183.2000000002</v>
      </c>
      <c r="CW7" s="80">
        <f t="shared" si="22"/>
        <v>0</v>
      </c>
      <c r="CX7" s="80">
        <f t="shared" si="23"/>
        <v>191183.2000000002</v>
      </c>
      <c r="CY7" s="80">
        <f t="shared" si="24"/>
        <v>5958.200000000186</v>
      </c>
      <c r="CZ7" s="80">
        <f t="shared" si="25"/>
        <v>165078.34999999998</v>
      </c>
      <c r="DA7" s="80">
        <f t="shared" si="26"/>
        <v>185225</v>
      </c>
      <c r="DB7" s="80">
        <f t="shared" si="27"/>
        <v>26104.85000000021</v>
      </c>
      <c r="DC7" s="80">
        <f t="shared" si="28"/>
        <v>-305773</v>
      </c>
      <c r="DD7" s="80">
        <f t="shared" si="29"/>
        <v>5958.200000000186</v>
      </c>
      <c r="DE7" s="80">
        <f t="shared" si="30"/>
        <v>726220.55</v>
      </c>
      <c r="DF7" s="80">
        <f t="shared" si="31"/>
        <v>3584.3275167785237</v>
      </c>
      <c r="DG7" s="80">
        <f t="shared" si="32"/>
        <v>-346.888389261745</v>
      </c>
      <c r="DH7" s="80">
        <f t="shared" si="33"/>
        <v>974.7926845637585</v>
      </c>
      <c r="DI7" s="81">
        <f t="shared" si="34"/>
        <v>221.58167785234897</v>
      </c>
      <c r="DJ7" s="76">
        <f t="shared" si="35"/>
        <v>35.04006711409424</v>
      </c>
      <c r="DK7" s="147">
        <f t="shared" si="46"/>
        <v>1055033</v>
      </c>
      <c r="DL7" s="64"/>
      <c r="DM7" s="65"/>
    </row>
    <row r="8" spans="1:117" ht="12.75">
      <c r="A8" s="51" t="s">
        <v>3</v>
      </c>
      <c r="B8" s="42">
        <v>649</v>
      </c>
      <c r="C8" s="38">
        <v>1709399</v>
      </c>
      <c r="D8" s="39">
        <v>2633.9</v>
      </c>
      <c r="E8" s="39">
        <v>82.66</v>
      </c>
      <c r="F8" s="128">
        <v>8</v>
      </c>
      <c r="G8" s="134">
        <v>689406.85</v>
      </c>
      <c r="H8" s="42">
        <v>581677.95</v>
      </c>
      <c r="I8" s="42">
        <v>17400</v>
      </c>
      <c r="J8" s="42">
        <v>0</v>
      </c>
      <c r="K8" s="42">
        <v>49732.05</v>
      </c>
      <c r="L8" s="42">
        <v>0</v>
      </c>
      <c r="M8" s="43">
        <f t="shared" si="0"/>
        <v>49732.05</v>
      </c>
      <c r="N8" s="42">
        <v>0</v>
      </c>
      <c r="O8" s="42">
        <v>88371.95</v>
      </c>
      <c r="P8" s="42">
        <v>188761.9</v>
      </c>
      <c r="Q8" s="42">
        <v>0</v>
      </c>
      <c r="R8" s="42">
        <v>43580.35</v>
      </c>
      <c r="S8" s="42">
        <v>0</v>
      </c>
      <c r="T8" s="42">
        <v>0</v>
      </c>
      <c r="U8" s="42">
        <v>0</v>
      </c>
      <c r="V8" s="42">
        <v>0</v>
      </c>
      <c r="W8" s="43">
        <f t="shared" si="1"/>
        <v>43580.35</v>
      </c>
      <c r="X8" s="42">
        <v>622788.5</v>
      </c>
      <c r="Y8" s="43">
        <f t="shared" si="2"/>
        <v>2281719.5500000003</v>
      </c>
      <c r="Z8" s="42">
        <v>634691.45</v>
      </c>
      <c r="AA8" s="42">
        <v>32213.9</v>
      </c>
      <c r="AB8" s="42">
        <v>913</v>
      </c>
      <c r="AC8" s="42">
        <v>0</v>
      </c>
      <c r="AD8" s="42">
        <v>5010.7</v>
      </c>
      <c r="AE8" s="43">
        <f t="shared" si="3"/>
        <v>672829.0499999999</v>
      </c>
      <c r="AF8" s="42">
        <v>0</v>
      </c>
      <c r="AG8" s="42">
        <v>105251.2</v>
      </c>
      <c r="AH8" s="42">
        <v>0</v>
      </c>
      <c r="AI8" s="42">
        <v>530022.3</v>
      </c>
      <c r="AJ8" s="42">
        <v>9156</v>
      </c>
      <c r="AK8" s="42">
        <v>4869</v>
      </c>
      <c r="AL8" s="42">
        <v>358492</v>
      </c>
      <c r="AM8" s="42">
        <v>0</v>
      </c>
      <c r="AN8" s="38">
        <v>2902.45</v>
      </c>
      <c r="AO8" s="38">
        <v>0</v>
      </c>
      <c r="AP8" s="38">
        <v>0</v>
      </c>
      <c r="AQ8" s="38">
        <v>0</v>
      </c>
      <c r="AR8" s="38">
        <v>0</v>
      </c>
      <c r="AS8" s="4">
        <f t="shared" si="4"/>
        <v>2902.45</v>
      </c>
      <c r="AT8" s="38">
        <v>622788.5</v>
      </c>
      <c r="AU8" s="4">
        <f t="shared" si="5"/>
        <v>2306310.5</v>
      </c>
      <c r="AV8" s="38">
        <v>24590.95</v>
      </c>
      <c r="AW8" s="38">
        <v>0</v>
      </c>
      <c r="AX8" s="4">
        <f t="shared" si="6"/>
        <v>2.801243681460619E-10</v>
      </c>
      <c r="AY8" s="42">
        <v>30074.05</v>
      </c>
      <c r="AZ8" s="42">
        <v>243331.1</v>
      </c>
      <c r="BA8" s="42">
        <v>0</v>
      </c>
      <c r="BB8" s="42">
        <v>0</v>
      </c>
      <c r="BC8" s="42">
        <v>0</v>
      </c>
      <c r="BD8" s="42">
        <v>0</v>
      </c>
      <c r="BE8" s="42">
        <v>29315.95</v>
      </c>
      <c r="BF8" s="43">
        <f t="shared" si="7"/>
        <v>272647.05</v>
      </c>
      <c r="BG8" s="42">
        <v>0</v>
      </c>
      <c r="BH8" s="42">
        <v>20808</v>
      </c>
      <c r="BI8" s="42">
        <v>0</v>
      </c>
      <c r="BJ8" s="42">
        <v>0</v>
      </c>
      <c r="BK8" s="42">
        <v>0</v>
      </c>
      <c r="BL8" s="42">
        <v>100000</v>
      </c>
      <c r="BM8" s="42">
        <v>58207</v>
      </c>
      <c r="BN8" s="42">
        <v>0</v>
      </c>
      <c r="BO8" s="43">
        <f t="shared" si="8"/>
        <v>179015</v>
      </c>
      <c r="BP8" s="42">
        <v>79015</v>
      </c>
      <c r="BQ8" s="42">
        <v>100000</v>
      </c>
      <c r="BR8" s="42">
        <v>272647.05</v>
      </c>
      <c r="BS8" s="43">
        <f t="shared" si="9"/>
        <v>0</v>
      </c>
      <c r="BT8" s="38">
        <v>1163687.75</v>
      </c>
      <c r="BU8" s="38">
        <v>445809</v>
      </c>
      <c r="BV8" s="38">
        <v>3342.8</v>
      </c>
      <c r="BW8" s="38">
        <v>47706.25</v>
      </c>
      <c r="BX8" s="4">
        <f t="shared" si="10"/>
        <v>1660545.8</v>
      </c>
      <c r="BY8" s="38">
        <v>515048.8</v>
      </c>
      <c r="BZ8" s="38">
        <v>1145497</v>
      </c>
      <c r="CA8" s="38">
        <v>0</v>
      </c>
      <c r="CB8" s="4">
        <f t="shared" si="11"/>
        <v>1660545.8</v>
      </c>
      <c r="CC8" s="4">
        <f t="shared" si="12"/>
        <v>0</v>
      </c>
      <c r="CD8" s="74">
        <f t="shared" si="13"/>
        <v>74323</v>
      </c>
      <c r="CE8" s="76">
        <f t="shared" si="14"/>
        <v>115000.90000000001</v>
      </c>
      <c r="CF8" s="76">
        <f t="shared" si="15"/>
        <v>193632.05</v>
      </c>
      <c r="CG8" s="76">
        <f t="shared" si="16"/>
        <v>1680619.55</v>
      </c>
      <c r="CH8" s="76">
        <f t="shared" si="17"/>
        <v>42222.850000000006</v>
      </c>
      <c r="CI8" s="37">
        <f t="shared" si="18"/>
        <v>91954.90000000001</v>
      </c>
      <c r="CJ8" s="59">
        <f t="shared" si="36"/>
        <v>0.3838362502488612</v>
      </c>
      <c r="CK8" s="59">
        <f t="shared" si="37"/>
        <v>0.5939145921349281</v>
      </c>
      <c r="CL8" s="141">
        <f t="shared" si="38"/>
        <v>0.04422357219395669</v>
      </c>
      <c r="CM8" s="141">
        <f t="shared" si="39"/>
        <v>0.06842768192241963</v>
      </c>
      <c r="CN8" s="141">
        <f t="shared" si="40"/>
        <v>0.025123383814022637</v>
      </c>
      <c r="CO8" s="141">
        <f t="shared" si="41"/>
        <v>0.054714881782733045</v>
      </c>
      <c r="CP8" s="141">
        <f t="shared" si="42"/>
        <v>0.10035909234966509</v>
      </c>
      <c r="CQ8" s="141">
        <f t="shared" si="43"/>
        <v>0.10035909234966509</v>
      </c>
      <c r="CR8" s="142">
        <f t="shared" si="44"/>
        <v>5.640294554216531</v>
      </c>
      <c r="CS8" s="76">
        <f t="shared" si="45"/>
        <v>648638.95</v>
      </c>
      <c r="CT8" s="80">
        <f t="shared" si="19"/>
        <v>2231987.5000000005</v>
      </c>
      <c r="CU8" s="80">
        <f t="shared" si="20"/>
        <v>2306310.5</v>
      </c>
      <c r="CV8" s="80">
        <f t="shared" si="21"/>
        <v>74322.99999999953</v>
      </c>
      <c r="CW8" s="80">
        <f t="shared" si="22"/>
        <v>0</v>
      </c>
      <c r="CX8" s="80">
        <f t="shared" si="23"/>
        <v>74322.99999999953</v>
      </c>
      <c r="CY8" s="80">
        <f t="shared" si="24"/>
        <v>24590.94999999953</v>
      </c>
      <c r="CZ8" s="80">
        <f t="shared" si="25"/>
        <v>193632.05</v>
      </c>
      <c r="DA8" s="80">
        <f t="shared" si="26"/>
        <v>49732.05</v>
      </c>
      <c r="DB8" s="80">
        <f t="shared" si="27"/>
        <v>-119309.05000000047</v>
      </c>
      <c r="DC8" s="80">
        <f t="shared" si="28"/>
        <v>-128747.05</v>
      </c>
      <c r="DD8" s="80">
        <f t="shared" si="29"/>
        <v>24590.949999999517</v>
      </c>
      <c r="DE8" s="80">
        <f t="shared" si="30"/>
        <v>667818.35</v>
      </c>
      <c r="DF8" s="80">
        <f t="shared" si="31"/>
        <v>999.4436825885978</v>
      </c>
      <c r="DG8" s="80">
        <f t="shared" si="32"/>
        <v>65.05832049306626</v>
      </c>
      <c r="DH8" s="80">
        <f t="shared" si="33"/>
        <v>1028.9959167950692</v>
      </c>
      <c r="DI8" s="81">
        <f t="shared" si="34"/>
        <v>298.354468412943</v>
      </c>
      <c r="DJ8" s="76">
        <f t="shared" si="35"/>
        <v>-183.83520801232737</v>
      </c>
      <c r="DK8" s="147">
        <f t="shared" si="46"/>
        <v>-493515.25</v>
      </c>
      <c r="DL8" s="67"/>
      <c r="DM8" s="68"/>
    </row>
    <row r="9" spans="1:117" ht="12.75">
      <c r="A9" s="52" t="s">
        <v>4</v>
      </c>
      <c r="B9" s="43">
        <v>2738</v>
      </c>
      <c r="C9" s="4">
        <v>8881675</v>
      </c>
      <c r="D9" s="34">
        <v>3243.86</v>
      </c>
      <c r="E9" s="34">
        <v>101.8</v>
      </c>
      <c r="F9" s="8">
        <v>3</v>
      </c>
      <c r="G9" s="133">
        <v>1912686.9</v>
      </c>
      <c r="H9" s="43">
        <v>1176046.8</v>
      </c>
      <c r="I9" s="43">
        <v>296890.05</v>
      </c>
      <c r="J9" s="43">
        <v>83266.4</v>
      </c>
      <c r="K9" s="43">
        <v>194807.25</v>
      </c>
      <c r="L9" s="43">
        <v>0</v>
      </c>
      <c r="M9" s="43">
        <f t="shared" si="0"/>
        <v>194807.25</v>
      </c>
      <c r="N9" s="43">
        <v>0</v>
      </c>
      <c r="O9" s="43">
        <v>158214.8</v>
      </c>
      <c r="P9" s="43">
        <v>592216.2</v>
      </c>
      <c r="Q9" s="43">
        <v>0</v>
      </c>
      <c r="R9" s="43">
        <v>294937.65</v>
      </c>
      <c r="S9" s="43">
        <v>0</v>
      </c>
      <c r="T9" s="43">
        <v>194353.1</v>
      </c>
      <c r="U9" s="43">
        <v>0</v>
      </c>
      <c r="V9" s="43">
        <v>0</v>
      </c>
      <c r="W9" s="43">
        <f t="shared" si="1"/>
        <v>489290.75</v>
      </c>
      <c r="X9" s="43">
        <v>1170711.75</v>
      </c>
      <c r="Y9" s="43">
        <f t="shared" si="2"/>
        <v>6074130.899999999</v>
      </c>
      <c r="Z9" s="43">
        <v>2481229.85</v>
      </c>
      <c r="AA9" s="43">
        <v>0</v>
      </c>
      <c r="AB9" s="43">
        <v>13998.9</v>
      </c>
      <c r="AC9" s="43">
        <v>0</v>
      </c>
      <c r="AD9" s="43">
        <v>9798</v>
      </c>
      <c r="AE9" s="43">
        <f t="shared" si="3"/>
        <v>2505026.75</v>
      </c>
      <c r="AF9" s="43">
        <v>22634.45</v>
      </c>
      <c r="AG9" s="43">
        <v>672236.05</v>
      </c>
      <c r="AH9" s="43">
        <v>0</v>
      </c>
      <c r="AI9" s="43">
        <v>1240825.55</v>
      </c>
      <c r="AJ9" s="43">
        <v>36770.3</v>
      </c>
      <c r="AK9" s="43">
        <v>79262.15</v>
      </c>
      <c r="AL9" s="43">
        <v>210137.6</v>
      </c>
      <c r="AM9" s="43">
        <v>0</v>
      </c>
      <c r="AN9" s="4">
        <v>0</v>
      </c>
      <c r="AO9" s="4">
        <v>59862.3</v>
      </c>
      <c r="AP9" s="4">
        <v>0</v>
      </c>
      <c r="AQ9" s="4">
        <v>0</v>
      </c>
      <c r="AR9" s="4">
        <v>0</v>
      </c>
      <c r="AS9" s="4">
        <f t="shared" si="4"/>
        <v>59862.3</v>
      </c>
      <c r="AT9" s="4">
        <v>1170711.75</v>
      </c>
      <c r="AU9" s="4">
        <f t="shared" si="5"/>
        <v>5997466.899999999</v>
      </c>
      <c r="AV9" s="4">
        <v>0</v>
      </c>
      <c r="AW9" s="4">
        <v>76664</v>
      </c>
      <c r="AX9" s="4">
        <f t="shared" si="6"/>
        <v>0</v>
      </c>
      <c r="AY9" s="43">
        <f>817082.85</f>
        <v>817082.85</v>
      </c>
      <c r="AZ9" s="43">
        <v>1286812.95</v>
      </c>
      <c r="BA9" s="43">
        <v>0</v>
      </c>
      <c r="BB9" s="43">
        <v>0</v>
      </c>
      <c r="BC9" s="43">
        <v>0</v>
      </c>
      <c r="BD9" s="43">
        <v>0</v>
      </c>
      <c r="BE9" s="43">
        <v>86526.1</v>
      </c>
      <c r="BF9" s="43">
        <f t="shared" si="7"/>
        <v>1373339.05</v>
      </c>
      <c r="BG9" s="43">
        <v>0</v>
      </c>
      <c r="BH9" s="43">
        <v>42977.4</v>
      </c>
      <c r="BI9" s="43">
        <v>0</v>
      </c>
      <c r="BJ9" s="43">
        <v>0</v>
      </c>
      <c r="BK9" s="43">
        <v>0</v>
      </c>
      <c r="BL9" s="43">
        <v>0</v>
      </c>
      <c r="BM9" s="43">
        <v>231999</v>
      </c>
      <c r="BN9" s="43">
        <v>0</v>
      </c>
      <c r="BO9" s="43">
        <f t="shared" si="8"/>
        <v>274976.4</v>
      </c>
      <c r="BP9" s="43">
        <v>274976.4</v>
      </c>
      <c r="BQ9" s="43">
        <v>0</v>
      </c>
      <c r="BR9" s="43">
        <v>1373339.05</v>
      </c>
      <c r="BS9" s="43">
        <f t="shared" si="9"/>
        <v>0</v>
      </c>
      <c r="BT9" s="4">
        <v>15274929.7</v>
      </c>
      <c r="BU9" s="4">
        <v>1924909.35</v>
      </c>
      <c r="BV9" s="4">
        <v>1641622.05</v>
      </c>
      <c r="BW9" s="4">
        <v>0</v>
      </c>
      <c r="BX9" s="4">
        <f t="shared" si="10"/>
        <v>18841461.1</v>
      </c>
      <c r="BY9" s="4">
        <v>9336886.65</v>
      </c>
      <c r="BZ9" s="4">
        <v>3252054.55</v>
      </c>
      <c r="CA9" s="4">
        <v>6252519.9</v>
      </c>
      <c r="CB9" s="4">
        <f t="shared" si="11"/>
        <v>18841461.1</v>
      </c>
      <c r="CC9" s="4">
        <f t="shared" si="12"/>
        <v>0</v>
      </c>
      <c r="CD9" s="74">
        <f t="shared" si="13"/>
        <v>118143.25</v>
      </c>
      <c r="CE9" s="76">
        <f t="shared" si="14"/>
        <v>547571.7</v>
      </c>
      <c r="CF9" s="76">
        <f t="shared" si="15"/>
        <v>1098362.65</v>
      </c>
      <c r="CG9" s="76">
        <f t="shared" si="16"/>
        <v>4766892.85</v>
      </c>
      <c r="CH9" s="76">
        <f t="shared" si="17"/>
        <v>441736.8499999999</v>
      </c>
      <c r="CI9" s="37">
        <f t="shared" si="18"/>
        <v>636544.0999999999</v>
      </c>
      <c r="CJ9" s="59">
        <f t="shared" si="36"/>
        <v>0.10756306216348491</v>
      </c>
      <c r="CK9" s="59">
        <f t="shared" si="37"/>
        <v>0.49853452318321273</v>
      </c>
      <c r="CL9" s="141">
        <f t="shared" si="38"/>
        <v>0.024784121170250348</v>
      </c>
      <c r="CM9" s="141">
        <f t="shared" si="39"/>
        <v>0.11486973112894702</v>
      </c>
      <c r="CN9" s="141">
        <f t="shared" si="40"/>
        <v>0.0926676692554564</v>
      </c>
      <c r="CO9" s="141">
        <f t="shared" si="41"/>
        <v>0.1335343839331316</v>
      </c>
      <c r="CP9" s="141">
        <f t="shared" si="42"/>
        <v>0.09190249772068587</v>
      </c>
      <c r="CQ9" s="141">
        <f t="shared" si="43"/>
        <v>0.09190249772068587</v>
      </c>
      <c r="CR9" s="142">
        <f t="shared" si="44"/>
        <v>10.844320570255912</v>
      </c>
      <c r="CS9" s="76">
        <f t="shared" si="45"/>
        <v>5938043.049999999</v>
      </c>
      <c r="CT9" s="80">
        <f t="shared" si="19"/>
        <v>5879323.649999999</v>
      </c>
      <c r="CU9" s="80">
        <f t="shared" si="20"/>
        <v>5997466.899999999</v>
      </c>
      <c r="CV9" s="80">
        <f t="shared" si="21"/>
        <v>118143.25</v>
      </c>
      <c r="CW9" s="80">
        <f t="shared" si="22"/>
        <v>0</v>
      </c>
      <c r="CX9" s="80">
        <f t="shared" si="23"/>
        <v>118143.25</v>
      </c>
      <c r="CY9" s="80">
        <f t="shared" si="24"/>
        <v>-76664</v>
      </c>
      <c r="CZ9" s="80">
        <f t="shared" si="25"/>
        <v>1098362.65</v>
      </c>
      <c r="DA9" s="80">
        <f t="shared" si="26"/>
        <v>194807.25</v>
      </c>
      <c r="DB9" s="80">
        <f t="shared" si="27"/>
        <v>-980219.3999999999</v>
      </c>
      <c r="DC9" s="80">
        <f t="shared" si="28"/>
        <v>-469783.65</v>
      </c>
      <c r="DD9" s="80">
        <f t="shared" si="29"/>
        <v>-76663.99999999977</v>
      </c>
      <c r="DE9" s="80">
        <f t="shared" si="30"/>
        <v>2495228.75</v>
      </c>
      <c r="DF9" s="80">
        <f t="shared" si="31"/>
        <v>2168.7520270270265</v>
      </c>
      <c r="DG9" s="80">
        <f t="shared" si="32"/>
        <v>161.3355916727538</v>
      </c>
      <c r="DH9" s="80">
        <f t="shared" si="33"/>
        <v>911.3326333089847</v>
      </c>
      <c r="DI9" s="81">
        <f t="shared" si="34"/>
        <v>401.1550949598247</v>
      </c>
      <c r="DJ9" s="76">
        <f t="shared" si="35"/>
        <v>-358.0056245434624</v>
      </c>
      <c r="DK9" s="147">
        <f t="shared" si="46"/>
        <v>4327610.550000001</v>
      </c>
      <c r="DL9" s="64"/>
      <c r="DM9" s="65"/>
    </row>
    <row r="10" spans="1:117" ht="12.75">
      <c r="A10" s="51" t="s">
        <v>5</v>
      </c>
      <c r="B10" s="42">
        <v>531</v>
      </c>
      <c r="C10" s="38">
        <v>1161116</v>
      </c>
      <c r="D10" s="39">
        <v>2186.66</v>
      </c>
      <c r="E10" s="39">
        <v>68.62</v>
      </c>
      <c r="F10" s="128">
        <v>8</v>
      </c>
      <c r="G10" s="134">
        <v>458408.95</v>
      </c>
      <c r="H10" s="42">
        <v>169380.05</v>
      </c>
      <c r="I10" s="42">
        <v>19408.55</v>
      </c>
      <c r="J10" s="42">
        <v>4530.45</v>
      </c>
      <c r="K10" s="42">
        <v>20354.7</v>
      </c>
      <c r="L10" s="42">
        <v>0</v>
      </c>
      <c r="M10" s="43">
        <f t="shared" si="0"/>
        <v>20354.7</v>
      </c>
      <c r="N10" s="42">
        <v>0</v>
      </c>
      <c r="O10" s="42">
        <v>135688.6</v>
      </c>
      <c r="P10" s="42">
        <v>159469.05</v>
      </c>
      <c r="Q10" s="42">
        <v>10166.9</v>
      </c>
      <c r="R10" s="42">
        <v>33671.75</v>
      </c>
      <c r="S10" s="42">
        <v>61111.85</v>
      </c>
      <c r="T10" s="42">
        <v>0</v>
      </c>
      <c r="U10" s="42">
        <v>0</v>
      </c>
      <c r="V10" s="42">
        <v>0</v>
      </c>
      <c r="W10" s="43">
        <f t="shared" si="1"/>
        <v>94783.6</v>
      </c>
      <c r="X10" s="42">
        <v>143012.15</v>
      </c>
      <c r="Y10" s="43">
        <f t="shared" si="2"/>
        <v>1215202.9999999998</v>
      </c>
      <c r="Z10" s="42">
        <v>449856.35</v>
      </c>
      <c r="AA10" s="42">
        <v>11287.05</v>
      </c>
      <c r="AB10" s="42">
        <v>0</v>
      </c>
      <c r="AC10" s="42">
        <v>0</v>
      </c>
      <c r="AD10" s="42">
        <v>46646</v>
      </c>
      <c r="AE10" s="43">
        <f t="shared" si="3"/>
        <v>507789.39999999997</v>
      </c>
      <c r="AF10" s="42">
        <v>1779.2</v>
      </c>
      <c r="AG10" s="42">
        <v>31541</v>
      </c>
      <c r="AH10" s="42">
        <v>0</v>
      </c>
      <c r="AI10" s="42">
        <v>453295.95</v>
      </c>
      <c r="AJ10" s="42">
        <v>7097.4</v>
      </c>
      <c r="AK10" s="42">
        <v>6200.5</v>
      </c>
      <c r="AL10" s="42">
        <v>105799.3</v>
      </c>
      <c r="AM10" s="42">
        <v>10166.9</v>
      </c>
      <c r="AN10" s="38">
        <v>13330.15</v>
      </c>
      <c r="AO10" s="38">
        <v>11542.65</v>
      </c>
      <c r="AP10" s="38">
        <v>46609.15</v>
      </c>
      <c r="AQ10" s="38">
        <v>0</v>
      </c>
      <c r="AR10" s="38">
        <v>0</v>
      </c>
      <c r="AS10" s="4">
        <f t="shared" si="4"/>
        <v>71481.95</v>
      </c>
      <c r="AT10" s="38">
        <v>143012.15</v>
      </c>
      <c r="AU10" s="4">
        <f t="shared" si="5"/>
        <v>1338163.7499999995</v>
      </c>
      <c r="AV10" s="38">
        <v>122960.75</v>
      </c>
      <c r="AW10" s="38">
        <v>0</v>
      </c>
      <c r="AX10" s="4">
        <f t="shared" si="6"/>
        <v>2.3283064365386963E-10</v>
      </c>
      <c r="AY10" s="42">
        <v>1126.3</v>
      </c>
      <c r="AZ10" s="42">
        <v>2571.25</v>
      </c>
      <c r="BA10" s="42">
        <v>0</v>
      </c>
      <c r="BB10" s="42">
        <v>0</v>
      </c>
      <c r="BC10" s="42">
        <v>0</v>
      </c>
      <c r="BD10" s="42">
        <v>0</v>
      </c>
      <c r="BE10" s="42">
        <v>0</v>
      </c>
      <c r="BF10" s="43">
        <f t="shared" si="7"/>
        <v>2571.25</v>
      </c>
      <c r="BG10" s="42">
        <v>0</v>
      </c>
      <c r="BH10" s="42">
        <v>3860</v>
      </c>
      <c r="BI10" s="42">
        <v>0</v>
      </c>
      <c r="BJ10" s="42">
        <v>0</v>
      </c>
      <c r="BK10" s="42">
        <v>0</v>
      </c>
      <c r="BL10" s="42">
        <v>0</v>
      </c>
      <c r="BM10" s="42">
        <v>0</v>
      </c>
      <c r="BN10" s="42">
        <v>0</v>
      </c>
      <c r="BO10" s="43">
        <f t="shared" si="8"/>
        <v>3860</v>
      </c>
      <c r="BP10" s="42">
        <v>3860</v>
      </c>
      <c r="BQ10" s="42">
        <v>0</v>
      </c>
      <c r="BR10" s="42">
        <v>2571.25</v>
      </c>
      <c r="BS10" s="43">
        <f t="shared" si="9"/>
        <v>0</v>
      </c>
      <c r="BT10" s="38">
        <v>2543367.3</v>
      </c>
      <c r="BU10" s="38">
        <v>220350.7</v>
      </c>
      <c r="BV10" s="38">
        <v>10006.9</v>
      </c>
      <c r="BW10" s="38">
        <v>0</v>
      </c>
      <c r="BX10" s="4">
        <f t="shared" si="10"/>
        <v>2773724.9</v>
      </c>
      <c r="BY10" s="38">
        <v>650994.6</v>
      </c>
      <c r="BZ10" s="38">
        <v>1439632.6</v>
      </c>
      <c r="CA10" s="38">
        <v>683097.7</v>
      </c>
      <c r="CB10" s="4">
        <f t="shared" si="11"/>
        <v>2773724.9000000004</v>
      </c>
      <c r="CC10" s="4">
        <f t="shared" si="12"/>
        <v>0</v>
      </c>
      <c r="CD10" s="74">
        <f t="shared" si="13"/>
        <v>143315.45</v>
      </c>
      <c r="CE10" s="76">
        <f t="shared" si="14"/>
        <v>166617.10000000003</v>
      </c>
      <c r="CF10" s="76">
        <f t="shared" si="15"/>
        <v>-1288.75</v>
      </c>
      <c r="CG10" s="76">
        <f t="shared" si="16"/>
        <v>1113502.7499999998</v>
      </c>
      <c r="CH10" s="76">
        <f t="shared" si="17"/>
        <v>-11006.150000000001</v>
      </c>
      <c r="CI10" s="37">
        <f t="shared" si="18"/>
        <v>9348.55</v>
      </c>
      <c r="CJ10" s="59">
        <f t="shared" si="36"/>
        <v>-111.20500484966054</v>
      </c>
      <c r="CK10" s="59">
        <f t="shared" si="37"/>
        <v>-129.28581959262854</v>
      </c>
      <c r="CL10" s="141">
        <f t="shared" si="38"/>
        <v>0.12870686668712766</v>
      </c>
      <c r="CM10" s="141">
        <f t="shared" si="39"/>
        <v>0.14963330804526534</v>
      </c>
      <c r="CN10" s="141">
        <f t="shared" si="40"/>
        <v>-0.009884259378793635</v>
      </c>
      <c r="CO10" s="141">
        <f t="shared" si="41"/>
        <v>0.008395623630026959</v>
      </c>
      <c r="CP10" s="141">
        <f t="shared" si="42"/>
        <v>0.08456270611294968</v>
      </c>
      <c r="CQ10" s="141">
        <f t="shared" si="43"/>
        <v>0.08456270611294968</v>
      </c>
      <c r="CR10" s="142">
        <f t="shared" si="44"/>
        <v>11.35761395439003</v>
      </c>
      <c r="CS10" s="76">
        <f t="shared" si="45"/>
        <v>1892372.6999999997</v>
      </c>
      <c r="CT10" s="80">
        <f t="shared" si="19"/>
        <v>1194848.2999999998</v>
      </c>
      <c r="CU10" s="80">
        <f t="shared" si="20"/>
        <v>1338163.7499999995</v>
      </c>
      <c r="CV10" s="80">
        <f t="shared" si="21"/>
        <v>143315.44999999972</v>
      </c>
      <c r="CW10" s="80">
        <f t="shared" si="22"/>
        <v>0</v>
      </c>
      <c r="CX10" s="80">
        <f t="shared" si="23"/>
        <v>143315.44999999972</v>
      </c>
      <c r="CY10" s="80">
        <f t="shared" si="24"/>
        <v>122960.74999999972</v>
      </c>
      <c r="CZ10" s="80">
        <f t="shared" si="25"/>
        <v>-1288.75</v>
      </c>
      <c r="DA10" s="80">
        <f t="shared" si="26"/>
        <v>20354.7</v>
      </c>
      <c r="DB10" s="80">
        <f t="shared" si="27"/>
        <v>144604.19999999972</v>
      </c>
      <c r="DC10" s="80">
        <f t="shared" si="28"/>
        <v>-24214.7</v>
      </c>
      <c r="DD10" s="80">
        <f t="shared" si="29"/>
        <v>122960.74999999972</v>
      </c>
      <c r="DE10" s="80">
        <f t="shared" si="30"/>
        <v>461143.39999999997</v>
      </c>
      <c r="DF10" s="80">
        <f t="shared" si="31"/>
        <v>3563.7903954802255</v>
      </c>
      <c r="DG10" s="80">
        <f t="shared" si="32"/>
        <v>-20.72721280602637</v>
      </c>
      <c r="DH10" s="80">
        <f t="shared" si="33"/>
        <v>868.4433145009416</v>
      </c>
      <c r="DI10" s="81">
        <f t="shared" si="34"/>
        <v>-2.427024482109228</v>
      </c>
      <c r="DJ10" s="76">
        <f t="shared" si="35"/>
        <v>272.3242937853102</v>
      </c>
      <c r="DK10" s="147">
        <f t="shared" si="46"/>
        <v>462746.99999999994</v>
      </c>
      <c r="DL10" s="67"/>
      <c r="DM10" s="68"/>
    </row>
    <row r="11" spans="1:117" ht="12.75">
      <c r="A11" s="52" t="s">
        <v>6</v>
      </c>
      <c r="B11" s="43">
        <v>5551</v>
      </c>
      <c r="C11" s="4">
        <v>21735233</v>
      </c>
      <c r="D11" s="34">
        <v>3915.55</v>
      </c>
      <c r="E11" s="34">
        <v>122.88</v>
      </c>
      <c r="F11" s="8">
        <v>4</v>
      </c>
      <c r="G11" s="133">
        <v>4632544.4</v>
      </c>
      <c r="H11" s="43">
        <v>2306179.72</v>
      </c>
      <c r="I11" s="43">
        <v>852230.8</v>
      </c>
      <c r="J11" s="43">
        <v>352634</v>
      </c>
      <c r="K11" s="43">
        <v>5487366.7</v>
      </c>
      <c r="L11" s="43">
        <v>0</v>
      </c>
      <c r="M11" s="43">
        <f t="shared" si="0"/>
        <v>5487366.7</v>
      </c>
      <c r="N11" s="43">
        <v>0</v>
      </c>
      <c r="O11" s="43">
        <v>454417.8</v>
      </c>
      <c r="P11" s="43">
        <v>1574957.73</v>
      </c>
      <c r="Q11" s="43">
        <v>87475.45</v>
      </c>
      <c r="R11" s="43">
        <v>186600</v>
      </c>
      <c r="S11" s="43">
        <v>0</v>
      </c>
      <c r="T11" s="43">
        <v>0</v>
      </c>
      <c r="U11" s="43">
        <v>0</v>
      </c>
      <c r="V11" s="43">
        <v>0</v>
      </c>
      <c r="W11" s="43">
        <f t="shared" si="1"/>
        <v>186600</v>
      </c>
      <c r="X11" s="43">
        <v>1907382.5</v>
      </c>
      <c r="Y11" s="43">
        <f t="shared" si="2"/>
        <v>17841789.1</v>
      </c>
      <c r="Z11" s="43">
        <v>5360723.9</v>
      </c>
      <c r="AA11" s="43">
        <v>237232.5</v>
      </c>
      <c r="AB11" s="43">
        <v>59821</v>
      </c>
      <c r="AC11" s="43">
        <v>0</v>
      </c>
      <c r="AD11" s="43">
        <v>24566.5</v>
      </c>
      <c r="AE11" s="43">
        <f t="shared" si="3"/>
        <v>5682343.9</v>
      </c>
      <c r="AF11" s="43">
        <v>49431</v>
      </c>
      <c r="AG11" s="43">
        <v>1719742.9</v>
      </c>
      <c r="AH11" s="43">
        <v>650200</v>
      </c>
      <c r="AI11" s="43">
        <v>3275795.8</v>
      </c>
      <c r="AJ11" s="43">
        <v>71654.3</v>
      </c>
      <c r="AK11" s="43">
        <v>448411.85</v>
      </c>
      <c r="AL11" s="43">
        <v>446975</v>
      </c>
      <c r="AM11" s="43">
        <v>0</v>
      </c>
      <c r="AN11" s="4">
        <v>946.25</v>
      </c>
      <c r="AO11" s="4">
        <v>0</v>
      </c>
      <c r="AP11" s="4">
        <v>3928368</v>
      </c>
      <c r="AQ11" s="4">
        <v>0</v>
      </c>
      <c r="AR11" s="4">
        <v>0</v>
      </c>
      <c r="AS11" s="4">
        <f t="shared" si="4"/>
        <v>3929314.25</v>
      </c>
      <c r="AT11" s="4">
        <v>1912917.5</v>
      </c>
      <c r="AU11" s="4">
        <f t="shared" si="5"/>
        <v>17536586.5</v>
      </c>
      <c r="AV11" s="4">
        <v>0</v>
      </c>
      <c r="AW11" s="4">
        <v>305202.6</v>
      </c>
      <c r="AX11" s="4">
        <f t="shared" si="6"/>
        <v>1.5133991837501526E-09</v>
      </c>
      <c r="AY11" s="43">
        <v>394146.8</v>
      </c>
      <c r="AZ11" s="43">
        <v>7148608.85</v>
      </c>
      <c r="BA11" s="43">
        <v>0</v>
      </c>
      <c r="BB11" s="43">
        <v>0</v>
      </c>
      <c r="BC11" s="43">
        <v>112000</v>
      </c>
      <c r="BD11" s="43">
        <v>0</v>
      </c>
      <c r="BE11" s="43">
        <v>513929.85</v>
      </c>
      <c r="BF11" s="43">
        <f t="shared" si="7"/>
        <v>7774538.699999999</v>
      </c>
      <c r="BG11" s="43">
        <v>0</v>
      </c>
      <c r="BH11" s="43">
        <v>0</v>
      </c>
      <c r="BI11" s="43">
        <v>0</v>
      </c>
      <c r="BJ11" s="43">
        <v>0</v>
      </c>
      <c r="BK11" s="43">
        <v>0</v>
      </c>
      <c r="BL11" s="43">
        <v>0</v>
      </c>
      <c r="BM11" s="43">
        <v>4230369.15</v>
      </c>
      <c r="BN11" s="43">
        <v>0</v>
      </c>
      <c r="BO11" s="43">
        <f t="shared" si="8"/>
        <v>4230369.15</v>
      </c>
      <c r="BP11" s="43">
        <v>4230369.15</v>
      </c>
      <c r="BQ11" s="43">
        <v>0</v>
      </c>
      <c r="BR11" s="43">
        <v>7774538.7</v>
      </c>
      <c r="BS11" s="43">
        <f t="shared" si="9"/>
        <v>0</v>
      </c>
      <c r="BT11" s="4">
        <v>10563432.86</v>
      </c>
      <c r="BU11" s="4">
        <v>30342518.75</v>
      </c>
      <c r="BV11" s="4">
        <v>0</v>
      </c>
      <c r="BW11" s="4">
        <v>0</v>
      </c>
      <c r="BX11" s="4">
        <f t="shared" si="10"/>
        <v>40905951.61</v>
      </c>
      <c r="BY11" s="4">
        <v>32342158.97</v>
      </c>
      <c r="BZ11" s="4">
        <v>3937380.7</v>
      </c>
      <c r="CA11" s="4">
        <v>4626411.94</v>
      </c>
      <c r="CB11" s="4">
        <f t="shared" si="11"/>
        <v>40905951.61</v>
      </c>
      <c r="CC11" s="4">
        <f t="shared" si="12"/>
        <v>0</v>
      </c>
      <c r="CD11" s="74">
        <f>K11+L11+AV11-AW11</f>
        <v>5182164.100000001</v>
      </c>
      <c r="CE11" s="76">
        <f>CD11+W11-AS11</f>
        <v>1439449.8500000006</v>
      </c>
      <c r="CF11" s="76">
        <f t="shared" si="15"/>
        <v>3544169.55</v>
      </c>
      <c r="CG11" s="76">
        <f>AU11-AM11-AT11-AS11</f>
        <v>11694354.75</v>
      </c>
      <c r="CH11" s="76">
        <f t="shared" si="17"/>
        <v>176834.70000000013</v>
      </c>
      <c r="CI11" s="37">
        <f t="shared" si="18"/>
        <v>5664201.4</v>
      </c>
      <c r="CJ11" s="59">
        <f t="shared" si="36"/>
        <v>1.4621659677652838</v>
      </c>
      <c r="CK11" s="59">
        <f t="shared" si="37"/>
        <v>0.40614587696573395</v>
      </c>
      <c r="CL11" s="141">
        <f t="shared" si="38"/>
        <v>0.44313382061545553</v>
      </c>
      <c r="CM11" s="141">
        <f t="shared" si="39"/>
        <v>0.1230892922929331</v>
      </c>
      <c r="CN11" s="141">
        <f t="shared" si="40"/>
        <v>0.015121372985542458</v>
      </c>
      <c r="CO11" s="141">
        <f t="shared" si="41"/>
        <v>0.48435347833107256</v>
      </c>
      <c r="CP11" s="141">
        <f t="shared" si="42"/>
        <v>0.153150551029741</v>
      </c>
      <c r="CQ11" s="141">
        <f t="shared" si="43"/>
        <v>0.153150551029741</v>
      </c>
      <c r="CR11" s="142">
        <f t="shared" si="44"/>
        <v>-15.12989570980885</v>
      </c>
      <c r="CS11" s="76">
        <f t="shared" si="45"/>
        <v>-21778726.11</v>
      </c>
      <c r="CT11" s="80">
        <f t="shared" si="19"/>
        <v>12354422.400000002</v>
      </c>
      <c r="CU11" s="80">
        <f t="shared" si="20"/>
        <v>17536586.5</v>
      </c>
      <c r="CV11" s="80">
        <f t="shared" si="21"/>
        <v>5182164.099999998</v>
      </c>
      <c r="CW11" s="80">
        <f t="shared" si="22"/>
        <v>0</v>
      </c>
      <c r="CX11" s="80">
        <f t="shared" si="23"/>
        <v>5182164.099999998</v>
      </c>
      <c r="CY11" s="80">
        <f t="shared" si="24"/>
        <v>-305202.6000000024</v>
      </c>
      <c r="CZ11" s="80">
        <f t="shared" si="25"/>
        <v>3544169.55</v>
      </c>
      <c r="DA11" s="80">
        <f t="shared" si="26"/>
        <v>5487366.7</v>
      </c>
      <c r="DB11" s="80">
        <f t="shared" si="27"/>
        <v>1637994.549999998</v>
      </c>
      <c r="DC11" s="80">
        <f t="shared" si="28"/>
        <v>-9717735.850000001</v>
      </c>
      <c r="DD11" s="80">
        <f t="shared" si="29"/>
        <v>-305202.60000000335</v>
      </c>
      <c r="DE11" s="80">
        <f t="shared" si="30"/>
        <v>5657777.4</v>
      </c>
      <c r="DF11" s="80">
        <f t="shared" si="31"/>
        <v>-3923.387877859845</v>
      </c>
      <c r="DG11" s="80">
        <f t="shared" si="32"/>
        <v>31.856368221942017</v>
      </c>
      <c r="DH11" s="80">
        <f t="shared" si="33"/>
        <v>1019.2357052783283</v>
      </c>
      <c r="DI11" s="81">
        <f t="shared" si="34"/>
        <v>638.4740677355431</v>
      </c>
      <c r="DJ11" s="76">
        <f t="shared" si="35"/>
        <v>295.0809854080342</v>
      </c>
      <c r="DK11" s="147">
        <f t="shared" si="46"/>
        <v>-25716106.81</v>
      </c>
      <c r="DL11" s="64"/>
      <c r="DM11" s="65"/>
    </row>
    <row r="12" spans="1:117" ht="12.75">
      <c r="A12" s="51" t="s">
        <v>7</v>
      </c>
      <c r="B12" s="42">
        <v>630</v>
      </c>
      <c r="C12" s="38">
        <v>1550894</v>
      </c>
      <c r="D12" s="39">
        <v>2461.74</v>
      </c>
      <c r="E12" s="39">
        <v>77.26</v>
      </c>
      <c r="F12" s="128">
        <v>8</v>
      </c>
      <c r="G12" s="134">
        <v>505358</v>
      </c>
      <c r="H12" s="42">
        <v>413468.15</v>
      </c>
      <c r="I12" s="42">
        <v>11331.65</v>
      </c>
      <c r="J12" s="42">
        <v>0</v>
      </c>
      <c r="K12" s="42">
        <v>77800</v>
      </c>
      <c r="L12" s="42">
        <v>11429.55</v>
      </c>
      <c r="M12" s="43">
        <f t="shared" si="0"/>
        <v>89229.55</v>
      </c>
      <c r="N12" s="42">
        <v>0</v>
      </c>
      <c r="O12" s="42">
        <v>74203.85</v>
      </c>
      <c r="P12" s="42">
        <v>271191.7</v>
      </c>
      <c r="Q12" s="42">
        <v>0</v>
      </c>
      <c r="R12" s="42">
        <v>896.65</v>
      </c>
      <c r="S12" s="42">
        <v>24272</v>
      </c>
      <c r="T12" s="42">
        <v>0</v>
      </c>
      <c r="U12" s="42">
        <v>0</v>
      </c>
      <c r="V12" s="42">
        <v>0</v>
      </c>
      <c r="W12" s="43">
        <f t="shared" si="1"/>
        <v>25168.65</v>
      </c>
      <c r="X12" s="42">
        <v>49500</v>
      </c>
      <c r="Y12" s="43">
        <f t="shared" si="2"/>
        <v>1439451.55</v>
      </c>
      <c r="Z12" s="42">
        <v>115330.05</v>
      </c>
      <c r="AA12" s="42">
        <v>0</v>
      </c>
      <c r="AB12" s="42">
        <v>0</v>
      </c>
      <c r="AC12" s="42">
        <v>0</v>
      </c>
      <c r="AD12" s="42">
        <v>3998.5</v>
      </c>
      <c r="AE12" s="43">
        <f t="shared" si="3"/>
        <v>119328.55</v>
      </c>
      <c r="AF12" s="42">
        <v>0</v>
      </c>
      <c r="AG12" s="42">
        <v>88427.85</v>
      </c>
      <c r="AH12" s="42">
        <v>0</v>
      </c>
      <c r="AI12" s="42">
        <v>465434</v>
      </c>
      <c r="AJ12" s="42">
        <v>545432.6</v>
      </c>
      <c r="AK12" s="42">
        <v>2230</v>
      </c>
      <c r="AL12" s="42">
        <v>105420.85</v>
      </c>
      <c r="AM12" s="42">
        <v>0</v>
      </c>
      <c r="AN12" s="38">
        <v>62443.7</v>
      </c>
      <c r="AO12" s="38">
        <v>0</v>
      </c>
      <c r="AP12" s="38">
        <v>0</v>
      </c>
      <c r="AQ12" s="38">
        <v>0</v>
      </c>
      <c r="AR12" s="38">
        <v>0</v>
      </c>
      <c r="AS12" s="4">
        <f t="shared" si="4"/>
        <v>62443.7</v>
      </c>
      <c r="AT12" s="38">
        <v>50734</v>
      </c>
      <c r="AU12" s="4">
        <f t="shared" si="5"/>
        <v>1439451.5499999998</v>
      </c>
      <c r="AV12" s="38">
        <v>0</v>
      </c>
      <c r="AW12" s="38">
        <v>0</v>
      </c>
      <c r="AX12" s="4">
        <f t="shared" si="6"/>
        <v>2.3283064365386963E-10</v>
      </c>
      <c r="AY12" s="42">
        <v>0</v>
      </c>
      <c r="AZ12" s="42">
        <v>529475.05</v>
      </c>
      <c r="BA12" s="42">
        <v>0</v>
      </c>
      <c r="BB12" s="42">
        <v>0</v>
      </c>
      <c r="BC12" s="42">
        <v>10000</v>
      </c>
      <c r="BD12" s="42">
        <v>0</v>
      </c>
      <c r="BE12" s="42">
        <v>0</v>
      </c>
      <c r="BF12" s="43">
        <f t="shared" si="7"/>
        <v>539475.05</v>
      </c>
      <c r="BG12" s="42">
        <v>0</v>
      </c>
      <c r="BH12" s="42">
        <v>0</v>
      </c>
      <c r="BI12" s="42">
        <v>0</v>
      </c>
      <c r="BJ12" s="42">
        <v>0</v>
      </c>
      <c r="BK12" s="42">
        <v>0</v>
      </c>
      <c r="BL12" s="42">
        <v>0</v>
      </c>
      <c r="BM12" s="42">
        <v>490896.5</v>
      </c>
      <c r="BN12" s="42">
        <v>0</v>
      </c>
      <c r="BO12" s="43">
        <f t="shared" si="8"/>
        <v>490896.5</v>
      </c>
      <c r="BP12" s="42">
        <v>490896.5</v>
      </c>
      <c r="BQ12" s="42">
        <v>0</v>
      </c>
      <c r="BR12" s="42">
        <v>539475.05</v>
      </c>
      <c r="BS12" s="43">
        <f t="shared" si="9"/>
        <v>0</v>
      </c>
      <c r="BT12" s="38">
        <v>2266233.92</v>
      </c>
      <c r="BU12" s="38">
        <v>744238.3</v>
      </c>
      <c r="BV12" s="38">
        <v>21121.85</v>
      </c>
      <c r="BW12" s="38">
        <v>0</v>
      </c>
      <c r="BX12" s="4">
        <f t="shared" si="10"/>
        <v>3031594.07</v>
      </c>
      <c r="BY12" s="38">
        <v>2820345.95</v>
      </c>
      <c r="BZ12" s="38">
        <v>202446.6</v>
      </c>
      <c r="CA12" s="38">
        <v>8801.52</v>
      </c>
      <c r="CB12" s="4">
        <f t="shared" si="11"/>
        <v>3031594.0700000003</v>
      </c>
      <c r="CC12" s="4">
        <f t="shared" si="12"/>
        <v>0</v>
      </c>
      <c r="CD12" s="74">
        <f t="shared" si="13"/>
        <v>89229.55</v>
      </c>
      <c r="CE12" s="76">
        <f t="shared" si="14"/>
        <v>51954.500000000015</v>
      </c>
      <c r="CF12" s="76">
        <f t="shared" si="15"/>
        <v>48578.55000000005</v>
      </c>
      <c r="CG12" s="76">
        <f aca="true" t="shared" si="47" ref="CG12:CG31">AU12-AM12-AT12-AS12</f>
        <v>1326273.8499999999</v>
      </c>
      <c r="CH12" s="76">
        <f t="shared" si="17"/>
        <v>-77096.20000000001</v>
      </c>
      <c r="CI12" s="37">
        <f t="shared" si="18"/>
        <v>703.7999999999884</v>
      </c>
      <c r="CJ12" s="59">
        <f t="shared" si="36"/>
        <v>1.8368096618775143</v>
      </c>
      <c r="CK12" s="59">
        <f t="shared" si="37"/>
        <v>1.0694946637970866</v>
      </c>
      <c r="CL12" s="141">
        <f t="shared" si="38"/>
        <v>0.06727837542751824</v>
      </c>
      <c r="CM12" s="141">
        <f t="shared" si="39"/>
        <v>0.039173282350398464</v>
      </c>
      <c r="CN12" s="141">
        <f t="shared" si="40"/>
        <v>-0.058129925429804725</v>
      </c>
      <c r="CO12" s="141">
        <f t="shared" si="41"/>
        <v>0.000530659637148081</v>
      </c>
      <c r="CP12" s="141">
        <f t="shared" si="42"/>
        <v>0.10705817866879927</v>
      </c>
      <c r="CQ12" s="141">
        <f t="shared" si="43"/>
        <v>0.09334493226103441</v>
      </c>
      <c r="CR12" s="142">
        <f t="shared" si="44"/>
        <v>-10.665332743073268</v>
      </c>
      <c r="CS12" s="76">
        <f t="shared" si="45"/>
        <v>-554112.0300000003</v>
      </c>
      <c r="CT12" s="80">
        <f t="shared" si="19"/>
        <v>1350222</v>
      </c>
      <c r="CU12" s="80">
        <f t="shared" si="20"/>
        <v>1439451.5499999998</v>
      </c>
      <c r="CV12" s="80">
        <f t="shared" si="21"/>
        <v>89229.54999999981</v>
      </c>
      <c r="CW12" s="80">
        <f t="shared" si="22"/>
        <v>0</v>
      </c>
      <c r="CX12" s="80">
        <f t="shared" si="23"/>
        <v>89229.54999999981</v>
      </c>
      <c r="CY12" s="80">
        <f t="shared" si="24"/>
        <v>-1.8553691916167736E-10</v>
      </c>
      <c r="CZ12" s="80">
        <f t="shared" si="25"/>
        <v>48578.55000000005</v>
      </c>
      <c r="DA12" s="80">
        <f t="shared" si="26"/>
        <v>89229.55</v>
      </c>
      <c r="DB12" s="80">
        <f t="shared" si="27"/>
        <v>40650.99999999977</v>
      </c>
      <c r="DC12" s="80">
        <f t="shared" si="28"/>
        <v>-580126.05</v>
      </c>
      <c r="DD12" s="80">
        <f t="shared" si="29"/>
        <v>0</v>
      </c>
      <c r="DE12" s="80">
        <f t="shared" si="30"/>
        <v>115330.05</v>
      </c>
      <c r="DF12" s="80">
        <f t="shared" si="31"/>
        <v>-879.5429047619052</v>
      </c>
      <c r="DG12" s="80">
        <f t="shared" si="32"/>
        <v>-122.37492063492066</v>
      </c>
      <c r="DH12" s="80">
        <f t="shared" si="33"/>
        <v>183.06357142857144</v>
      </c>
      <c r="DI12" s="81">
        <f t="shared" si="34"/>
        <v>77.1088095238096</v>
      </c>
      <c r="DJ12" s="76">
        <f t="shared" si="35"/>
        <v>64.52539682539646</v>
      </c>
      <c r="DK12" s="147">
        <f t="shared" si="46"/>
        <v>-735436.78</v>
      </c>
      <c r="DL12" s="67"/>
      <c r="DM12" s="68"/>
    </row>
    <row r="13" spans="1:117" ht="12.75">
      <c r="A13" s="52" t="s">
        <v>8</v>
      </c>
      <c r="B13" s="43">
        <v>345</v>
      </c>
      <c r="C13" s="4">
        <v>661518</v>
      </c>
      <c r="D13" s="34">
        <v>1917.44</v>
      </c>
      <c r="E13" s="34">
        <v>60.17</v>
      </c>
      <c r="F13" s="8">
        <v>5</v>
      </c>
      <c r="G13" s="133">
        <v>190759.6</v>
      </c>
      <c r="H13" s="43">
        <v>121010.99</v>
      </c>
      <c r="I13" s="43">
        <v>11120.35</v>
      </c>
      <c r="J13" s="43">
        <v>0</v>
      </c>
      <c r="K13" s="43">
        <v>51000</v>
      </c>
      <c r="L13" s="43">
        <v>0</v>
      </c>
      <c r="M13" s="43">
        <f t="shared" si="0"/>
        <v>51000</v>
      </c>
      <c r="N13" s="43">
        <v>0</v>
      </c>
      <c r="O13" s="43">
        <v>63222.4</v>
      </c>
      <c r="P13" s="43">
        <v>99552.13</v>
      </c>
      <c r="Q13" s="43">
        <v>0</v>
      </c>
      <c r="R13" s="43">
        <v>19985.41</v>
      </c>
      <c r="S13" s="43">
        <v>0</v>
      </c>
      <c r="T13" s="43">
        <v>0</v>
      </c>
      <c r="U13" s="43">
        <v>0</v>
      </c>
      <c r="V13" s="43">
        <v>0</v>
      </c>
      <c r="W13" s="43">
        <f t="shared" si="1"/>
        <v>19985.41</v>
      </c>
      <c r="X13" s="43">
        <v>79445.15</v>
      </c>
      <c r="Y13" s="43">
        <f t="shared" si="2"/>
        <v>636096.03</v>
      </c>
      <c r="Z13" s="43">
        <v>33741.9</v>
      </c>
      <c r="AA13" s="43">
        <v>24344.75</v>
      </c>
      <c r="AB13" s="43">
        <v>11303</v>
      </c>
      <c r="AC13" s="43">
        <v>2760.55</v>
      </c>
      <c r="AD13" s="43">
        <v>6300</v>
      </c>
      <c r="AE13" s="43">
        <f t="shared" si="3"/>
        <v>78450.2</v>
      </c>
      <c r="AF13" s="43">
        <v>0</v>
      </c>
      <c r="AG13" s="43">
        <v>37553.6</v>
      </c>
      <c r="AH13" s="43">
        <v>0</v>
      </c>
      <c r="AI13" s="43">
        <v>102657.35</v>
      </c>
      <c r="AJ13" s="43">
        <v>246437.8</v>
      </c>
      <c r="AK13" s="43">
        <v>1450</v>
      </c>
      <c r="AL13" s="43">
        <v>18094.85</v>
      </c>
      <c r="AM13" s="43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f t="shared" si="4"/>
        <v>0</v>
      </c>
      <c r="AT13" s="4">
        <v>98730.37</v>
      </c>
      <c r="AU13" s="4">
        <f t="shared" si="5"/>
        <v>583374.1699999999</v>
      </c>
      <c r="AV13" s="4">
        <v>0</v>
      </c>
      <c r="AW13" s="4">
        <v>52721.86</v>
      </c>
      <c r="AX13" s="4">
        <f t="shared" si="6"/>
        <v>1.0186340659856796E-10</v>
      </c>
      <c r="AY13" s="43">
        <v>0</v>
      </c>
      <c r="AZ13" s="43">
        <v>237258.18</v>
      </c>
      <c r="BA13" s="43">
        <v>0</v>
      </c>
      <c r="BB13" s="43">
        <v>0</v>
      </c>
      <c r="BC13" s="43">
        <v>199</v>
      </c>
      <c r="BD13" s="43">
        <v>0</v>
      </c>
      <c r="BE13" s="43">
        <v>617.9</v>
      </c>
      <c r="BF13" s="43">
        <f t="shared" si="7"/>
        <v>238075.08</v>
      </c>
      <c r="BG13" s="43">
        <v>0</v>
      </c>
      <c r="BH13" s="43">
        <v>0</v>
      </c>
      <c r="BI13" s="43">
        <v>0</v>
      </c>
      <c r="BJ13" s="43">
        <v>107237.4</v>
      </c>
      <c r="BK13" s="43">
        <v>0</v>
      </c>
      <c r="BL13" s="43">
        <v>0</v>
      </c>
      <c r="BM13" s="43">
        <v>74281.9</v>
      </c>
      <c r="BN13" s="43">
        <v>0</v>
      </c>
      <c r="BO13" s="43">
        <f t="shared" si="8"/>
        <v>181519.3</v>
      </c>
      <c r="BP13" s="43">
        <v>181519.3</v>
      </c>
      <c r="BQ13" s="43">
        <v>0</v>
      </c>
      <c r="BR13" s="43">
        <v>238075.08</v>
      </c>
      <c r="BS13" s="43">
        <f t="shared" si="9"/>
        <v>0</v>
      </c>
      <c r="BT13" s="4">
        <v>1343202.94</v>
      </c>
      <c r="BU13" s="4">
        <v>116507</v>
      </c>
      <c r="BV13" s="4">
        <v>100000</v>
      </c>
      <c r="BW13" s="4">
        <v>0</v>
      </c>
      <c r="BX13" s="4">
        <f t="shared" si="10"/>
        <v>1559709.94</v>
      </c>
      <c r="BY13" s="4">
        <v>574096.98</v>
      </c>
      <c r="BZ13" s="4">
        <v>513456.51</v>
      </c>
      <c r="CA13" s="4">
        <v>472156.45</v>
      </c>
      <c r="CB13" s="4">
        <f t="shared" si="11"/>
        <v>1559709.94</v>
      </c>
      <c r="CC13" s="4">
        <f t="shared" si="12"/>
        <v>0</v>
      </c>
      <c r="CD13" s="74">
        <f t="shared" si="13"/>
        <v>-1721.8600000000006</v>
      </c>
      <c r="CE13" s="76">
        <f t="shared" si="14"/>
        <v>18263.55</v>
      </c>
      <c r="CF13" s="76">
        <f t="shared" si="15"/>
        <v>56555.78</v>
      </c>
      <c r="CG13" s="76">
        <f t="shared" si="47"/>
        <v>484643.79999999993</v>
      </c>
      <c r="CH13" s="76">
        <f t="shared" si="17"/>
        <v>-26433.25</v>
      </c>
      <c r="CI13" s="37">
        <f t="shared" si="18"/>
        <v>24566.75</v>
      </c>
      <c r="CJ13" s="59">
        <f t="shared" si="36"/>
        <v>-0.030445340865248444</v>
      </c>
      <c r="CK13" s="59">
        <f t="shared" si="37"/>
        <v>0.3229298579207996</v>
      </c>
      <c r="CL13" s="141">
        <f t="shared" si="38"/>
        <v>-0.003552836124180276</v>
      </c>
      <c r="CM13" s="141">
        <f t="shared" si="39"/>
        <v>0.03768448084964669</v>
      </c>
      <c r="CN13" s="141">
        <f t="shared" si="40"/>
        <v>-0.05454160354470645</v>
      </c>
      <c r="CO13" s="141">
        <f t="shared" si="41"/>
        <v>0.050690321427819776</v>
      </c>
      <c r="CP13" s="141">
        <f t="shared" si="42"/>
        <v>0.3044648880345299</v>
      </c>
      <c r="CQ13" s="141">
        <f t="shared" si="43"/>
        <v>0.3044648880345299</v>
      </c>
      <c r="CR13" s="142">
        <f t="shared" si="44"/>
        <v>42.1115259629152</v>
      </c>
      <c r="CS13" s="76">
        <f t="shared" si="45"/>
        <v>769105.96</v>
      </c>
      <c r="CT13" s="80">
        <f t="shared" si="19"/>
        <v>585096.03</v>
      </c>
      <c r="CU13" s="80">
        <f t="shared" si="20"/>
        <v>583374.1699999999</v>
      </c>
      <c r="CV13" s="80">
        <f t="shared" si="21"/>
        <v>-1721.8600000001024</v>
      </c>
      <c r="CW13" s="80">
        <f t="shared" si="22"/>
        <v>0</v>
      </c>
      <c r="CX13" s="80">
        <f t="shared" si="23"/>
        <v>-1721.8600000001024</v>
      </c>
      <c r="CY13" s="80">
        <f t="shared" si="24"/>
        <v>-52721.8600000001</v>
      </c>
      <c r="CZ13" s="80">
        <f t="shared" si="25"/>
        <v>56555.78</v>
      </c>
      <c r="DA13" s="80">
        <f t="shared" si="26"/>
        <v>51000</v>
      </c>
      <c r="DB13" s="80">
        <f t="shared" si="27"/>
        <v>-58277.6400000001</v>
      </c>
      <c r="DC13" s="80">
        <f t="shared" si="28"/>
        <v>-232519.3</v>
      </c>
      <c r="DD13" s="80">
        <f t="shared" si="29"/>
        <v>-52721.86000000007</v>
      </c>
      <c r="DE13" s="80">
        <f t="shared" si="30"/>
        <v>69389.65</v>
      </c>
      <c r="DF13" s="80">
        <f t="shared" si="31"/>
        <v>2229.2926376811592</v>
      </c>
      <c r="DG13" s="80">
        <f t="shared" si="32"/>
        <v>-76.61811594202898</v>
      </c>
      <c r="DH13" s="80">
        <f t="shared" si="33"/>
        <v>201.12942028985506</v>
      </c>
      <c r="DI13" s="81">
        <f t="shared" si="34"/>
        <v>163.92979710144928</v>
      </c>
      <c r="DJ13" s="76">
        <f t="shared" si="35"/>
        <v>-168.9206956521742</v>
      </c>
      <c r="DK13" s="147">
        <f t="shared" si="46"/>
        <v>355649.45</v>
      </c>
      <c r="DL13" s="64"/>
      <c r="DM13" s="65"/>
    </row>
    <row r="14" spans="1:117" ht="12.75">
      <c r="A14" s="51" t="s">
        <v>33</v>
      </c>
      <c r="B14" s="42">
        <v>185</v>
      </c>
      <c r="C14" s="38">
        <v>444529</v>
      </c>
      <c r="D14" s="39">
        <v>2402.86</v>
      </c>
      <c r="E14" s="39">
        <v>75.41</v>
      </c>
      <c r="F14" s="128">
        <v>6</v>
      </c>
      <c r="G14" s="134">
        <f>72971.05-2819.25</f>
        <v>70151.8</v>
      </c>
      <c r="H14" s="42">
        <f>95768.4-492.05</f>
        <v>95276.34999999999</v>
      </c>
      <c r="I14" s="42">
        <v>22921.4</v>
      </c>
      <c r="J14" s="42">
        <f>24000</f>
        <v>24000</v>
      </c>
      <c r="K14" s="42">
        <f>3464.1</f>
        <v>3464.1</v>
      </c>
      <c r="L14" s="42">
        <v>0</v>
      </c>
      <c r="M14" s="43">
        <f t="shared" si="0"/>
        <v>3464.1</v>
      </c>
      <c r="N14" s="42">
        <v>0</v>
      </c>
      <c r="O14" s="42">
        <v>57300.7</v>
      </c>
      <c r="P14" s="42">
        <f>46303.3</f>
        <v>46303.3</v>
      </c>
      <c r="Q14" s="42">
        <v>0</v>
      </c>
      <c r="R14" s="42">
        <f>3932.05</f>
        <v>3932.05</v>
      </c>
      <c r="S14" s="42">
        <f>1590</f>
        <v>1590</v>
      </c>
      <c r="T14" s="42">
        <v>0</v>
      </c>
      <c r="U14" s="42">
        <v>0</v>
      </c>
      <c r="V14" s="42">
        <v>0</v>
      </c>
      <c r="W14" s="43">
        <f t="shared" si="1"/>
        <v>5522.05</v>
      </c>
      <c r="X14" s="42">
        <f>2940</f>
        <v>2940</v>
      </c>
      <c r="Y14" s="43">
        <f t="shared" si="2"/>
        <v>327879.7</v>
      </c>
      <c r="Z14" s="42">
        <f>161355.15</f>
        <v>161355.15</v>
      </c>
      <c r="AA14" s="42">
        <v>0</v>
      </c>
      <c r="AB14" s="42">
        <f>69.5</f>
        <v>69.5</v>
      </c>
      <c r="AC14" s="42">
        <v>0</v>
      </c>
      <c r="AD14" s="42">
        <v>3570</v>
      </c>
      <c r="AE14" s="43">
        <f t="shared" si="3"/>
        <v>164994.65</v>
      </c>
      <c r="AF14" s="42">
        <v>90</v>
      </c>
      <c r="AG14" s="42">
        <f>22257.85-175</f>
        <v>22082.85</v>
      </c>
      <c r="AH14" s="42">
        <v>0</v>
      </c>
      <c r="AI14" s="42">
        <f>65801.6-5000</f>
        <v>60801.600000000006</v>
      </c>
      <c r="AJ14" s="42">
        <f>6513</f>
        <v>6513</v>
      </c>
      <c r="AK14" s="42">
        <f>1560-100</f>
        <v>1460</v>
      </c>
      <c r="AL14" s="42">
        <f>7462.5</f>
        <v>7462.5</v>
      </c>
      <c r="AM14" s="42">
        <v>0</v>
      </c>
      <c r="AN14" s="38">
        <v>62651.45</v>
      </c>
      <c r="AO14" s="38">
        <v>0</v>
      </c>
      <c r="AP14" s="38">
        <v>0</v>
      </c>
      <c r="AQ14" s="38">
        <v>0</v>
      </c>
      <c r="AR14" s="38">
        <v>0</v>
      </c>
      <c r="AS14" s="4">
        <f t="shared" si="4"/>
        <v>62651.45</v>
      </c>
      <c r="AT14" s="38">
        <v>2940</v>
      </c>
      <c r="AU14" s="4">
        <f t="shared" si="5"/>
        <v>328996.05</v>
      </c>
      <c r="AV14" s="38">
        <f>1116.35</f>
        <v>1116.35</v>
      </c>
      <c r="AW14" s="38">
        <v>0</v>
      </c>
      <c r="AX14" s="4">
        <f t="shared" si="6"/>
        <v>2.319211489520967E-11</v>
      </c>
      <c r="AY14" s="42">
        <f>1399.15</f>
        <v>1399.15</v>
      </c>
      <c r="AZ14" s="42">
        <f>7110.55+28564.55+59991.25-11078.45</f>
        <v>84587.90000000001</v>
      </c>
      <c r="BA14" s="42">
        <v>0</v>
      </c>
      <c r="BB14" s="42">
        <v>0</v>
      </c>
      <c r="BC14" s="42">
        <v>0</v>
      </c>
      <c r="BD14" s="42">
        <v>0</v>
      </c>
      <c r="BE14" s="42">
        <v>0</v>
      </c>
      <c r="BF14" s="43">
        <f t="shared" si="7"/>
        <v>84587.90000000001</v>
      </c>
      <c r="BG14" s="42">
        <v>0</v>
      </c>
      <c r="BH14" s="42">
        <v>0</v>
      </c>
      <c r="BI14" s="42">
        <v>0</v>
      </c>
      <c r="BJ14" s="42">
        <v>0</v>
      </c>
      <c r="BK14" s="42">
        <v>0</v>
      </c>
      <c r="BL14" s="42">
        <v>0</v>
      </c>
      <c r="BM14" s="42">
        <f>75400+48100+50407.45</f>
        <v>173907.45</v>
      </c>
      <c r="BN14" s="42">
        <v>0</v>
      </c>
      <c r="BO14" s="43">
        <f t="shared" si="8"/>
        <v>173907.45</v>
      </c>
      <c r="BP14" s="42">
        <f>173907.45</f>
        <v>173907.45</v>
      </c>
      <c r="BQ14" s="42">
        <v>0</v>
      </c>
      <c r="BR14" s="42">
        <f>84587.9</f>
        <v>84587.9</v>
      </c>
      <c r="BS14" s="43">
        <f t="shared" si="9"/>
        <v>0</v>
      </c>
      <c r="BT14" s="38">
        <v>1267229.75</v>
      </c>
      <c r="BU14" s="38">
        <v>48923.8</v>
      </c>
      <c r="BV14" s="38">
        <v>0</v>
      </c>
      <c r="BW14" s="38">
        <v>0</v>
      </c>
      <c r="BX14" s="4">
        <f t="shared" si="10"/>
        <v>1316153.55</v>
      </c>
      <c r="BY14" s="38">
        <v>343705.45</v>
      </c>
      <c r="BZ14" s="38">
        <v>869084.45</v>
      </c>
      <c r="CA14" s="38">
        <v>103363.65</v>
      </c>
      <c r="CB14" s="4">
        <f t="shared" si="11"/>
        <v>1316153.5499999998</v>
      </c>
      <c r="CC14" s="4">
        <f t="shared" si="12"/>
        <v>0</v>
      </c>
      <c r="CD14" s="74">
        <f t="shared" si="13"/>
        <v>4580.45</v>
      </c>
      <c r="CE14" s="76">
        <f t="shared" si="14"/>
        <v>-52548.95</v>
      </c>
      <c r="CF14" s="76">
        <f t="shared" si="15"/>
        <v>-89319.55000000002</v>
      </c>
      <c r="CG14" s="76">
        <f t="shared" si="47"/>
        <v>263404.6</v>
      </c>
      <c r="CH14" s="76">
        <f t="shared" si="17"/>
        <v>2237.700000000003</v>
      </c>
      <c r="CI14" s="37">
        <f t="shared" si="18"/>
        <v>5701.800000000003</v>
      </c>
      <c r="CJ14" s="59">
        <f t="shared" si="36"/>
        <v>-0.051281606322468025</v>
      </c>
      <c r="CK14" s="59">
        <f t="shared" si="37"/>
        <v>0.5883252882487651</v>
      </c>
      <c r="CL14" s="141">
        <f t="shared" si="38"/>
        <v>0.017389407777996285</v>
      </c>
      <c r="CM14" s="141">
        <f t="shared" si="39"/>
        <v>-0.19949898369276772</v>
      </c>
      <c r="CN14" s="141">
        <f t="shared" si="40"/>
        <v>0.008495295830065242</v>
      </c>
      <c r="CO14" s="141">
        <f t="shared" si="41"/>
        <v>0.021646546795310345</v>
      </c>
      <c r="CP14" s="141">
        <f t="shared" si="42"/>
        <v>0.06612404772857854</v>
      </c>
      <c r="CQ14" s="141">
        <f t="shared" si="43"/>
        <v>0.06612404772857854</v>
      </c>
      <c r="CR14" s="142">
        <f t="shared" si="44"/>
        <v>-17.574552869277124</v>
      </c>
      <c r="CS14" s="76">
        <f t="shared" si="45"/>
        <v>923524.3</v>
      </c>
      <c r="CT14" s="80">
        <f t="shared" si="19"/>
        <v>324415.60000000003</v>
      </c>
      <c r="CU14" s="80">
        <f t="shared" si="20"/>
        <v>328996.05</v>
      </c>
      <c r="CV14" s="80">
        <f t="shared" si="21"/>
        <v>4580.449999999953</v>
      </c>
      <c r="CW14" s="80">
        <f t="shared" si="22"/>
        <v>0</v>
      </c>
      <c r="CX14" s="80">
        <f t="shared" si="23"/>
        <v>4580.449999999953</v>
      </c>
      <c r="CY14" s="80">
        <f t="shared" si="24"/>
        <v>1116.3499999999535</v>
      </c>
      <c r="CZ14" s="80">
        <f t="shared" si="25"/>
        <v>-89319.55000000002</v>
      </c>
      <c r="DA14" s="80">
        <f t="shared" si="26"/>
        <v>3464.1</v>
      </c>
      <c r="DB14" s="80">
        <f t="shared" si="27"/>
        <v>93899.99999999997</v>
      </c>
      <c r="DC14" s="80">
        <f t="shared" si="28"/>
        <v>-177371.55000000002</v>
      </c>
      <c r="DD14" s="80">
        <f t="shared" si="29"/>
        <v>1116.3499999999476</v>
      </c>
      <c r="DE14" s="80">
        <f t="shared" si="30"/>
        <v>161424.65</v>
      </c>
      <c r="DF14" s="80">
        <f t="shared" si="31"/>
        <v>4992.023243243243</v>
      </c>
      <c r="DG14" s="80">
        <f t="shared" si="32"/>
        <v>12.095675675675691</v>
      </c>
      <c r="DH14" s="80">
        <f t="shared" si="33"/>
        <v>872.5656756756756</v>
      </c>
      <c r="DI14" s="81">
        <f t="shared" si="34"/>
        <v>-482.80837837837845</v>
      </c>
      <c r="DJ14" s="76">
        <f t="shared" si="35"/>
        <v>507.56756756756744</v>
      </c>
      <c r="DK14" s="147">
        <f t="shared" si="46"/>
        <v>54439.84999999999</v>
      </c>
      <c r="DL14" s="67"/>
      <c r="DM14" s="68"/>
    </row>
    <row r="15" spans="1:117" ht="12.75">
      <c r="A15" s="52" t="s">
        <v>9</v>
      </c>
      <c r="B15" s="43">
        <v>1175</v>
      </c>
      <c r="C15" s="4">
        <v>3092391</v>
      </c>
      <c r="D15" s="34">
        <v>2631.82</v>
      </c>
      <c r="E15" s="34">
        <v>82.59</v>
      </c>
      <c r="F15" s="8">
        <v>6</v>
      </c>
      <c r="G15" s="133">
        <v>636237.85</v>
      </c>
      <c r="H15" s="43">
        <v>870089.81</v>
      </c>
      <c r="I15" s="43">
        <v>123165.55</v>
      </c>
      <c r="J15" s="43">
        <v>5734.1</v>
      </c>
      <c r="K15" s="43">
        <v>147198.75</v>
      </c>
      <c r="L15" s="43">
        <v>246395</v>
      </c>
      <c r="M15" s="43">
        <f t="shared" si="0"/>
        <v>393593.75</v>
      </c>
      <c r="N15" s="43">
        <v>18220</v>
      </c>
      <c r="O15" s="43">
        <v>143447.35</v>
      </c>
      <c r="P15" s="43">
        <v>316789.2</v>
      </c>
      <c r="Q15" s="43">
        <v>0</v>
      </c>
      <c r="R15" s="43">
        <v>69293</v>
      </c>
      <c r="S15" s="43">
        <v>15713.8</v>
      </c>
      <c r="T15" s="43">
        <v>0</v>
      </c>
      <c r="U15" s="43">
        <v>150731.29</v>
      </c>
      <c r="V15" s="43">
        <v>0</v>
      </c>
      <c r="W15" s="43">
        <f>SUM(R15:V15)</f>
        <v>235738.09000000003</v>
      </c>
      <c r="X15" s="43">
        <v>443657.75</v>
      </c>
      <c r="Y15" s="43">
        <f>SUM(G15:X15)-M15-W15</f>
        <v>3186673.4500000007</v>
      </c>
      <c r="Z15" s="43">
        <v>1120672.3</v>
      </c>
      <c r="AA15" s="43">
        <v>138510.05</v>
      </c>
      <c r="AB15" s="43">
        <v>0</v>
      </c>
      <c r="AC15" s="43">
        <v>0</v>
      </c>
      <c r="AD15" s="43">
        <v>4300</v>
      </c>
      <c r="AE15" s="43">
        <f>SUM(Z15:AD15)</f>
        <v>1263482.35</v>
      </c>
      <c r="AF15" s="43">
        <v>257352.1</v>
      </c>
      <c r="AG15" s="43">
        <v>96202.2</v>
      </c>
      <c r="AH15" s="43">
        <v>0</v>
      </c>
      <c r="AI15" s="43">
        <v>794251.5</v>
      </c>
      <c r="AJ15" s="43">
        <v>15713.8</v>
      </c>
      <c r="AK15" s="43">
        <v>111772.1</v>
      </c>
      <c r="AL15" s="43">
        <v>135673.05</v>
      </c>
      <c r="AM15" s="43">
        <v>0</v>
      </c>
      <c r="AN15" s="4">
        <v>1154.25</v>
      </c>
      <c r="AO15" s="4">
        <v>9437.85</v>
      </c>
      <c r="AP15" s="4">
        <v>0</v>
      </c>
      <c r="AQ15" s="4">
        <v>0</v>
      </c>
      <c r="AR15" s="4">
        <v>0</v>
      </c>
      <c r="AS15" s="4">
        <f>SUM(AN15:AR15)</f>
        <v>10592.1</v>
      </c>
      <c r="AT15" s="4">
        <v>448069.55</v>
      </c>
      <c r="AU15" s="4">
        <f>SUM(Z15:AT15)-AE15-AH15-AS15</f>
        <v>3133108.75</v>
      </c>
      <c r="AV15" s="4">
        <v>0</v>
      </c>
      <c r="AW15" s="4">
        <v>53564.7</v>
      </c>
      <c r="AX15" s="4">
        <f>Y15-AU15+AV15-AW15</f>
        <v>6.548361852765083E-10</v>
      </c>
      <c r="AY15" s="43">
        <v>454979.45</v>
      </c>
      <c r="AZ15" s="43">
        <v>66400.05</v>
      </c>
      <c r="BA15" s="43">
        <v>0</v>
      </c>
      <c r="BB15" s="43">
        <v>0</v>
      </c>
      <c r="BC15" s="43">
        <v>205160</v>
      </c>
      <c r="BD15" s="43">
        <v>0</v>
      </c>
      <c r="BE15" s="43">
        <v>53077.7</v>
      </c>
      <c r="BF15" s="43">
        <f>SUM(AZ15:BE15)</f>
        <v>324637.75</v>
      </c>
      <c r="BG15" s="43">
        <v>0</v>
      </c>
      <c r="BH15" s="43">
        <v>0</v>
      </c>
      <c r="BI15" s="43">
        <v>0</v>
      </c>
      <c r="BJ15" s="43">
        <v>0</v>
      </c>
      <c r="BK15" s="43">
        <v>0</v>
      </c>
      <c r="BL15" s="43">
        <v>0</v>
      </c>
      <c r="BM15" s="43">
        <v>89640</v>
      </c>
      <c r="BN15" s="43">
        <v>0</v>
      </c>
      <c r="BO15" s="43">
        <f>SUM(BG15:BN15)</f>
        <v>89640</v>
      </c>
      <c r="BP15" s="43">
        <v>89640</v>
      </c>
      <c r="BQ15" s="43">
        <v>0</v>
      </c>
      <c r="BR15" s="43">
        <v>324637.75</v>
      </c>
      <c r="BS15" s="43">
        <f>+BF15-BO15+BP15+BQ15-BR15</f>
        <v>0</v>
      </c>
      <c r="BT15" s="4">
        <v>3160821.06</v>
      </c>
      <c r="BU15" s="4">
        <v>732935</v>
      </c>
      <c r="BV15" s="4">
        <v>78768.15</v>
      </c>
      <c r="BW15" s="4">
        <v>0</v>
      </c>
      <c r="BX15" s="4">
        <f>SUM(BT15:BW15)</f>
        <v>3972524.21</v>
      </c>
      <c r="BY15" s="4">
        <v>3569845.13</v>
      </c>
      <c r="BZ15" s="4">
        <v>398497.45</v>
      </c>
      <c r="CA15" s="4">
        <v>4181.63</v>
      </c>
      <c r="CB15" s="4">
        <f>SUM(BY15:CA15)</f>
        <v>3972524.21</v>
      </c>
      <c r="CC15" s="4">
        <f>BX15-CB15</f>
        <v>0</v>
      </c>
      <c r="CD15" s="74">
        <f>K15+L15+AV15-AW15</f>
        <v>340029.05</v>
      </c>
      <c r="CE15" s="76">
        <f>CD15+W15-AS15</f>
        <v>565175.04</v>
      </c>
      <c r="CF15" s="76">
        <f>BR15-BP15</f>
        <v>234997.75</v>
      </c>
      <c r="CG15" s="76">
        <f t="shared" si="47"/>
        <v>2674447.1</v>
      </c>
      <c r="CH15" s="76">
        <f>I15-AG15+AY15+AH15+BQ15</f>
        <v>481942.80000000005</v>
      </c>
      <c r="CI15" s="37">
        <f>CH15+K15</f>
        <v>629141.55</v>
      </c>
      <c r="CJ15" s="59">
        <f t="shared" si="36"/>
        <v>1.4469459813976941</v>
      </c>
      <c r="CK15" s="59">
        <f t="shared" si="37"/>
        <v>2.40502319703061</v>
      </c>
      <c r="CL15" s="141">
        <f t="shared" si="38"/>
        <v>0.12713994230807554</v>
      </c>
      <c r="CM15" s="141">
        <f t="shared" si="39"/>
        <v>0.21132406769234657</v>
      </c>
      <c r="CN15" s="141">
        <f t="shared" si="40"/>
        <v>0.1802027791089979</v>
      </c>
      <c r="CO15" s="141">
        <f t="shared" si="41"/>
        <v>0.23524172528968698</v>
      </c>
      <c r="CP15" s="141">
        <f t="shared" si="42"/>
        <v>0.3493863339040393</v>
      </c>
      <c r="CQ15" s="141">
        <f t="shared" si="43"/>
        <v>0.13066577306615565</v>
      </c>
      <c r="CR15" s="142">
        <f t="shared" si="44"/>
        <v>-0.723712197198234</v>
      </c>
      <c r="CS15" s="76">
        <f t="shared" si="45"/>
        <v>-409024.06999999983</v>
      </c>
      <c r="CT15" s="80">
        <f>Y15-K15-L15-V15</f>
        <v>2793079.7000000007</v>
      </c>
      <c r="CU15" s="80">
        <f>AU15-AR15</f>
        <v>3133108.75</v>
      </c>
      <c r="CV15" s="80">
        <f>CU15-CT15</f>
        <v>340029.04999999935</v>
      </c>
      <c r="CW15" s="80">
        <f>-V15+AR15</f>
        <v>0</v>
      </c>
      <c r="CX15" s="80">
        <f>CV15+CW15</f>
        <v>340029.04999999935</v>
      </c>
      <c r="CY15" s="80">
        <f>CX15-K15-L15</f>
        <v>-53564.70000000065</v>
      </c>
      <c r="CZ15" s="80">
        <f>BR15-BP15</f>
        <v>234997.75</v>
      </c>
      <c r="DA15" s="80">
        <f>K15+L15</f>
        <v>393593.75</v>
      </c>
      <c r="DB15" s="80">
        <f>-CZ15+DA15+CY15</f>
        <v>105031.29999999935</v>
      </c>
      <c r="DC15" s="80">
        <f>-BP15-DA15</f>
        <v>-483233.75</v>
      </c>
      <c r="DD15" s="80">
        <f>DB15+DC15+BR15</f>
        <v>-53564.70000000065</v>
      </c>
      <c r="DE15" s="80">
        <f>Z15+AA15+AB15</f>
        <v>1259182.35</v>
      </c>
      <c r="DF15" s="80">
        <f>CS15/B15</f>
        <v>-348.1055914893616</v>
      </c>
      <c r="DG15" s="80">
        <f>CH15/B15</f>
        <v>410.164085106383</v>
      </c>
      <c r="DH15" s="80">
        <f>DE15/B15</f>
        <v>1071.6445531914894</v>
      </c>
      <c r="DI15" s="81">
        <f>CZ15/B15</f>
        <v>199.99808510638297</v>
      </c>
      <c r="DJ15" s="76">
        <f>DB15/B15</f>
        <v>89.38834042553135</v>
      </c>
      <c r="DK15" s="147">
        <f t="shared" si="46"/>
        <v>-728753.37</v>
      </c>
      <c r="DL15" s="64"/>
      <c r="DM15" s="65"/>
    </row>
    <row r="16" spans="1:117" ht="12.75">
      <c r="A16" s="51" t="s">
        <v>34</v>
      </c>
      <c r="B16" s="42">
        <v>592</v>
      </c>
      <c r="C16" s="38">
        <v>1187023</v>
      </c>
      <c r="D16" s="39">
        <v>2005.11</v>
      </c>
      <c r="E16" s="39">
        <v>62.93</v>
      </c>
      <c r="F16" s="128">
        <v>8</v>
      </c>
      <c r="G16" s="134">
        <v>327599.4</v>
      </c>
      <c r="H16" s="42">
        <f>305557.25-500</f>
        <v>305057.25</v>
      </c>
      <c r="I16" s="42">
        <v>24431.7</v>
      </c>
      <c r="J16" s="42">
        <v>5751.85</v>
      </c>
      <c r="K16" s="42">
        <v>69318.6</v>
      </c>
      <c r="L16" s="42">
        <v>0</v>
      </c>
      <c r="M16" s="43">
        <f t="shared" si="0"/>
        <v>69318.6</v>
      </c>
      <c r="N16" s="42">
        <v>0</v>
      </c>
      <c r="O16" s="42">
        <v>30891.2</v>
      </c>
      <c r="P16" s="42">
        <v>227516.3</v>
      </c>
      <c r="Q16" s="42">
        <v>2304.9</v>
      </c>
      <c r="R16" s="42">
        <v>60845.02</v>
      </c>
      <c r="S16" s="42">
        <v>0</v>
      </c>
      <c r="T16" s="42">
        <v>0</v>
      </c>
      <c r="U16" s="42">
        <v>0</v>
      </c>
      <c r="V16" s="42">
        <v>0</v>
      </c>
      <c r="W16" s="43">
        <f aca="true" t="shared" si="48" ref="W16:W31">SUM(R16:V16)</f>
        <v>60845.02</v>
      </c>
      <c r="X16" s="42">
        <v>123112.15</v>
      </c>
      <c r="Y16" s="43">
        <f aca="true" t="shared" si="49" ref="Y16:Y31">SUM(G16:X16)-M16-W16</f>
        <v>1176828.3699999996</v>
      </c>
      <c r="Z16" s="42">
        <v>114587.6</v>
      </c>
      <c r="AA16" s="42">
        <v>0</v>
      </c>
      <c r="AB16" s="42">
        <v>0</v>
      </c>
      <c r="AC16" s="42">
        <v>0</v>
      </c>
      <c r="AD16" s="42">
        <v>5350</v>
      </c>
      <c r="AE16" s="43">
        <f aca="true" t="shared" si="50" ref="AE16:AE31">SUM(Z16:AD16)</f>
        <v>119937.6</v>
      </c>
      <c r="AF16" s="42">
        <v>120</v>
      </c>
      <c r="AG16" s="42">
        <v>102498.45</v>
      </c>
      <c r="AH16" s="42">
        <v>0</v>
      </c>
      <c r="AI16" s="42">
        <v>325844.91</v>
      </c>
      <c r="AJ16" s="42">
        <v>375762.45</v>
      </c>
      <c r="AK16" s="42">
        <v>81845.9</v>
      </c>
      <c r="AL16" s="42">
        <v>146601.1</v>
      </c>
      <c r="AM16" s="42">
        <v>0</v>
      </c>
      <c r="AN16" s="38">
        <v>15288.01</v>
      </c>
      <c r="AO16" s="38">
        <v>0</v>
      </c>
      <c r="AP16" s="38">
        <v>0</v>
      </c>
      <c r="AQ16" s="38">
        <v>0</v>
      </c>
      <c r="AR16" s="38">
        <v>0</v>
      </c>
      <c r="AS16" s="4">
        <f aca="true" t="shared" si="51" ref="AS16:AS31">SUM(AN16:AR16)</f>
        <v>15288.01</v>
      </c>
      <c r="AT16" s="38">
        <v>136657.15</v>
      </c>
      <c r="AU16" s="4">
        <f aca="true" t="shared" si="52" ref="AU16:AU31">SUM(Z16:AT16)-AE16-AH16-AS16</f>
        <v>1304555.5699999998</v>
      </c>
      <c r="AV16" s="38">
        <v>127727.2</v>
      </c>
      <c r="AW16" s="38">
        <v>0</v>
      </c>
      <c r="AX16" s="4">
        <f aca="true" t="shared" si="53" ref="AX16:AX31">Y16-AU16+AV16-AW16</f>
        <v>-1.8917489796876907E-10</v>
      </c>
      <c r="AY16" s="42">
        <f>1777.37+50764.9+97.2</f>
        <v>52639.47</v>
      </c>
      <c r="AZ16" s="42">
        <f>23104.3</f>
        <v>23104.3</v>
      </c>
      <c r="BA16" s="42">
        <v>0</v>
      </c>
      <c r="BB16" s="42">
        <v>0</v>
      </c>
      <c r="BC16" s="42">
        <f>11000</f>
        <v>11000</v>
      </c>
      <c r="BD16" s="42">
        <v>0</v>
      </c>
      <c r="BE16" s="42">
        <v>0</v>
      </c>
      <c r="BF16" s="43">
        <f aca="true" t="shared" si="54" ref="BF16:BF31">SUM(AZ16:BE16)</f>
        <v>34104.3</v>
      </c>
      <c r="BG16" s="42">
        <v>0</v>
      </c>
      <c r="BH16" s="42">
        <v>0</v>
      </c>
      <c r="BI16" s="42">
        <v>0</v>
      </c>
      <c r="BJ16" s="42">
        <v>0</v>
      </c>
      <c r="BK16" s="42">
        <v>0</v>
      </c>
      <c r="BL16" s="42">
        <f>11000</f>
        <v>11000</v>
      </c>
      <c r="BM16" s="42">
        <v>0</v>
      </c>
      <c r="BN16" s="42">
        <v>0</v>
      </c>
      <c r="BO16" s="43">
        <f aca="true" t="shared" si="55" ref="BO16:BO31">SUM(BG16:BN16)</f>
        <v>11000</v>
      </c>
      <c r="BP16" s="42">
        <v>11000</v>
      </c>
      <c r="BQ16" s="42">
        <v>0</v>
      </c>
      <c r="BR16" s="42">
        <f>34104.3</f>
        <v>34104.3</v>
      </c>
      <c r="BS16" s="43">
        <f aca="true" t="shared" si="56" ref="BS16:BS31">+BF16-BO16+BP16+BQ16-BR16</f>
        <v>0</v>
      </c>
      <c r="BT16" s="38">
        <f>2544970.76</f>
        <v>2544970.76</v>
      </c>
      <c r="BU16" s="38">
        <v>596993.55</v>
      </c>
      <c r="BV16" s="38">
        <v>0</v>
      </c>
      <c r="BW16" s="38">
        <f>361107.95-127727.2</f>
        <v>233380.75</v>
      </c>
      <c r="BX16" s="4">
        <f aca="true" t="shared" si="57" ref="BX16:BX31">SUM(BT16:BW16)</f>
        <v>3375345.0599999996</v>
      </c>
      <c r="BY16" s="38">
        <v>2016714.05</v>
      </c>
      <c r="BZ16" s="38">
        <v>1358631.01</v>
      </c>
      <c r="CA16" s="38">
        <v>0</v>
      </c>
      <c r="CB16" s="4">
        <f aca="true" t="shared" si="58" ref="CB16:CB31">SUM(BY16:CA16)</f>
        <v>3375345.06</v>
      </c>
      <c r="CC16" s="4">
        <f aca="true" t="shared" si="59" ref="CC16:CC31">BX16-CB16</f>
        <v>0</v>
      </c>
      <c r="CD16" s="74">
        <f aca="true" t="shared" si="60" ref="CD16:CD31">K16+L16+AV16-AW16</f>
        <v>197045.8</v>
      </c>
      <c r="CE16" s="76">
        <f aca="true" t="shared" si="61" ref="CE16:CE31">CD16+W16-AS16</f>
        <v>242602.80999999997</v>
      </c>
      <c r="CF16" s="76">
        <f aca="true" t="shared" si="62" ref="CF16:CF31">BR16-BP16</f>
        <v>23104.300000000003</v>
      </c>
      <c r="CG16" s="76">
        <f t="shared" si="47"/>
        <v>1152610.41</v>
      </c>
      <c r="CH16" s="76">
        <f aca="true" t="shared" si="63" ref="CH16:CH31">I16-AG16+AY16+AH16+BQ16</f>
        <v>-25427.28</v>
      </c>
      <c r="CI16" s="37">
        <f aca="true" t="shared" si="64" ref="CI16:CI31">CH16+K16</f>
        <v>43891.32000000001</v>
      </c>
      <c r="CJ16" s="59">
        <f t="shared" si="36"/>
        <v>8.52853364958038</v>
      </c>
      <c r="CK16" s="59">
        <f t="shared" si="37"/>
        <v>10.500331540016358</v>
      </c>
      <c r="CL16" s="141">
        <f t="shared" si="38"/>
        <v>0.17095611690683932</v>
      </c>
      <c r="CM16" s="141">
        <f t="shared" si="39"/>
        <v>0.21048118938991708</v>
      </c>
      <c r="CN16" s="141">
        <f t="shared" si="40"/>
        <v>-0.022060602419858414</v>
      </c>
      <c r="CO16" s="141">
        <f t="shared" si="41"/>
        <v>0.03807992676380566</v>
      </c>
      <c r="CP16" s="141">
        <f t="shared" si="42"/>
        <v>0.10403322226677092</v>
      </c>
      <c r="CQ16" s="141">
        <f t="shared" si="43"/>
        <v>0.10403322226677092</v>
      </c>
      <c r="CR16" s="142">
        <f t="shared" si="44"/>
        <v>2.1774550344243737</v>
      </c>
      <c r="CS16" s="76">
        <f t="shared" si="45"/>
        <v>528256.7099999997</v>
      </c>
      <c r="CT16" s="80">
        <f aca="true" t="shared" si="65" ref="CT16:CT31">Y16-K16-L16-V16</f>
        <v>1107509.7699999996</v>
      </c>
      <c r="CU16" s="80">
        <f aca="true" t="shared" si="66" ref="CU16:CU31">AU16-AR16</f>
        <v>1304555.5699999998</v>
      </c>
      <c r="CV16" s="80">
        <f aca="true" t="shared" si="67" ref="CV16:CV31">CU16-CT16</f>
        <v>197045.80000000028</v>
      </c>
      <c r="CW16" s="80">
        <f aca="true" t="shared" si="68" ref="CW16:CW31">-V16+AR16</f>
        <v>0</v>
      </c>
      <c r="CX16" s="80">
        <f aca="true" t="shared" si="69" ref="CX16:CX31">CV16+CW16</f>
        <v>197045.80000000028</v>
      </c>
      <c r="CY16" s="80">
        <f aca="true" t="shared" si="70" ref="CY16:CY31">CX16-K16-L16</f>
        <v>127727.20000000027</v>
      </c>
      <c r="CZ16" s="80">
        <f aca="true" t="shared" si="71" ref="CZ16:CZ31">BR16-BP16</f>
        <v>23104.300000000003</v>
      </c>
      <c r="DA16" s="80">
        <f aca="true" t="shared" si="72" ref="DA16:DA31">K16+L16</f>
        <v>69318.6</v>
      </c>
      <c r="DB16" s="80">
        <f aca="true" t="shared" si="73" ref="DB16:DB31">-CZ16+DA16+CY16</f>
        <v>173941.5000000003</v>
      </c>
      <c r="DC16" s="80">
        <f aca="true" t="shared" si="74" ref="DC16:DC31">-BP16-DA16</f>
        <v>-80318.6</v>
      </c>
      <c r="DD16" s="80">
        <f aca="true" t="shared" si="75" ref="DD16:DD31">DB16+DC16+BR16</f>
        <v>127727.20000000029</v>
      </c>
      <c r="DE16" s="80">
        <f aca="true" t="shared" si="76" ref="DE16:DE31">Z16+AA16+AB16</f>
        <v>114587.6</v>
      </c>
      <c r="DF16" s="80">
        <f aca="true" t="shared" si="77" ref="DF16:DF31">CS16/B16</f>
        <v>892.3255236486482</v>
      </c>
      <c r="DG16" s="80">
        <f aca="true" t="shared" si="78" ref="DG16:DG31">CH16/B16</f>
        <v>-42.95148648648649</v>
      </c>
      <c r="DH16" s="80">
        <f aca="true" t="shared" si="79" ref="DH16:DH31">DE16/B16</f>
        <v>193.56013513513514</v>
      </c>
      <c r="DI16" s="81">
        <f aca="true" t="shared" si="80" ref="DI16:DI31">CZ16/B16</f>
        <v>39.02753378378379</v>
      </c>
      <c r="DJ16" s="76">
        <f aca="true" t="shared" si="81" ref="DJ16:DJ31">DB16/B16</f>
        <v>293.82010135135187</v>
      </c>
      <c r="DK16" s="147">
        <f t="shared" si="46"/>
        <v>-830374.3</v>
      </c>
      <c r="DL16" s="67"/>
      <c r="DM16" s="68"/>
    </row>
    <row r="17" spans="1:117" ht="12.75">
      <c r="A17" s="52" t="s">
        <v>10</v>
      </c>
      <c r="B17" s="43">
        <v>380</v>
      </c>
      <c r="C17" s="4">
        <v>918924</v>
      </c>
      <c r="D17" s="34">
        <v>2418.22</v>
      </c>
      <c r="E17" s="34">
        <v>75.89</v>
      </c>
      <c r="F17" s="8">
        <v>8</v>
      </c>
      <c r="G17" s="133">
        <v>614732.9</v>
      </c>
      <c r="H17" s="43">
        <f>216200+124.59</f>
        <v>216324.59</v>
      </c>
      <c r="I17" s="43">
        <v>100487.25</v>
      </c>
      <c r="J17" s="43">
        <v>21.55</v>
      </c>
      <c r="K17" s="43">
        <v>86233.65</v>
      </c>
      <c r="L17" s="43">
        <v>0</v>
      </c>
      <c r="M17" s="43">
        <f t="shared" si="0"/>
        <v>86233.65</v>
      </c>
      <c r="N17" s="43">
        <v>0</v>
      </c>
      <c r="O17" s="43">
        <v>102041.3</v>
      </c>
      <c r="P17" s="43">
        <v>152978.8</v>
      </c>
      <c r="Q17" s="43">
        <v>0</v>
      </c>
      <c r="R17" s="43">
        <v>46064.7</v>
      </c>
      <c r="S17" s="43">
        <v>0</v>
      </c>
      <c r="T17" s="43">
        <v>0</v>
      </c>
      <c r="U17" s="43">
        <v>0</v>
      </c>
      <c r="V17" s="43">
        <v>0</v>
      </c>
      <c r="W17" s="43">
        <f t="shared" si="48"/>
        <v>46064.7</v>
      </c>
      <c r="X17" s="43">
        <v>279717.95</v>
      </c>
      <c r="Y17" s="43">
        <f t="shared" si="49"/>
        <v>1598602.6900000002</v>
      </c>
      <c r="Z17" s="43">
        <v>431306.15</v>
      </c>
      <c r="AA17" s="43">
        <v>0</v>
      </c>
      <c r="AB17" s="43">
        <v>0</v>
      </c>
      <c r="AC17" s="43">
        <v>0</v>
      </c>
      <c r="AD17" s="43">
        <v>2242.5</v>
      </c>
      <c r="AE17" s="43">
        <f t="shared" si="50"/>
        <v>433548.65</v>
      </c>
      <c r="AF17" s="43">
        <v>21039.25</v>
      </c>
      <c r="AG17" s="43">
        <v>181987.3</v>
      </c>
      <c r="AH17" s="43">
        <v>0</v>
      </c>
      <c r="AI17" s="43">
        <v>360866.15</v>
      </c>
      <c r="AJ17" s="43">
        <v>5237.6</v>
      </c>
      <c r="AK17" s="43">
        <v>136530.65</v>
      </c>
      <c r="AL17" s="43">
        <v>196852.5</v>
      </c>
      <c r="AM17" s="43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f t="shared" si="51"/>
        <v>0</v>
      </c>
      <c r="AT17" s="4">
        <f>273076.7</f>
        <v>273076.7</v>
      </c>
      <c r="AU17" s="4">
        <f t="shared" si="52"/>
        <v>1609138.7999999998</v>
      </c>
      <c r="AV17" s="4">
        <f>10536.11</f>
        <v>10536.11</v>
      </c>
      <c r="AW17" s="4">
        <v>0</v>
      </c>
      <c r="AX17" s="144">
        <f>Y17-AU17+AV17-AW17</f>
        <v>3.637978807091713E-10</v>
      </c>
      <c r="AY17" s="43">
        <f>18749.75+3649.55+951.2+848.25</f>
        <v>24198.75</v>
      </c>
      <c r="AZ17" s="43">
        <f>1457.15+10830+7347.45+719827.25+19727.9+1721.9+1163.3+1799+224.6+1163.9+731.5+111197.75+84400.85+18136.35+24633.6</f>
        <v>1004362.5</v>
      </c>
      <c r="BA17" s="43">
        <v>0</v>
      </c>
      <c r="BB17" s="43">
        <v>0</v>
      </c>
      <c r="BC17" s="43">
        <v>0</v>
      </c>
      <c r="BD17" s="43">
        <v>0</v>
      </c>
      <c r="BE17" s="43">
        <f>5368.25+18901.95+10000+32726.3</f>
        <v>66996.5</v>
      </c>
      <c r="BF17" s="43">
        <f t="shared" si="54"/>
        <v>1071359</v>
      </c>
      <c r="BG17" s="43">
        <f>5628.3</f>
        <v>5628.3</v>
      </c>
      <c r="BH17" s="43">
        <v>0</v>
      </c>
      <c r="BI17" s="43">
        <v>0</v>
      </c>
      <c r="BJ17" s="43">
        <v>0</v>
      </c>
      <c r="BK17" s="43">
        <v>0</v>
      </c>
      <c r="BL17" s="43">
        <v>0</v>
      </c>
      <c r="BM17" s="43">
        <f>7875+40000+6000+522000+288000+75000+13706.95+7190.5+11000+10700+59000+63125</f>
        <v>1103597.45</v>
      </c>
      <c r="BN17" s="43">
        <v>0</v>
      </c>
      <c r="BO17" s="43">
        <f t="shared" si="55"/>
        <v>1109225.75</v>
      </c>
      <c r="BP17" s="43">
        <v>1109225.75</v>
      </c>
      <c r="BQ17" s="43">
        <v>0</v>
      </c>
      <c r="BR17" s="43">
        <f>1071359</f>
        <v>1071359</v>
      </c>
      <c r="BS17" s="43">
        <f t="shared" si="56"/>
        <v>0</v>
      </c>
      <c r="BT17" s="4">
        <v>3280508.38</v>
      </c>
      <c r="BU17" s="4">
        <f>693038.9-116544.5</f>
        <v>576494.4</v>
      </c>
      <c r="BV17" s="4">
        <v>0</v>
      </c>
      <c r="BW17" s="4">
        <v>164305.87</v>
      </c>
      <c r="BX17" s="4">
        <f t="shared" si="57"/>
        <v>4021308.65</v>
      </c>
      <c r="BY17" s="4">
        <v>3390137.55</v>
      </c>
      <c r="BZ17" s="4">
        <v>631171.1</v>
      </c>
      <c r="CA17" s="4">
        <v>0</v>
      </c>
      <c r="CB17" s="4">
        <f t="shared" si="58"/>
        <v>4021308.65</v>
      </c>
      <c r="CC17" s="144">
        <f t="shared" si="59"/>
        <v>0</v>
      </c>
      <c r="CD17" s="74">
        <f t="shared" si="60"/>
        <v>96769.76</v>
      </c>
      <c r="CE17" s="76">
        <f t="shared" si="61"/>
        <v>142834.46</v>
      </c>
      <c r="CF17" s="76">
        <f t="shared" si="62"/>
        <v>-37866.75</v>
      </c>
      <c r="CG17" s="76">
        <f t="shared" si="47"/>
        <v>1336062.0999999999</v>
      </c>
      <c r="CH17" s="76">
        <f t="shared" si="63"/>
        <v>-57301.29999999999</v>
      </c>
      <c r="CI17" s="37">
        <f t="shared" si="64"/>
        <v>28932.350000000006</v>
      </c>
      <c r="CJ17" s="59">
        <f t="shared" si="36"/>
        <v>-2.555533812645659</v>
      </c>
      <c r="CK17" s="59">
        <f t="shared" si="37"/>
        <v>-3.7720284946556015</v>
      </c>
      <c r="CL17" s="141">
        <f t="shared" si="38"/>
        <v>0.07242908843832933</v>
      </c>
      <c r="CM17" s="141">
        <f t="shared" si="39"/>
        <v>0.10690705170066571</v>
      </c>
      <c r="CN17" s="141">
        <f t="shared" si="40"/>
        <v>-0.04288820107987495</v>
      </c>
      <c r="CO17" s="141">
        <f t="shared" si="41"/>
        <v>0.021654944032915843</v>
      </c>
      <c r="CP17" s="141">
        <f t="shared" si="42"/>
        <v>0.13011920953096823</v>
      </c>
      <c r="CQ17" s="141">
        <f t="shared" si="43"/>
        <v>0.13011920953096823</v>
      </c>
      <c r="CR17" s="142">
        <f t="shared" si="44"/>
        <v>-0.767526057787455</v>
      </c>
      <c r="CS17" s="76">
        <f t="shared" si="45"/>
        <v>-109629.16999999993</v>
      </c>
      <c r="CT17" s="80">
        <f t="shared" si="65"/>
        <v>1512369.0400000003</v>
      </c>
      <c r="CU17" s="80">
        <f t="shared" si="66"/>
        <v>1609138.7999999998</v>
      </c>
      <c r="CV17" s="80">
        <f t="shared" si="67"/>
        <v>96769.75999999954</v>
      </c>
      <c r="CW17" s="80">
        <f t="shared" si="68"/>
        <v>0</v>
      </c>
      <c r="CX17" s="80">
        <f t="shared" si="69"/>
        <v>96769.75999999954</v>
      </c>
      <c r="CY17" s="80">
        <f t="shared" si="70"/>
        <v>10536.10999999955</v>
      </c>
      <c r="CZ17" s="80">
        <f t="shared" si="71"/>
        <v>-37866.75</v>
      </c>
      <c r="DA17" s="80">
        <f t="shared" si="72"/>
        <v>86233.65</v>
      </c>
      <c r="DB17" s="80">
        <f t="shared" si="73"/>
        <v>134636.50999999954</v>
      </c>
      <c r="DC17" s="80">
        <f t="shared" si="74"/>
        <v>-1195459.4</v>
      </c>
      <c r="DD17" s="80">
        <f t="shared" si="75"/>
        <v>10536.109999999637</v>
      </c>
      <c r="DE17" s="80">
        <f t="shared" si="76"/>
        <v>431306.15</v>
      </c>
      <c r="DF17" s="80">
        <f t="shared" si="77"/>
        <v>-288.49781578947346</v>
      </c>
      <c r="DG17" s="80">
        <f t="shared" si="78"/>
        <v>-150.79289473684207</v>
      </c>
      <c r="DH17" s="80">
        <f t="shared" si="79"/>
        <v>1135.0161842105265</v>
      </c>
      <c r="DI17" s="81">
        <f t="shared" si="80"/>
        <v>-99.64934210526316</v>
      </c>
      <c r="DJ17" s="76">
        <f t="shared" si="81"/>
        <v>354.3066052631567</v>
      </c>
      <c r="DK17" s="147">
        <f t="shared" si="46"/>
        <v>-740800.27</v>
      </c>
      <c r="DL17" s="64"/>
      <c r="DM17" s="65"/>
    </row>
    <row r="18" spans="1:117" ht="12.75">
      <c r="A18" s="51" t="s">
        <v>11</v>
      </c>
      <c r="B18" s="42">
        <v>1046</v>
      </c>
      <c r="C18" s="38">
        <v>6420699</v>
      </c>
      <c r="D18" s="39">
        <v>6138.44</v>
      </c>
      <c r="E18" s="39">
        <v>192.64</v>
      </c>
      <c r="F18" s="128">
        <v>1</v>
      </c>
      <c r="G18" s="134">
        <v>585011.75</v>
      </c>
      <c r="H18" s="42">
        <v>501876.5</v>
      </c>
      <c r="I18" s="42">
        <v>42495.35</v>
      </c>
      <c r="J18" s="42">
        <v>0</v>
      </c>
      <c r="K18" s="42">
        <v>208000</v>
      </c>
      <c r="L18" s="42">
        <v>86419.6</v>
      </c>
      <c r="M18" s="43">
        <f t="shared" si="0"/>
        <v>294419.6</v>
      </c>
      <c r="N18" s="42">
        <v>0</v>
      </c>
      <c r="O18" s="42">
        <v>10781</v>
      </c>
      <c r="P18" s="42">
        <v>368452.1</v>
      </c>
      <c r="Q18" s="42">
        <v>551.1</v>
      </c>
      <c r="R18" s="42">
        <v>7411.3</v>
      </c>
      <c r="S18" s="42">
        <v>0</v>
      </c>
      <c r="T18" s="42">
        <v>0</v>
      </c>
      <c r="U18" s="42">
        <v>0</v>
      </c>
      <c r="V18" s="42">
        <v>0</v>
      </c>
      <c r="W18" s="43">
        <f t="shared" si="48"/>
        <v>7411.3</v>
      </c>
      <c r="X18" s="42">
        <v>451388.75</v>
      </c>
      <c r="Y18" s="43">
        <f t="shared" si="49"/>
        <v>2262387.45</v>
      </c>
      <c r="Z18" s="42">
        <v>481600.65</v>
      </c>
      <c r="AA18" s="42">
        <v>598345.05</v>
      </c>
      <c r="AB18" s="42">
        <v>-2800.25</v>
      </c>
      <c r="AC18" s="42">
        <v>0</v>
      </c>
      <c r="AD18" s="42">
        <v>3600</v>
      </c>
      <c r="AE18" s="43">
        <f t="shared" si="50"/>
        <v>1080745.4500000002</v>
      </c>
      <c r="AF18" s="42">
        <v>50000</v>
      </c>
      <c r="AG18" s="42">
        <v>56202.45</v>
      </c>
      <c r="AH18" s="42">
        <v>0</v>
      </c>
      <c r="AI18" s="42">
        <v>417667.15</v>
      </c>
      <c r="AJ18" s="42">
        <v>51085.25</v>
      </c>
      <c r="AK18" s="42">
        <v>64560.65</v>
      </c>
      <c r="AL18" s="42">
        <v>36532.9</v>
      </c>
      <c r="AM18" s="42">
        <v>37000</v>
      </c>
      <c r="AN18" s="38">
        <v>20000</v>
      </c>
      <c r="AO18" s="38">
        <v>0</v>
      </c>
      <c r="AP18" s="38">
        <v>0</v>
      </c>
      <c r="AQ18" s="38">
        <v>0</v>
      </c>
      <c r="AR18" s="38">
        <v>0</v>
      </c>
      <c r="AS18" s="4">
        <f t="shared" si="51"/>
        <v>20000</v>
      </c>
      <c r="AT18" s="38">
        <v>451142.35</v>
      </c>
      <c r="AU18" s="4">
        <f t="shared" si="52"/>
        <v>2264936.2</v>
      </c>
      <c r="AV18" s="38">
        <v>2548.75</v>
      </c>
      <c r="AW18" s="38">
        <v>0</v>
      </c>
      <c r="AX18" s="4">
        <v>0</v>
      </c>
      <c r="AY18" s="42">
        <v>0</v>
      </c>
      <c r="AZ18" s="42">
        <v>852796.85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3">
        <f t="shared" si="54"/>
        <v>852796.85</v>
      </c>
      <c r="BG18" s="42">
        <v>0</v>
      </c>
      <c r="BH18" s="42">
        <v>63197.9</v>
      </c>
      <c r="BI18" s="42">
        <v>0</v>
      </c>
      <c r="BJ18" s="42">
        <v>150000</v>
      </c>
      <c r="BK18" s="42">
        <v>0</v>
      </c>
      <c r="BL18" s="42">
        <v>0</v>
      </c>
      <c r="BM18" s="42">
        <v>36024</v>
      </c>
      <c r="BN18" s="42">
        <v>0</v>
      </c>
      <c r="BO18" s="43">
        <f t="shared" si="55"/>
        <v>249221.9</v>
      </c>
      <c r="BP18" s="42">
        <v>249221.9</v>
      </c>
      <c r="BQ18" s="42">
        <v>0</v>
      </c>
      <c r="BR18" s="42">
        <v>852796.85</v>
      </c>
      <c r="BS18" s="43">
        <f t="shared" si="56"/>
        <v>0</v>
      </c>
      <c r="BT18" s="38">
        <v>2902123.11</v>
      </c>
      <c r="BU18" s="38">
        <v>1785008</v>
      </c>
      <c r="BV18" s="38">
        <v>0</v>
      </c>
      <c r="BW18" s="38">
        <v>0</v>
      </c>
      <c r="BX18" s="4">
        <f t="shared" si="57"/>
        <v>4687131.109999999</v>
      </c>
      <c r="BY18" s="38">
        <v>2051563.6</v>
      </c>
      <c r="BZ18" s="38">
        <v>1934613.5</v>
      </c>
      <c r="CA18" s="38">
        <v>700954.01</v>
      </c>
      <c r="CB18" s="4">
        <f t="shared" si="58"/>
        <v>4687131.11</v>
      </c>
      <c r="CC18" s="4">
        <f t="shared" si="59"/>
        <v>0</v>
      </c>
      <c r="CD18" s="74">
        <f t="shared" si="60"/>
        <v>296968.35</v>
      </c>
      <c r="CE18" s="76">
        <f t="shared" si="61"/>
        <v>284379.64999999997</v>
      </c>
      <c r="CF18" s="76">
        <f t="shared" si="62"/>
        <v>603574.95</v>
      </c>
      <c r="CG18" s="76">
        <f t="shared" si="47"/>
        <v>1756793.85</v>
      </c>
      <c r="CH18" s="76">
        <f t="shared" si="63"/>
        <v>-13707.099999999999</v>
      </c>
      <c r="CI18" s="37">
        <f t="shared" si="64"/>
        <v>194292.9</v>
      </c>
      <c r="CJ18" s="59">
        <f t="shared" si="36"/>
        <v>0.49201569747054613</v>
      </c>
      <c r="CK18" s="59">
        <f t="shared" si="37"/>
        <v>0.47115880140486277</v>
      </c>
      <c r="CL18" s="141">
        <f t="shared" si="38"/>
        <v>0.16903995309409808</v>
      </c>
      <c r="CM18" s="141">
        <f t="shared" si="39"/>
        <v>0.16187422901099063</v>
      </c>
      <c r="CN18" s="141">
        <f t="shared" si="40"/>
        <v>-0.007802338333550062</v>
      </c>
      <c r="CO18" s="141">
        <f t="shared" si="41"/>
        <v>0.1105951617487732</v>
      </c>
      <c r="CP18" s="141">
        <f t="shared" si="42"/>
        <v>0.14158684822688702</v>
      </c>
      <c r="CQ18" s="141">
        <f t="shared" si="43"/>
        <v>0.10002752680593448</v>
      </c>
      <c r="CR18" s="142">
        <f t="shared" si="44"/>
        <v>2.9909295900743946</v>
      </c>
      <c r="CS18" s="76">
        <f t="shared" si="45"/>
        <v>850559.5099999998</v>
      </c>
      <c r="CT18" s="80">
        <f t="shared" si="65"/>
        <v>1967967.85</v>
      </c>
      <c r="CU18" s="80">
        <f t="shared" si="66"/>
        <v>2264936.2</v>
      </c>
      <c r="CV18" s="80">
        <f t="shared" si="67"/>
        <v>296968.3500000001</v>
      </c>
      <c r="CW18" s="80">
        <f t="shared" si="68"/>
        <v>0</v>
      </c>
      <c r="CX18" s="80">
        <f t="shared" si="69"/>
        <v>296968.3500000001</v>
      </c>
      <c r="CY18" s="80">
        <f t="shared" si="70"/>
        <v>2548.7500000000873</v>
      </c>
      <c r="CZ18" s="80">
        <f t="shared" si="71"/>
        <v>603574.95</v>
      </c>
      <c r="DA18" s="80">
        <f t="shared" si="72"/>
        <v>294419.6</v>
      </c>
      <c r="DB18" s="80">
        <f t="shared" si="73"/>
        <v>-306606.59999999986</v>
      </c>
      <c r="DC18" s="80">
        <f t="shared" si="74"/>
        <v>-543641.5</v>
      </c>
      <c r="DD18" s="80">
        <f t="shared" si="75"/>
        <v>2548.7500000001164</v>
      </c>
      <c r="DE18" s="80">
        <f t="shared" si="76"/>
        <v>1077145.4500000002</v>
      </c>
      <c r="DF18" s="80">
        <f t="shared" si="77"/>
        <v>813.1544072657741</v>
      </c>
      <c r="DG18" s="80">
        <f t="shared" si="78"/>
        <v>-13.104302103250477</v>
      </c>
      <c r="DH18" s="80">
        <f t="shared" si="79"/>
        <v>1029.7757648183558</v>
      </c>
      <c r="DI18" s="81">
        <f t="shared" si="80"/>
        <v>577.0315009560229</v>
      </c>
      <c r="DJ18" s="76">
        <f t="shared" si="81"/>
        <v>-293.1229445506691</v>
      </c>
      <c r="DK18" s="147">
        <f t="shared" si="46"/>
        <v>-1084053.99</v>
      </c>
      <c r="DL18" s="67"/>
      <c r="DM18" s="68"/>
    </row>
    <row r="19" spans="1:117" ht="12.75">
      <c r="A19" s="52" t="s">
        <v>35</v>
      </c>
      <c r="B19" s="43">
        <v>2958</v>
      </c>
      <c r="C19" s="4">
        <v>9501172</v>
      </c>
      <c r="D19" s="34">
        <v>3212.03</v>
      </c>
      <c r="E19" s="34">
        <v>100.8</v>
      </c>
      <c r="F19" s="8">
        <v>6</v>
      </c>
      <c r="G19" s="133">
        <v>1943527.25</v>
      </c>
      <c r="H19" s="43">
        <v>3436814.18</v>
      </c>
      <c r="I19" s="43">
        <v>21446.25</v>
      </c>
      <c r="J19" s="43">
        <v>57023.54</v>
      </c>
      <c r="K19" s="43">
        <v>809736</v>
      </c>
      <c r="L19" s="43">
        <v>116000</v>
      </c>
      <c r="M19" s="43">
        <f t="shared" si="0"/>
        <v>925736</v>
      </c>
      <c r="N19" s="43">
        <v>0</v>
      </c>
      <c r="O19" s="43">
        <v>256903.5</v>
      </c>
      <c r="P19" s="43">
        <v>702919.85</v>
      </c>
      <c r="Q19" s="43">
        <v>31295</v>
      </c>
      <c r="R19" s="43">
        <v>474981.06</v>
      </c>
      <c r="S19" s="43">
        <v>36012.45</v>
      </c>
      <c r="T19" s="43">
        <v>0</v>
      </c>
      <c r="U19" s="43">
        <v>0</v>
      </c>
      <c r="V19" s="43">
        <v>0</v>
      </c>
      <c r="W19" s="43">
        <f t="shared" si="48"/>
        <v>510993.51</v>
      </c>
      <c r="X19" s="43">
        <v>1097971.4</v>
      </c>
      <c r="Y19" s="43">
        <f t="shared" si="49"/>
        <v>8984630.479999999</v>
      </c>
      <c r="Z19" s="43">
        <v>2650202</v>
      </c>
      <c r="AA19" s="43">
        <v>107063.95</v>
      </c>
      <c r="AB19" s="43">
        <v>50716.75</v>
      </c>
      <c r="AC19" s="43">
        <v>0</v>
      </c>
      <c r="AD19" s="43">
        <v>20503</v>
      </c>
      <c r="AE19" s="43">
        <f t="shared" si="50"/>
        <v>2828485.7</v>
      </c>
      <c r="AF19" s="43">
        <v>0</v>
      </c>
      <c r="AG19" s="43">
        <v>91359</v>
      </c>
      <c r="AH19" s="43">
        <v>0</v>
      </c>
      <c r="AI19" s="43">
        <v>4642844.93</v>
      </c>
      <c r="AJ19" s="43">
        <v>38944.05</v>
      </c>
      <c r="AK19" s="43">
        <v>94335.65</v>
      </c>
      <c r="AL19" s="43">
        <v>155055.67</v>
      </c>
      <c r="AM19" s="43">
        <v>31295</v>
      </c>
      <c r="AN19" s="4">
        <v>3936.25</v>
      </c>
      <c r="AO19" s="4">
        <v>0</v>
      </c>
      <c r="AP19" s="4">
        <v>0</v>
      </c>
      <c r="AQ19" s="4">
        <v>0</v>
      </c>
      <c r="AR19" s="4">
        <v>0</v>
      </c>
      <c r="AS19" s="4">
        <f t="shared" si="51"/>
        <v>3936.25</v>
      </c>
      <c r="AT19" s="4">
        <v>1097971.4</v>
      </c>
      <c r="AU19" s="4">
        <f t="shared" si="52"/>
        <v>8984227.650000002</v>
      </c>
      <c r="AV19" s="4">
        <v>0</v>
      </c>
      <c r="AW19" s="4">
        <v>402.83</v>
      </c>
      <c r="AX19" s="4">
        <f t="shared" si="53"/>
        <v>-3.6507685763353948E-09</v>
      </c>
      <c r="AY19" s="43">
        <v>33014.1</v>
      </c>
      <c r="AZ19" s="43">
        <v>634607.15</v>
      </c>
      <c r="BA19" s="43">
        <v>0</v>
      </c>
      <c r="BB19" s="43">
        <v>12029</v>
      </c>
      <c r="BC19" s="43">
        <v>535335</v>
      </c>
      <c r="BD19" s="43">
        <v>0</v>
      </c>
      <c r="BE19" s="43">
        <v>237233.05</v>
      </c>
      <c r="BF19" s="43">
        <f t="shared" si="54"/>
        <v>1419204.2</v>
      </c>
      <c r="BG19" s="43">
        <v>0</v>
      </c>
      <c r="BH19" s="43">
        <v>280882.15</v>
      </c>
      <c r="BI19" s="43">
        <v>0</v>
      </c>
      <c r="BJ19" s="43">
        <v>0</v>
      </c>
      <c r="BK19" s="43">
        <v>0</v>
      </c>
      <c r="BL19" s="43">
        <v>0</v>
      </c>
      <c r="BM19" s="43">
        <v>136115.4</v>
      </c>
      <c r="BN19" s="43">
        <v>0</v>
      </c>
      <c r="BO19" s="43">
        <f t="shared" si="55"/>
        <v>416997.55000000005</v>
      </c>
      <c r="BP19" s="43">
        <v>404968.55</v>
      </c>
      <c r="BQ19" s="43">
        <v>0</v>
      </c>
      <c r="BR19" s="43">
        <v>1407175.2</v>
      </c>
      <c r="BS19" s="43">
        <f t="shared" si="56"/>
        <v>0</v>
      </c>
      <c r="BT19" s="4">
        <v>5275194.63</v>
      </c>
      <c r="BU19" s="4">
        <v>5938381.98</v>
      </c>
      <c r="BV19" s="4">
        <v>0</v>
      </c>
      <c r="BW19" s="4">
        <v>0</v>
      </c>
      <c r="BX19" s="4">
        <f t="shared" si="57"/>
        <v>11213576.61</v>
      </c>
      <c r="BY19" s="4">
        <v>1776341.57</v>
      </c>
      <c r="BZ19" s="4">
        <v>6358330.57</v>
      </c>
      <c r="CA19" s="4">
        <v>3078904.47</v>
      </c>
      <c r="CB19" s="4">
        <f t="shared" si="58"/>
        <v>11213576.610000001</v>
      </c>
      <c r="CC19" s="4">
        <f t="shared" si="59"/>
        <v>0</v>
      </c>
      <c r="CD19" s="74">
        <f t="shared" si="60"/>
        <v>925333.17</v>
      </c>
      <c r="CE19" s="76">
        <f t="shared" si="61"/>
        <v>1432390.4300000002</v>
      </c>
      <c r="CF19" s="76">
        <f t="shared" si="62"/>
        <v>1002206.6499999999</v>
      </c>
      <c r="CG19" s="76">
        <f t="shared" si="47"/>
        <v>7851025.000000002</v>
      </c>
      <c r="CH19" s="76">
        <f t="shared" si="63"/>
        <v>-36898.65</v>
      </c>
      <c r="CI19" s="37">
        <f t="shared" si="64"/>
        <v>772837.35</v>
      </c>
      <c r="CJ19" s="59">
        <f t="shared" si="36"/>
        <v>0.9232957793684567</v>
      </c>
      <c r="CK19" s="59">
        <f t="shared" si="37"/>
        <v>1.4292366050454768</v>
      </c>
      <c r="CL19" s="141">
        <f t="shared" si="38"/>
        <v>0.11786144739062732</v>
      </c>
      <c r="CM19" s="141">
        <f t="shared" si="39"/>
        <v>0.18244629586582642</v>
      </c>
      <c r="CN19" s="141">
        <f t="shared" si="40"/>
        <v>-0.004699851293302466</v>
      </c>
      <c r="CO19" s="141">
        <f t="shared" si="41"/>
        <v>0.09843776449571869</v>
      </c>
      <c r="CP19" s="141">
        <f t="shared" si="42"/>
        <v>0.1348659802610211</v>
      </c>
      <c r="CQ19" s="141">
        <f t="shared" si="43"/>
        <v>0.11796650383331551</v>
      </c>
      <c r="CR19" s="142">
        <f t="shared" si="44"/>
        <v>2.442667157445334</v>
      </c>
      <c r="CS19" s="76">
        <f t="shared" si="45"/>
        <v>3498853.0599999996</v>
      </c>
      <c r="CT19" s="80">
        <f t="shared" si="65"/>
        <v>8058894.479999999</v>
      </c>
      <c r="CU19" s="80">
        <f t="shared" si="66"/>
        <v>8984227.650000002</v>
      </c>
      <c r="CV19" s="80">
        <f t="shared" si="67"/>
        <v>925333.1700000037</v>
      </c>
      <c r="CW19" s="80">
        <f t="shared" si="68"/>
        <v>0</v>
      </c>
      <c r="CX19" s="80">
        <f t="shared" si="69"/>
        <v>925333.1700000037</v>
      </c>
      <c r="CY19" s="80">
        <f t="shared" si="70"/>
        <v>-402.8299999963492</v>
      </c>
      <c r="CZ19" s="80">
        <f t="shared" si="71"/>
        <v>1002206.6499999999</v>
      </c>
      <c r="DA19" s="80">
        <f t="shared" si="72"/>
        <v>925736</v>
      </c>
      <c r="DB19" s="80">
        <f t="shared" si="73"/>
        <v>-76873.47999999626</v>
      </c>
      <c r="DC19" s="80">
        <f t="shared" si="74"/>
        <v>-1330704.55</v>
      </c>
      <c r="DD19" s="80">
        <f t="shared" si="75"/>
        <v>-402.8299999963492</v>
      </c>
      <c r="DE19" s="80">
        <f t="shared" si="76"/>
        <v>2807982.7</v>
      </c>
      <c r="DF19" s="80">
        <f t="shared" si="77"/>
        <v>1182.8441717376604</v>
      </c>
      <c r="DG19" s="80">
        <f t="shared" si="78"/>
        <v>-12.474188640973631</v>
      </c>
      <c r="DH19" s="80">
        <f t="shared" si="79"/>
        <v>949.284212305612</v>
      </c>
      <c r="DI19" s="81">
        <f t="shared" si="80"/>
        <v>338.8122549019607</v>
      </c>
      <c r="DJ19" s="76">
        <f t="shared" si="81"/>
        <v>-25.988329952669456</v>
      </c>
      <c r="DK19" s="147">
        <f t="shared" si="46"/>
        <v>-2859477.5100000002</v>
      </c>
      <c r="DL19" s="64"/>
      <c r="DM19" s="65"/>
    </row>
    <row r="20" spans="1:117" ht="12.75">
      <c r="A20" s="51" t="s">
        <v>12</v>
      </c>
      <c r="B20" s="42">
        <v>436</v>
      </c>
      <c r="C20" s="38">
        <v>1229517</v>
      </c>
      <c r="D20" s="39">
        <v>2819.99</v>
      </c>
      <c r="E20" s="39">
        <v>88.5</v>
      </c>
      <c r="F20" s="128">
        <v>8</v>
      </c>
      <c r="G20" s="134">
        <v>359821.5</v>
      </c>
      <c r="H20" s="42">
        <v>306873.05</v>
      </c>
      <c r="I20" s="42">
        <v>25014.95</v>
      </c>
      <c r="J20" s="42">
        <v>24417.55</v>
      </c>
      <c r="K20" s="42">
        <v>203031.8</v>
      </c>
      <c r="L20" s="42">
        <v>50000</v>
      </c>
      <c r="M20" s="43">
        <f t="shared" si="0"/>
        <v>253031.8</v>
      </c>
      <c r="N20" s="42">
        <v>0</v>
      </c>
      <c r="O20" s="42">
        <v>94510.65</v>
      </c>
      <c r="P20" s="42">
        <v>119881.15</v>
      </c>
      <c r="Q20" s="42">
        <v>0</v>
      </c>
      <c r="R20" s="42">
        <v>3107.2</v>
      </c>
      <c r="S20" s="42">
        <v>0</v>
      </c>
      <c r="T20" s="42">
        <v>45000</v>
      </c>
      <c r="U20" s="42">
        <v>0</v>
      </c>
      <c r="V20" s="42">
        <v>0</v>
      </c>
      <c r="W20" s="43">
        <f t="shared" si="48"/>
        <v>48107.2</v>
      </c>
      <c r="X20" s="42">
        <v>358682.35</v>
      </c>
      <c r="Y20" s="43">
        <f t="shared" si="49"/>
        <v>1590340.1999999997</v>
      </c>
      <c r="Z20" s="42">
        <v>422494.65</v>
      </c>
      <c r="AA20" s="42">
        <v>27962.65</v>
      </c>
      <c r="AB20" s="42">
        <v>6292.5</v>
      </c>
      <c r="AC20" s="42">
        <v>0</v>
      </c>
      <c r="AD20" s="42">
        <v>1600</v>
      </c>
      <c r="AE20" s="43">
        <f t="shared" si="50"/>
        <v>458349.80000000005</v>
      </c>
      <c r="AF20" s="42">
        <v>0</v>
      </c>
      <c r="AG20" s="42">
        <v>276996.6</v>
      </c>
      <c r="AH20" s="42">
        <v>0</v>
      </c>
      <c r="AI20" s="42">
        <v>349535.1</v>
      </c>
      <c r="AJ20" s="42">
        <v>8074.8</v>
      </c>
      <c r="AK20" s="42">
        <v>31967.25</v>
      </c>
      <c r="AL20" s="42">
        <v>85884.1</v>
      </c>
      <c r="AM20" s="42">
        <v>0</v>
      </c>
      <c r="AN20" s="38">
        <v>37517.25</v>
      </c>
      <c r="AO20" s="38">
        <v>0</v>
      </c>
      <c r="AP20" s="38">
        <v>0</v>
      </c>
      <c r="AQ20" s="38">
        <v>0</v>
      </c>
      <c r="AR20" s="38">
        <v>0</v>
      </c>
      <c r="AS20" s="4">
        <f t="shared" si="51"/>
        <v>37517.25</v>
      </c>
      <c r="AT20" s="38">
        <v>353302.1</v>
      </c>
      <c r="AU20" s="4">
        <f t="shared" si="52"/>
        <v>1601627.0000000002</v>
      </c>
      <c r="AV20" s="38">
        <v>11286.8</v>
      </c>
      <c r="AW20" s="38">
        <v>0</v>
      </c>
      <c r="AX20" s="4">
        <f t="shared" si="53"/>
        <v>-5.129550117999315E-10</v>
      </c>
      <c r="AY20" s="42">
        <v>8186.4</v>
      </c>
      <c r="AZ20" s="42">
        <v>52186.7</v>
      </c>
      <c r="BA20" s="42">
        <v>0</v>
      </c>
      <c r="BB20" s="42">
        <v>0</v>
      </c>
      <c r="BC20" s="42">
        <v>36389.45</v>
      </c>
      <c r="BD20" s="42">
        <v>0</v>
      </c>
      <c r="BE20" s="42">
        <v>0</v>
      </c>
      <c r="BF20" s="43">
        <f t="shared" si="54"/>
        <v>88576.15</v>
      </c>
      <c r="BG20" s="42">
        <v>3990</v>
      </c>
      <c r="BH20" s="42">
        <v>2016</v>
      </c>
      <c r="BI20" s="42">
        <v>0</v>
      </c>
      <c r="BJ20" s="42">
        <v>0</v>
      </c>
      <c r="BK20" s="42">
        <v>0</v>
      </c>
      <c r="BL20" s="42">
        <v>36511.1</v>
      </c>
      <c r="BM20" s="42">
        <v>0</v>
      </c>
      <c r="BN20" s="42">
        <v>0</v>
      </c>
      <c r="BO20" s="43">
        <f t="shared" si="55"/>
        <v>42517.1</v>
      </c>
      <c r="BP20" s="42">
        <v>42517.1</v>
      </c>
      <c r="BQ20" s="42">
        <v>0</v>
      </c>
      <c r="BR20" s="42">
        <v>88576.15</v>
      </c>
      <c r="BS20" s="43">
        <f t="shared" si="56"/>
        <v>0</v>
      </c>
      <c r="BT20" s="38">
        <v>2384889.22</v>
      </c>
      <c r="BU20" s="38">
        <v>829507.55</v>
      </c>
      <c r="BV20" s="38">
        <v>0</v>
      </c>
      <c r="BW20" s="38">
        <v>0</v>
      </c>
      <c r="BX20" s="4">
        <f t="shared" si="57"/>
        <v>3214396.7700000005</v>
      </c>
      <c r="BY20" s="38">
        <v>1912671</v>
      </c>
      <c r="BZ20" s="38">
        <v>705996</v>
      </c>
      <c r="CA20" s="38">
        <v>595729.77</v>
      </c>
      <c r="CB20" s="4">
        <f t="shared" si="58"/>
        <v>3214396.77</v>
      </c>
      <c r="CC20" s="4">
        <f t="shared" si="59"/>
        <v>0</v>
      </c>
      <c r="CD20" s="74">
        <f t="shared" si="60"/>
        <v>264318.6</v>
      </c>
      <c r="CE20" s="76">
        <f t="shared" si="61"/>
        <v>274908.55</v>
      </c>
      <c r="CF20" s="76">
        <f t="shared" si="62"/>
        <v>46059.049999999996</v>
      </c>
      <c r="CG20" s="76">
        <f t="shared" si="47"/>
        <v>1210807.6500000004</v>
      </c>
      <c r="CH20" s="76">
        <f t="shared" si="63"/>
        <v>-243795.24999999997</v>
      </c>
      <c r="CI20" s="37">
        <f t="shared" si="64"/>
        <v>-40763.44999999998</v>
      </c>
      <c r="CJ20" s="59">
        <f t="shared" si="36"/>
        <v>5.738689790605755</v>
      </c>
      <c r="CK20" s="59">
        <f t="shared" si="37"/>
        <v>5.968610946165846</v>
      </c>
      <c r="CL20" s="141">
        <f t="shared" si="38"/>
        <v>0.21829941361867006</v>
      </c>
      <c r="CM20" s="141">
        <f t="shared" si="39"/>
        <v>0.22704560051301287</v>
      </c>
      <c r="CN20" s="141">
        <f t="shared" si="40"/>
        <v>-0.20134928120085788</v>
      </c>
      <c r="CO20" s="141">
        <f t="shared" si="41"/>
        <v>-0.03366633007315404</v>
      </c>
      <c r="CP20" s="141">
        <f t="shared" si="42"/>
        <v>0.23373912458701845</v>
      </c>
      <c r="CQ20" s="141">
        <f t="shared" si="43"/>
        <v>0.18755142711440465</v>
      </c>
      <c r="CR20" s="142">
        <f t="shared" si="44"/>
        <v>1.7177283864034065</v>
      </c>
      <c r="CS20" s="76">
        <f t="shared" si="45"/>
        <v>472218.2200000002</v>
      </c>
      <c r="CT20" s="80">
        <f t="shared" si="65"/>
        <v>1337308.3999999997</v>
      </c>
      <c r="CU20" s="80">
        <f t="shared" si="66"/>
        <v>1601627.0000000002</v>
      </c>
      <c r="CV20" s="80">
        <f t="shared" si="67"/>
        <v>264318.60000000056</v>
      </c>
      <c r="CW20" s="80">
        <f t="shared" si="68"/>
        <v>0</v>
      </c>
      <c r="CX20" s="80">
        <f t="shared" si="69"/>
        <v>264318.60000000056</v>
      </c>
      <c r="CY20" s="80">
        <f t="shared" si="70"/>
        <v>11286.80000000057</v>
      </c>
      <c r="CZ20" s="80">
        <f t="shared" si="71"/>
        <v>46059.049999999996</v>
      </c>
      <c r="DA20" s="80">
        <f t="shared" si="72"/>
        <v>253031.8</v>
      </c>
      <c r="DB20" s="80">
        <f t="shared" si="73"/>
        <v>218259.55000000057</v>
      </c>
      <c r="DC20" s="80">
        <f t="shared" si="74"/>
        <v>-295548.89999999997</v>
      </c>
      <c r="DD20" s="80">
        <f t="shared" si="75"/>
        <v>11286.8000000006</v>
      </c>
      <c r="DE20" s="80">
        <f t="shared" si="76"/>
        <v>456749.80000000005</v>
      </c>
      <c r="DF20" s="80">
        <f t="shared" si="77"/>
        <v>1083.069311926606</v>
      </c>
      <c r="DG20" s="80">
        <f t="shared" si="78"/>
        <v>-559.1634174311926</v>
      </c>
      <c r="DH20" s="80">
        <f t="shared" si="79"/>
        <v>1047.5912844036698</v>
      </c>
      <c r="DI20" s="81">
        <f t="shared" si="80"/>
        <v>105.64002293577981</v>
      </c>
      <c r="DJ20" s="76">
        <f t="shared" si="81"/>
        <v>500.5952981651389</v>
      </c>
      <c r="DK20" s="147">
        <f t="shared" si="46"/>
        <v>-233777.78000000003</v>
      </c>
      <c r="DL20" s="67"/>
      <c r="DM20" s="68"/>
    </row>
    <row r="21" spans="1:117" ht="12.75">
      <c r="A21" s="52" t="s">
        <v>13</v>
      </c>
      <c r="B21" s="43">
        <v>3937</v>
      </c>
      <c r="C21" s="4">
        <v>13719689</v>
      </c>
      <c r="D21" s="34">
        <v>3484.81</v>
      </c>
      <c r="E21" s="34">
        <v>109.36</v>
      </c>
      <c r="F21" s="8">
        <v>4</v>
      </c>
      <c r="G21" s="133">
        <v>2403000.35</v>
      </c>
      <c r="H21" s="43">
        <v>2435297.84</v>
      </c>
      <c r="I21" s="43">
        <v>263226.15</v>
      </c>
      <c r="J21" s="43">
        <v>1362.01</v>
      </c>
      <c r="K21" s="43">
        <v>1095270.3</v>
      </c>
      <c r="L21" s="43">
        <v>0</v>
      </c>
      <c r="M21" s="43">
        <f t="shared" si="0"/>
        <v>1095270.3</v>
      </c>
      <c r="N21" s="43">
        <v>0</v>
      </c>
      <c r="O21" s="43">
        <v>385661.35</v>
      </c>
      <c r="P21" s="43">
        <v>1010865.6</v>
      </c>
      <c r="Q21" s="43">
        <v>107212.9</v>
      </c>
      <c r="R21" s="43">
        <v>0</v>
      </c>
      <c r="S21" s="43">
        <v>28979.55</v>
      </c>
      <c r="T21" s="43">
        <v>0</v>
      </c>
      <c r="U21" s="43">
        <v>0</v>
      </c>
      <c r="V21" s="43">
        <v>0</v>
      </c>
      <c r="W21" s="43">
        <f t="shared" si="48"/>
        <v>28979.55</v>
      </c>
      <c r="X21" s="43">
        <v>2484794.1</v>
      </c>
      <c r="Y21" s="43">
        <f t="shared" si="49"/>
        <v>10215670.149999999</v>
      </c>
      <c r="Z21" s="43">
        <v>3050847.15</v>
      </c>
      <c r="AA21" s="43">
        <v>668376.65</v>
      </c>
      <c r="AB21" s="43">
        <v>38688.2</v>
      </c>
      <c r="AC21" s="43">
        <v>0</v>
      </c>
      <c r="AD21" s="43">
        <v>19690</v>
      </c>
      <c r="AE21" s="43">
        <f t="shared" si="50"/>
        <v>3777602</v>
      </c>
      <c r="AF21" s="43">
        <v>103516</v>
      </c>
      <c r="AG21" s="43">
        <v>496013.1</v>
      </c>
      <c r="AH21" s="43">
        <v>0</v>
      </c>
      <c r="AI21" s="43">
        <v>1907187.06</v>
      </c>
      <c r="AJ21" s="43">
        <v>60550.3</v>
      </c>
      <c r="AK21" s="43">
        <v>269882.2</v>
      </c>
      <c r="AL21" s="43">
        <v>518890.55</v>
      </c>
      <c r="AM21" s="43">
        <v>107212.9</v>
      </c>
      <c r="AN21" s="4">
        <v>108414.61</v>
      </c>
      <c r="AO21" s="4">
        <v>19254</v>
      </c>
      <c r="AP21" s="4">
        <v>0</v>
      </c>
      <c r="AQ21" s="4">
        <v>0</v>
      </c>
      <c r="AR21" s="4">
        <v>0</v>
      </c>
      <c r="AS21" s="4">
        <f t="shared" si="51"/>
        <v>127668.61</v>
      </c>
      <c r="AT21" s="4">
        <v>2484794.1</v>
      </c>
      <c r="AU21" s="4">
        <f t="shared" si="52"/>
        <v>9853316.82</v>
      </c>
      <c r="AV21" s="4">
        <v>0</v>
      </c>
      <c r="AW21" s="4">
        <v>362353.33</v>
      </c>
      <c r="AX21" s="4">
        <f t="shared" si="53"/>
        <v>-1.8044374883174896E-09</v>
      </c>
      <c r="AY21" s="43">
        <v>126910.5</v>
      </c>
      <c r="AZ21" s="43">
        <v>3630494.05</v>
      </c>
      <c r="BA21" s="43">
        <v>590000</v>
      </c>
      <c r="BB21" s="43">
        <v>0</v>
      </c>
      <c r="BC21" s="43">
        <v>0</v>
      </c>
      <c r="BD21" s="43">
        <v>0</v>
      </c>
      <c r="BE21" s="43">
        <v>0</v>
      </c>
      <c r="BF21" s="43">
        <f t="shared" si="54"/>
        <v>4220494.05</v>
      </c>
      <c r="BG21" s="43">
        <v>0</v>
      </c>
      <c r="BH21" s="43">
        <v>79708</v>
      </c>
      <c r="BI21" s="43">
        <v>0</v>
      </c>
      <c r="BJ21" s="43">
        <v>15000</v>
      </c>
      <c r="BK21" s="43">
        <v>0</v>
      </c>
      <c r="BL21" s="43">
        <v>289809.1</v>
      </c>
      <c r="BM21" s="43">
        <v>766533.5</v>
      </c>
      <c r="BN21" s="43">
        <v>0</v>
      </c>
      <c r="BO21" s="43">
        <f t="shared" si="55"/>
        <v>1151050.6</v>
      </c>
      <c r="BP21" s="43">
        <v>1151050.6</v>
      </c>
      <c r="BQ21" s="43">
        <v>0</v>
      </c>
      <c r="BR21" s="43">
        <v>4220494.05</v>
      </c>
      <c r="BS21" s="43">
        <f t="shared" si="56"/>
        <v>0</v>
      </c>
      <c r="BT21" s="4">
        <v>11597490.49</v>
      </c>
      <c r="BU21" s="4">
        <v>8633610.85</v>
      </c>
      <c r="BV21" s="4">
        <v>184073.24</v>
      </c>
      <c r="BW21" s="4">
        <v>0</v>
      </c>
      <c r="BX21" s="4">
        <f t="shared" si="57"/>
        <v>20415174.58</v>
      </c>
      <c r="BY21" s="4">
        <v>10925526.47</v>
      </c>
      <c r="BZ21" s="4">
        <v>2597210.17</v>
      </c>
      <c r="CA21" s="4">
        <v>6892437.94</v>
      </c>
      <c r="CB21" s="4">
        <f t="shared" si="58"/>
        <v>20415174.580000002</v>
      </c>
      <c r="CC21" s="4">
        <f t="shared" si="59"/>
        <v>0</v>
      </c>
      <c r="CD21" s="74">
        <f t="shared" si="60"/>
        <v>732916.97</v>
      </c>
      <c r="CE21" s="76">
        <f t="shared" si="61"/>
        <v>634227.91</v>
      </c>
      <c r="CF21" s="76">
        <f t="shared" si="62"/>
        <v>3069443.4499999997</v>
      </c>
      <c r="CG21" s="76">
        <f t="shared" si="47"/>
        <v>7133641.21</v>
      </c>
      <c r="CH21" s="76">
        <f t="shared" si="63"/>
        <v>-105876.44999999995</v>
      </c>
      <c r="CI21" s="37">
        <f t="shared" si="64"/>
        <v>989393.8500000001</v>
      </c>
      <c r="CJ21" s="59">
        <f t="shared" si="36"/>
        <v>0.23877845672641404</v>
      </c>
      <c r="CK21" s="59">
        <f t="shared" si="37"/>
        <v>0.20662635436401347</v>
      </c>
      <c r="CL21" s="141">
        <f t="shared" si="38"/>
        <v>0.10274093529859486</v>
      </c>
      <c r="CM21" s="141">
        <f t="shared" si="39"/>
        <v>0.08890661743836148</v>
      </c>
      <c r="CN21" s="141">
        <f t="shared" si="40"/>
        <v>-0.014841852412142824</v>
      </c>
      <c r="CO21" s="141">
        <f t="shared" si="41"/>
        <v>0.13869408635425332</v>
      </c>
      <c r="CP21" s="141">
        <f t="shared" si="42"/>
        <v>0.11257926611633035</v>
      </c>
      <c r="CQ21" s="141">
        <f t="shared" si="43"/>
        <v>0.11257926611633035</v>
      </c>
      <c r="CR21" s="142">
        <f t="shared" si="44"/>
        <v>1.0594992894588942</v>
      </c>
      <c r="CS21" s="76">
        <f t="shared" si="45"/>
        <v>671964.0199999996</v>
      </c>
      <c r="CT21" s="80">
        <f t="shared" si="65"/>
        <v>9120399.849999998</v>
      </c>
      <c r="CU21" s="80">
        <f t="shared" si="66"/>
        <v>9853316.82</v>
      </c>
      <c r="CV21" s="80">
        <f t="shared" si="67"/>
        <v>732916.9700000025</v>
      </c>
      <c r="CW21" s="80">
        <f t="shared" si="68"/>
        <v>0</v>
      </c>
      <c r="CX21" s="80">
        <f t="shared" si="69"/>
        <v>732916.9700000025</v>
      </c>
      <c r="CY21" s="80">
        <f t="shared" si="70"/>
        <v>-362353.3299999975</v>
      </c>
      <c r="CZ21" s="80">
        <f t="shared" si="71"/>
        <v>3069443.4499999997</v>
      </c>
      <c r="DA21" s="80">
        <f t="shared" si="72"/>
        <v>1095270.3</v>
      </c>
      <c r="DB21" s="80">
        <f t="shared" si="73"/>
        <v>-2336526.479999997</v>
      </c>
      <c r="DC21" s="80">
        <f t="shared" si="74"/>
        <v>-2246320.9000000004</v>
      </c>
      <c r="DD21" s="80">
        <f t="shared" si="75"/>
        <v>-362353.3299999973</v>
      </c>
      <c r="DE21" s="80">
        <f t="shared" si="76"/>
        <v>3757912</v>
      </c>
      <c r="DF21" s="80">
        <f t="shared" si="77"/>
        <v>170.67920243840476</v>
      </c>
      <c r="DG21" s="80">
        <f t="shared" si="78"/>
        <v>-26.89267208534416</v>
      </c>
      <c r="DH21" s="80">
        <f t="shared" si="79"/>
        <v>954.511557023114</v>
      </c>
      <c r="DI21" s="81">
        <f t="shared" si="80"/>
        <v>779.640195580391</v>
      </c>
      <c r="DJ21" s="76">
        <f t="shared" si="81"/>
        <v>-593.478912877825</v>
      </c>
      <c r="DK21" s="147">
        <f t="shared" si="46"/>
        <v>-1741172.9099999992</v>
      </c>
      <c r="DL21" s="64"/>
      <c r="DM21" s="137"/>
    </row>
    <row r="22" spans="1:117" ht="12.75">
      <c r="A22" s="51" t="s">
        <v>14</v>
      </c>
      <c r="B22" s="42">
        <v>2790</v>
      </c>
      <c r="C22" s="38">
        <v>9219366</v>
      </c>
      <c r="D22" s="39">
        <v>3304.43</v>
      </c>
      <c r="E22" s="39">
        <v>103.7</v>
      </c>
      <c r="F22" s="128">
        <v>4</v>
      </c>
      <c r="G22" s="134">
        <v>1958600.1</v>
      </c>
      <c r="H22" s="42">
        <v>5954853.21</v>
      </c>
      <c r="I22" s="42">
        <v>118855.9</v>
      </c>
      <c r="J22" s="42">
        <v>0</v>
      </c>
      <c r="K22" s="42">
        <v>670438</v>
      </c>
      <c r="L22" s="42">
        <v>204024.9</v>
      </c>
      <c r="M22" s="43">
        <f t="shared" si="0"/>
        <v>874462.9</v>
      </c>
      <c r="N22" s="42">
        <v>100000</v>
      </c>
      <c r="O22" s="42">
        <v>320684.95</v>
      </c>
      <c r="P22" s="42">
        <v>688096.05</v>
      </c>
      <c r="Q22" s="42">
        <v>140.5</v>
      </c>
      <c r="R22" s="42">
        <v>589387.01</v>
      </c>
      <c r="S22" s="42">
        <v>0</v>
      </c>
      <c r="T22" s="42">
        <v>0</v>
      </c>
      <c r="U22" s="42">
        <v>0</v>
      </c>
      <c r="V22" s="42">
        <v>0</v>
      </c>
      <c r="W22" s="43">
        <f t="shared" si="48"/>
        <v>589387.01</v>
      </c>
      <c r="X22" s="42">
        <v>913073.65</v>
      </c>
      <c r="Y22" s="43">
        <f t="shared" si="49"/>
        <v>11518154.270000001</v>
      </c>
      <c r="Z22" s="42">
        <v>2305278.9</v>
      </c>
      <c r="AA22" s="42">
        <v>239146.5</v>
      </c>
      <c r="AB22" s="42">
        <v>29090.65</v>
      </c>
      <c r="AC22" s="42">
        <v>0</v>
      </c>
      <c r="AD22" s="42">
        <v>11139.5</v>
      </c>
      <c r="AE22" s="43">
        <f t="shared" si="50"/>
        <v>2584655.55</v>
      </c>
      <c r="AF22" s="42">
        <v>6181.85</v>
      </c>
      <c r="AG22" s="42">
        <v>478398.55</v>
      </c>
      <c r="AH22" s="42">
        <v>15000</v>
      </c>
      <c r="AI22" s="42">
        <v>7289900.51</v>
      </c>
      <c r="AJ22" s="42">
        <v>36835.75</v>
      </c>
      <c r="AK22" s="42">
        <v>61876.95</v>
      </c>
      <c r="AL22" s="42">
        <v>126397.95</v>
      </c>
      <c r="AM22" s="42">
        <v>0</v>
      </c>
      <c r="AN22" s="38">
        <v>9971.5</v>
      </c>
      <c r="AO22" s="38">
        <v>4265.95</v>
      </c>
      <c r="AP22" s="38">
        <v>0</v>
      </c>
      <c r="AQ22" s="38">
        <v>0</v>
      </c>
      <c r="AR22" s="38">
        <v>0</v>
      </c>
      <c r="AS22" s="4">
        <f t="shared" si="51"/>
        <v>14237.45</v>
      </c>
      <c r="AT22" s="38">
        <v>913073.65</v>
      </c>
      <c r="AU22" s="4">
        <f t="shared" si="52"/>
        <v>11511558.209999997</v>
      </c>
      <c r="AV22" s="38">
        <v>0</v>
      </c>
      <c r="AW22" s="38">
        <v>6596.06</v>
      </c>
      <c r="AX22" s="4">
        <f t="shared" si="53"/>
        <v>4.246430762577802E-09</v>
      </c>
      <c r="AY22" s="42">
        <v>108501.3</v>
      </c>
      <c r="AZ22" s="42">
        <v>1052975.35</v>
      </c>
      <c r="BA22" s="42">
        <v>0</v>
      </c>
      <c r="BB22" s="42">
        <v>2485</v>
      </c>
      <c r="BC22" s="42">
        <v>0</v>
      </c>
      <c r="BD22" s="42">
        <v>0</v>
      </c>
      <c r="BE22" s="42">
        <v>36000</v>
      </c>
      <c r="BF22" s="43">
        <f t="shared" si="54"/>
        <v>1091460.35</v>
      </c>
      <c r="BG22" s="42">
        <v>0</v>
      </c>
      <c r="BH22" s="42">
        <v>34830.05</v>
      </c>
      <c r="BI22" s="42">
        <v>0</v>
      </c>
      <c r="BJ22" s="42">
        <v>0</v>
      </c>
      <c r="BK22" s="42">
        <v>0</v>
      </c>
      <c r="BL22" s="42">
        <v>0</v>
      </c>
      <c r="BM22" s="42">
        <v>136410</v>
      </c>
      <c r="BN22" s="42">
        <v>0</v>
      </c>
      <c r="BO22" s="43">
        <f t="shared" si="55"/>
        <v>171240.05</v>
      </c>
      <c r="BP22" s="42">
        <v>168755.05</v>
      </c>
      <c r="BQ22" s="42">
        <v>0</v>
      </c>
      <c r="BR22" s="42">
        <v>1088975.35</v>
      </c>
      <c r="BS22" s="43">
        <f t="shared" si="56"/>
        <v>0</v>
      </c>
      <c r="BT22" s="38">
        <v>8164677.53</v>
      </c>
      <c r="BU22" s="38">
        <v>4426761.95</v>
      </c>
      <c r="BV22" s="38">
        <v>78828</v>
      </c>
      <c r="BW22" s="38">
        <v>0</v>
      </c>
      <c r="BX22" s="4">
        <f t="shared" si="57"/>
        <v>12670267.48</v>
      </c>
      <c r="BY22" s="38">
        <v>7594056</v>
      </c>
      <c r="BZ22" s="38">
        <v>1051804.66</v>
      </c>
      <c r="CA22" s="38">
        <v>4024406.82</v>
      </c>
      <c r="CB22" s="4">
        <f t="shared" si="58"/>
        <v>12670267.48</v>
      </c>
      <c r="CC22" s="4">
        <f t="shared" si="59"/>
        <v>0</v>
      </c>
      <c r="CD22" s="74">
        <f t="shared" si="60"/>
        <v>867866.84</v>
      </c>
      <c r="CE22" s="76">
        <f t="shared" si="61"/>
        <v>1443016.4000000001</v>
      </c>
      <c r="CF22" s="76">
        <f t="shared" si="62"/>
        <v>920220.3</v>
      </c>
      <c r="CG22" s="76">
        <f t="shared" si="47"/>
        <v>10584247.109999998</v>
      </c>
      <c r="CH22" s="76">
        <f t="shared" si="63"/>
        <v>-236041.35000000003</v>
      </c>
      <c r="CI22" s="37">
        <f t="shared" si="64"/>
        <v>434396.64999999997</v>
      </c>
      <c r="CJ22" s="59">
        <f t="shared" si="36"/>
        <v>0.9431076884524281</v>
      </c>
      <c r="CK22" s="59">
        <f t="shared" si="37"/>
        <v>1.568120590254312</v>
      </c>
      <c r="CL22" s="141">
        <f t="shared" si="38"/>
        <v>0.08199608635176699</v>
      </c>
      <c r="CM22" s="141">
        <f t="shared" si="39"/>
        <v>0.13633623487840132</v>
      </c>
      <c r="CN22" s="141">
        <f t="shared" si="40"/>
        <v>-0.022301194175350286</v>
      </c>
      <c r="CO22" s="141">
        <f t="shared" si="41"/>
        <v>0.04104180916085963</v>
      </c>
      <c r="CP22" s="141">
        <f t="shared" si="42"/>
        <v>0.16495487830515243</v>
      </c>
      <c r="CQ22" s="141">
        <f t="shared" si="43"/>
        <v>0.1264685084995027</v>
      </c>
      <c r="CR22" s="142">
        <f t="shared" si="44"/>
        <v>0.3954366215103309</v>
      </c>
      <c r="CS22" s="76">
        <f t="shared" si="45"/>
        <v>570621.5300000003</v>
      </c>
      <c r="CT22" s="80">
        <f t="shared" si="65"/>
        <v>10643691.370000001</v>
      </c>
      <c r="CU22" s="80">
        <f t="shared" si="66"/>
        <v>11511558.209999997</v>
      </c>
      <c r="CV22" s="80">
        <f t="shared" si="67"/>
        <v>867866.8399999961</v>
      </c>
      <c r="CW22" s="80">
        <f t="shared" si="68"/>
        <v>0</v>
      </c>
      <c r="CX22" s="80">
        <f t="shared" si="69"/>
        <v>867866.8399999961</v>
      </c>
      <c r="CY22" s="80">
        <f t="shared" si="70"/>
        <v>-6596.0600000038685</v>
      </c>
      <c r="CZ22" s="80">
        <f t="shared" si="71"/>
        <v>920220.3</v>
      </c>
      <c r="DA22" s="80">
        <f t="shared" si="72"/>
        <v>874462.9</v>
      </c>
      <c r="DB22" s="80">
        <f t="shared" si="73"/>
        <v>-52353.46000000389</v>
      </c>
      <c r="DC22" s="80">
        <f t="shared" si="74"/>
        <v>-1043217.95</v>
      </c>
      <c r="DD22" s="80">
        <f t="shared" si="75"/>
        <v>-6596.060000003781</v>
      </c>
      <c r="DE22" s="80">
        <f t="shared" si="76"/>
        <v>2573516.05</v>
      </c>
      <c r="DF22" s="80">
        <f t="shared" si="77"/>
        <v>204.52384587813629</v>
      </c>
      <c r="DG22" s="80">
        <f t="shared" si="78"/>
        <v>-84.60263440860216</v>
      </c>
      <c r="DH22" s="80">
        <f t="shared" si="79"/>
        <v>922.4071863799282</v>
      </c>
      <c r="DI22" s="81">
        <f t="shared" si="80"/>
        <v>329.8280645161291</v>
      </c>
      <c r="DJ22" s="76">
        <f t="shared" si="81"/>
        <v>-18.764681003585626</v>
      </c>
      <c r="DK22" s="147">
        <f t="shared" si="46"/>
        <v>-402355.13000000035</v>
      </c>
      <c r="DL22" s="67"/>
      <c r="DM22" s="68"/>
    </row>
    <row r="23" spans="1:117" ht="12.75">
      <c r="A23" s="52" t="s">
        <v>15</v>
      </c>
      <c r="B23" s="43">
        <v>246</v>
      </c>
      <c r="C23" s="4">
        <v>657883</v>
      </c>
      <c r="D23" s="34">
        <v>2674.32</v>
      </c>
      <c r="E23" s="34">
        <v>83.93</v>
      </c>
      <c r="F23" s="8">
        <v>8</v>
      </c>
      <c r="G23" s="133">
        <v>196765.2</v>
      </c>
      <c r="H23" s="43">
        <v>77958.7</v>
      </c>
      <c r="I23" s="43">
        <v>11965</v>
      </c>
      <c r="J23" s="43">
        <v>0</v>
      </c>
      <c r="K23" s="43">
        <v>17823.05</v>
      </c>
      <c r="L23" s="43">
        <v>546.8</v>
      </c>
      <c r="M23" s="43">
        <f t="shared" si="0"/>
        <v>18369.85</v>
      </c>
      <c r="N23" s="43">
        <v>50</v>
      </c>
      <c r="O23" s="43">
        <v>33248.15</v>
      </c>
      <c r="P23" s="43">
        <v>85390.85</v>
      </c>
      <c r="Q23" s="43">
        <v>543</v>
      </c>
      <c r="R23" s="43">
        <v>10111.15</v>
      </c>
      <c r="S23" s="43">
        <v>3474.3</v>
      </c>
      <c r="T23" s="43">
        <v>0</v>
      </c>
      <c r="U23" s="43">
        <v>0</v>
      </c>
      <c r="V23" s="43">
        <v>0</v>
      </c>
      <c r="W23" s="43">
        <f t="shared" si="48"/>
        <v>13585.45</v>
      </c>
      <c r="X23" s="43">
        <v>103069.5</v>
      </c>
      <c r="Y23" s="43">
        <f t="shared" si="49"/>
        <v>540945.7000000001</v>
      </c>
      <c r="Z23" s="43">
        <v>237459.9</v>
      </c>
      <c r="AA23" s="43">
        <v>0</v>
      </c>
      <c r="AB23" s="43">
        <v>1885.5</v>
      </c>
      <c r="AC23" s="43">
        <v>0</v>
      </c>
      <c r="AD23" s="43">
        <v>5297.5</v>
      </c>
      <c r="AE23" s="43">
        <f t="shared" si="50"/>
        <v>244642.9</v>
      </c>
      <c r="AF23" s="43">
        <v>0</v>
      </c>
      <c r="AG23" s="43">
        <v>20343.75</v>
      </c>
      <c r="AH23" s="43">
        <v>0</v>
      </c>
      <c r="AI23" s="43">
        <v>85031.05</v>
      </c>
      <c r="AJ23" s="43">
        <v>3474.3</v>
      </c>
      <c r="AK23" s="43">
        <v>34371.15</v>
      </c>
      <c r="AL23" s="43">
        <v>24243.9</v>
      </c>
      <c r="AM23" s="43">
        <v>571.65</v>
      </c>
      <c r="AN23" s="4">
        <v>0</v>
      </c>
      <c r="AO23" s="4">
        <v>7870.45</v>
      </c>
      <c r="AP23" s="4">
        <v>0</v>
      </c>
      <c r="AQ23" s="4">
        <v>0</v>
      </c>
      <c r="AR23" s="4">
        <v>0</v>
      </c>
      <c r="AS23" s="4">
        <f t="shared" si="51"/>
        <v>7870.45</v>
      </c>
      <c r="AT23" s="4">
        <v>104566.95</v>
      </c>
      <c r="AU23" s="4">
        <f t="shared" si="52"/>
        <v>525116.1</v>
      </c>
      <c r="AV23" s="4">
        <v>0</v>
      </c>
      <c r="AW23" s="4">
        <v>15829.6</v>
      </c>
      <c r="AX23" s="4">
        <f t="shared" si="53"/>
        <v>9.276845958083868E-11</v>
      </c>
      <c r="AY23" s="43">
        <v>0</v>
      </c>
      <c r="AZ23" s="43">
        <v>122027.75</v>
      </c>
      <c r="BA23" s="43">
        <v>0</v>
      </c>
      <c r="BB23" s="43">
        <v>0</v>
      </c>
      <c r="BC23" s="43">
        <v>0</v>
      </c>
      <c r="BD23" s="43">
        <v>0</v>
      </c>
      <c r="BE23" s="43">
        <v>0</v>
      </c>
      <c r="BF23" s="43">
        <f t="shared" si="54"/>
        <v>122027.75</v>
      </c>
      <c r="BG23" s="43">
        <v>23460.65</v>
      </c>
      <c r="BH23" s="43">
        <v>0</v>
      </c>
      <c r="BI23" s="43">
        <v>0</v>
      </c>
      <c r="BJ23" s="43">
        <v>0</v>
      </c>
      <c r="BK23" s="43">
        <v>0</v>
      </c>
      <c r="BL23" s="43">
        <v>0</v>
      </c>
      <c r="BM23" s="43">
        <v>63345.35</v>
      </c>
      <c r="BN23" s="43">
        <v>0</v>
      </c>
      <c r="BO23" s="43">
        <f t="shared" si="55"/>
        <v>86806</v>
      </c>
      <c r="BP23" s="43">
        <v>86806</v>
      </c>
      <c r="BQ23" s="43">
        <v>0</v>
      </c>
      <c r="BR23" s="43">
        <v>122027.75</v>
      </c>
      <c r="BS23" s="43">
        <f t="shared" si="56"/>
        <v>0</v>
      </c>
      <c r="BT23" s="4">
        <v>1441628.62</v>
      </c>
      <c r="BU23" s="4">
        <v>154331.15</v>
      </c>
      <c r="BV23" s="4">
        <v>0</v>
      </c>
      <c r="BW23" s="4">
        <v>0</v>
      </c>
      <c r="BX23" s="4">
        <f t="shared" si="57"/>
        <v>1595959.77</v>
      </c>
      <c r="BY23" s="4">
        <v>815365.75</v>
      </c>
      <c r="BZ23" s="4">
        <v>256758.65</v>
      </c>
      <c r="CA23" s="4">
        <v>523835.37</v>
      </c>
      <c r="CB23" s="4">
        <f t="shared" si="58"/>
        <v>1595959.77</v>
      </c>
      <c r="CC23" s="4">
        <f t="shared" si="59"/>
        <v>0</v>
      </c>
      <c r="CD23" s="74">
        <f t="shared" si="60"/>
        <v>2540.249999999998</v>
      </c>
      <c r="CE23" s="76">
        <f t="shared" si="61"/>
        <v>8255.25</v>
      </c>
      <c r="CF23" s="76">
        <f t="shared" si="62"/>
        <v>35221.75</v>
      </c>
      <c r="CG23" s="76">
        <f t="shared" si="47"/>
        <v>412107.04999999993</v>
      </c>
      <c r="CH23" s="76">
        <f t="shared" si="63"/>
        <v>-8378.75</v>
      </c>
      <c r="CI23" s="37">
        <f t="shared" si="64"/>
        <v>9444.3</v>
      </c>
      <c r="CJ23" s="59">
        <f t="shared" si="36"/>
        <v>0.07212162939093027</v>
      </c>
      <c r="CK23" s="59">
        <f t="shared" si="37"/>
        <v>0.23437932527486569</v>
      </c>
      <c r="CL23" s="141">
        <f t="shared" si="38"/>
        <v>0.006164053733125892</v>
      </c>
      <c r="CM23" s="141">
        <f t="shared" si="39"/>
        <v>0.02003180969604864</v>
      </c>
      <c r="CN23" s="141">
        <f t="shared" si="40"/>
        <v>-0.02033148911187033</v>
      </c>
      <c r="CO23" s="141">
        <f t="shared" si="41"/>
        <v>0.022917103699148074</v>
      </c>
      <c r="CP23" s="141">
        <f t="shared" si="42"/>
        <v>0.10636794228174708</v>
      </c>
      <c r="CQ23" s="141">
        <f t="shared" si="43"/>
        <v>0.1032017764807384</v>
      </c>
      <c r="CR23" s="142">
        <f t="shared" si="44"/>
        <v>75.86237485236668</v>
      </c>
      <c r="CS23" s="76">
        <f t="shared" si="45"/>
        <v>626262.8700000001</v>
      </c>
      <c r="CT23" s="80">
        <f t="shared" si="65"/>
        <v>522575.8500000001</v>
      </c>
      <c r="CU23" s="80">
        <f t="shared" si="66"/>
        <v>525116.1</v>
      </c>
      <c r="CV23" s="80">
        <f t="shared" si="67"/>
        <v>2540.2499999998836</v>
      </c>
      <c r="CW23" s="80">
        <f t="shared" si="68"/>
        <v>0</v>
      </c>
      <c r="CX23" s="80">
        <f t="shared" si="69"/>
        <v>2540.2499999998836</v>
      </c>
      <c r="CY23" s="80">
        <f t="shared" si="70"/>
        <v>-15829.600000000115</v>
      </c>
      <c r="CZ23" s="80">
        <f t="shared" si="71"/>
        <v>35221.75</v>
      </c>
      <c r="DA23" s="80">
        <f t="shared" si="72"/>
        <v>18369.85</v>
      </c>
      <c r="DB23" s="80">
        <f t="shared" si="73"/>
        <v>-32681.500000000116</v>
      </c>
      <c r="DC23" s="80">
        <f t="shared" si="74"/>
        <v>-105175.85</v>
      </c>
      <c r="DD23" s="80">
        <f t="shared" si="75"/>
        <v>-15829.600000000122</v>
      </c>
      <c r="DE23" s="80">
        <f t="shared" si="76"/>
        <v>239345.4</v>
      </c>
      <c r="DF23" s="80">
        <f t="shared" si="77"/>
        <v>2545.784024390244</v>
      </c>
      <c r="DG23" s="80">
        <f t="shared" si="78"/>
        <v>-34.0599593495935</v>
      </c>
      <c r="DH23" s="80">
        <f t="shared" si="79"/>
        <v>972.9487804878048</v>
      </c>
      <c r="DI23" s="81">
        <f t="shared" si="80"/>
        <v>143.1778455284553</v>
      </c>
      <c r="DJ23" s="76">
        <f t="shared" si="81"/>
        <v>-132.85162601626064</v>
      </c>
      <c r="DK23" s="147">
        <f t="shared" si="46"/>
        <v>369504.22</v>
      </c>
      <c r="DL23" s="64"/>
      <c r="DM23" s="65"/>
    </row>
    <row r="24" spans="1:117" ht="12.75">
      <c r="A24" s="51" t="s">
        <v>16</v>
      </c>
      <c r="B24" s="42">
        <v>3709</v>
      </c>
      <c r="C24" s="38">
        <v>11250123</v>
      </c>
      <c r="D24" s="39">
        <v>3033.2</v>
      </c>
      <c r="E24" s="39">
        <v>95.19</v>
      </c>
      <c r="F24" s="128">
        <v>2</v>
      </c>
      <c r="G24" s="134">
        <v>1438819.25</v>
      </c>
      <c r="H24" s="42">
        <v>1143316.65</v>
      </c>
      <c r="I24" s="42">
        <v>68524.25</v>
      </c>
      <c r="J24" s="42">
        <v>0</v>
      </c>
      <c r="K24" s="42">
        <v>445302.1</v>
      </c>
      <c r="L24" s="42">
        <v>5846.4</v>
      </c>
      <c r="M24" s="43">
        <f t="shared" si="0"/>
        <v>451148.5</v>
      </c>
      <c r="N24" s="42">
        <v>0</v>
      </c>
      <c r="O24" s="42">
        <v>240222.2</v>
      </c>
      <c r="P24" s="42">
        <v>1053685.75</v>
      </c>
      <c r="Q24" s="42">
        <v>31503.4</v>
      </c>
      <c r="R24" s="42">
        <v>45663.65</v>
      </c>
      <c r="S24" s="42">
        <v>3551.55</v>
      </c>
      <c r="T24" s="42">
        <v>0</v>
      </c>
      <c r="U24" s="42">
        <v>0</v>
      </c>
      <c r="V24" s="42">
        <v>0</v>
      </c>
      <c r="W24" s="43">
        <f t="shared" si="48"/>
        <v>49215.200000000004</v>
      </c>
      <c r="X24" s="42">
        <v>798132.8</v>
      </c>
      <c r="Y24" s="43">
        <f t="shared" si="49"/>
        <v>5274568</v>
      </c>
      <c r="Z24" s="42">
        <v>2510515.9</v>
      </c>
      <c r="AA24" s="42">
        <v>174629.85</v>
      </c>
      <c r="AB24" s="42">
        <v>17685.85</v>
      </c>
      <c r="AC24" s="42">
        <v>0</v>
      </c>
      <c r="AD24" s="42">
        <v>16917.4</v>
      </c>
      <c r="AE24" s="43">
        <f t="shared" si="50"/>
        <v>2719749</v>
      </c>
      <c r="AF24" s="42">
        <v>0</v>
      </c>
      <c r="AG24" s="42">
        <v>40391.9</v>
      </c>
      <c r="AH24" s="42">
        <v>0</v>
      </c>
      <c r="AI24" s="42">
        <v>1117614.65</v>
      </c>
      <c r="AJ24" s="42">
        <v>47138.25</v>
      </c>
      <c r="AK24" s="42">
        <v>130637</v>
      </c>
      <c r="AL24" s="42">
        <v>169635.45</v>
      </c>
      <c r="AM24" s="42">
        <v>39245.5</v>
      </c>
      <c r="AN24" s="38">
        <v>738.4</v>
      </c>
      <c r="AO24" s="38">
        <v>0</v>
      </c>
      <c r="AP24" s="38">
        <v>0</v>
      </c>
      <c r="AQ24" s="38">
        <v>0</v>
      </c>
      <c r="AR24" s="38">
        <v>0</v>
      </c>
      <c r="AS24" s="4">
        <f t="shared" si="51"/>
        <v>738.4</v>
      </c>
      <c r="AT24" s="38">
        <v>798132.8</v>
      </c>
      <c r="AU24" s="4">
        <f t="shared" si="52"/>
        <v>5063282.950000001</v>
      </c>
      <c r="AV24" s="38">
        <v>0</v>
      </c>
      <c r="AW24" s="38">
        <v>211285.05</v>
      </c>
      <c r="AX24" s="4">
        <f t="shared" si="53"/>
        <v>-1.1059455573558807E-09</v>
      </c>
      <c r="AY24" s="42">
        <v>1660.35</v>
      </c>
      <c r="AZ24" s="42">
        <v>822835.25</v>
      </c>
      <c r="BA24" s="42">
        <v>0</v>
      </c>
      <c r="BB24" s="42">
        <v>36847</v>
      </c>
      <c r="BC24" s="42">
        <v>807410.3</v>
      </c>
      <c r="BD24" s="42">
        <v>0</v>
      </c>
      <c r="BE24" s="42">
        <v>123217.55</v>
      </c>
      <c r="BF24" s="43">
        <f t="shared" si="54"/>
        <v>1790310.1</v>
      </c>
      <c r="BG24" s="42">
        <v>0</v>
      </c>
      <c r="BH24" s="42">
        <v>141658.45</v>
      </c>
      <c r="BI24" s="42">
        <v>0</v>
      </c>
      <c r="BJ24" s="42">
        <v>2500</v>
      </c>
      <c r="BK24" s="42">
        <v>0</v>
      </c>
      <c r="BL24" s="42">
        <v>0</v>
      </c>
      <c r="BM24" s="42">
        <v>162220</v>
      </c>
      <c r="BN24" s="42">
        <v>0</v>
      </c>
      <c r="BO24" s="43">
        <f t="shared" si="55"/>
        <v>306378.45</v>
      </c>
      <c r="BP24" s="42">
        <v>306378.45</v>
      </c>
      <c r="BQ24" s="42">
        <v>0</v>
      </c>
      <c r="BR24" s="42">
        <v>1790310.1</v>
      </c>
      <c r="BS24" s="43">
        <f t="shared" si="56"/>
        <v>0</v>
      </c>
      <c r="BT24" s="38">
        <v>2597534.33</v>
      </c>
      <c r="BU24" s="38">
        <v>6298974.5</v>
      </c>
      <c r="BV24" s="38">
        <v>240636.3</v>
      </c>
      <c r="BW24" s="38">
        <v>0</v>
      </c>
      <c r="BX24" s="4">
        <f t="shared" si="57"/>
        <v>9137145.13</v>
      </c>
      <c r="BY24" s="38">
        <v>3599653.28</v>
      </c>
      <c r="BZ24" s="38">
        <v>4401356.65</v>
      </c>
      <c r="CA24" s="38">
        <v>1136135.2</v>
      </c>
      <c r="CB24" s="4">
        <f t="shared" si="58"/>
        <v>9137145.129999999</v>
      </c>
      <c r="CC24" s="4">
        <f t="shared" si="59"/>
        <v>0</v>
      </c>
      <c r="CD24" s="74">
        <f t="shared" si="60"/>
        <v>239863.45</v>
      </c>
      <c r="CE24" s="76">
        <f t="shared" si="61"/>
        <v>288340.25</v>
      </c>
      <c r="CF24" s="76">
        <f t="shared" si="62"/>
        <v>1483931.6500000001</v>
      </c>
      <c r="CG24" s="76">
        <f t="shared" si="47"/>
        <v>4225166.250000001</v>
      </c>
      <c r="CH24" s="76">
        <f t="shared" si="63"/>
        <v>29792.699999999997</v>
      </c>
      <c r="CI24" s="37">
        <f t="shared" si="64"/>
        <v>475094.8</v>
      </c>
      <c r="CJ24" s="59">
        <f t="shared" si="36"/>
        <v>0.16164049739083333</v>
      </c>
      <c r="CK24" s="59">
        <f t="shared" si="37"/>
        <v>0.1943083092809564</v>
      </c>
      <c r="CL24" s="141">
        <f t="shared" si="38"/>
        <v>0.05677018034497458</v>
      </c>
      <c r="CM24" s="141">
        <f t="shared" si="39"/>
        <v>0.06824352769550783</v>
      </c>
      <c r="CN24" s="141">
        <f t="shared" si="40"/>
        <v>0.007051249166822723</v>
      </c>
      <c r="CO24" s="141">
        <f t="shared" si="41"/>
        <v>0.1124440487992632</v>
      </c>
      <c r="CP24" s="141">
        <f t="shared" si="42"/>
        <v>0.06683559692171535</v>
      </c>
      <c r="CQ24" s="141">
        <f t="shared" si="43"/>
        <v>0.06596947937096849</v>
      </c>
      <c r="CR24" s="142">
        <f t="shared" si="44"/>
        <v>-3.475473680833667</v>
      </c>
      <c r="CS24" s="76">
        <f t="shared" si="45"/>
        <v>-1002118.9499999997</v>
      </c>
      <c r="CT24" s="80">
        <f t="shared" si="65"/>
        <v>4823419.5</v>
      </c>
      <c r="CU24" s="80">
        <f t="shared" si="66"/>
        <v>5063282.950000001</v>
      </c>
      <c r="CV24" s="80">
        <f t="shared" si="67"/>
        <v>239863.45000000112</v>
      </c>
      <c r="CW24" s="80">
        <f t="shared" si="68"/>
        <v>0</v>
      </c>
      <c r="CX24" s="80">
        <f t="shared" si="69"/>
        <v>239863.45000000112</v>
      </c>
      <c r="CY24" s="80">
        <f t="shared" si="70"/>
        <v>-211285.04999999885</v>
      </c>
      <c r="CZ24" s="80">
        <f t="shared" si="71"/>
        <v>1483931.6500000001</v>
      </c>
      <c r="DA24" s="80">
        <f t="shared" si="72"/>
        <v>451148.5</v>
      </c>
      <c r="DB24" s="80">
        <f t="shared" si="73"/>
        <v>-1244068.199999999</v>
      </c>
      <c r="DC24" s="80">
        <f t="shared" si="74"/>
        <v>-757526.95</v>
      </c>
      <c r="DD24" s="80">
        <f t="shared" si="75"/>
        <v>-211285.04999999888</v>
      </c>
      <c r="DE24" s="80">
        <f t="shared" si="76"/>
        <v>2702831.6</v>
      </c>
      <c r="DF24" s="80">
        <f t="shared" si="77"/>
        <v>-270.1857508762469</v>
      </c>
      <c r="DG24" s="80">
        <f t="shared" si="78"/>
        <v>8.032542464276084</v>
      </c>
      <c r="DH24" s="80">
        <f t="shared" si="79"/>
        <v>728.7224588837962</v>
      </c>
      <c r="DI24" s="81">
        <f t="shared" si="80"/>
        <v>400.08941763278517</v>
      </c>
      <c r="DJ24" s="76">
        <f t="shared" si="81"/>
        <v>-335.4187651658126</v>
      </c>
      <c r="DK24" s="147">
        <f t="shared" si="46"/>
        <v>-5162839.3</v>
      </c>
      <c r="DL24" s="67"/>
      <c r="DM24" s="68"/>
    </row>
    <row r="25" spans="1:117" ht="12.75">
      <c r="A25" s="52" t="s">
        <v>36</v>
      </c>
      <c r="B25" s="43">
        <v>1810</v>
      </c>
      <c r="C25" s="4">
        <v>4451273</v>
      </c>
      <c r="D25" s="34">
        <v>2459.27</v>
      </c>
      <c r="E25" s="34">
        <v>77.18</v>
      </c>
      <c r="F25" s="8">
        <v>2</v>
      </c>
      <c r="G25" s="133">
        <v>983796.85</v>
      </c>
      <c r="H25" s="43">
        <v>1472195.62</v>
      </c>
      <c r="I25" s="43">
        <v>22333.4</v>
      </c>
      <c r="J25" s="43">
        <v>1146.8</v>
      </c>
      <c r="K25" s="43">
        <v>232300</v>
      </c>
      <c r="L25" s="43">
        <v>0</v>
      </c>
      <c r="M25" s="43">
        <f t="shared" si="0"/>
        <v>232300</v>
      </c>
      <c r="N25" s="43">
        <v>183044.5</v>
      </c>
      <c r="O25" s="43">
        <v>93137.4</v>
      </c>
      <c r="P25" s="43">
        <v>451610.05</v>
      </c>
      <c r="Q25" s="43">
        <v>6558.6</v>
      </c>
      <c r="R25" s="43">
        <v>307482.02</v>
      </c>
      <c r="S25" s="43">
        <v>0</v>
      </c>
      <c r="T25" s="43">
        <v>0</v>
      </c>
      <c r="U25" s="43">
        <v>0</v>
      </c>
      <c r="V25" s="43">
        <v>0</v>
      </c>
      <c r="W25" s="43">
        <f t="shared" si="48"/>
        <v>307482.02</v>
      </c>
      <c r="X25" s="43">
        <v>287500.85</v>
      </c>
      <c r="Y25" s="43">
        <f t="shared" si="49"/>
        <v>4041106.0899999994</v>
      </c>
      <c r="Z25" s="43">
        <v>1202178.05</v>
      </c>
      <c r="AA25" s="43">
        <v>15031.95</v>
      </c>
      <c r="AB25" s="43">
        <v>13664.5</v>
      </c>
      <c r="AC25" s="43">
        <v>0</v>
      </c>
      <c r="AD25" s="43">
        <v>6360</v>
      </c>
      <c r="AE25" s="43">
        <f t="shared" si="50"/>
        <v>1237234.5</v>
      </c>
      <c r="AF25" s="43">
        <v>0</v>
      </c>
      <c r="AG25" s="43">
        <v>27571.9</v>
      </c>
      <c r="AH25" s="43">
        <v>0</v>
      </c>
      <c r="AI25" s="43">
        <v>1827817.24</v>
      </c>
      <c r="AJ25" s="43">
        <v>23714.75</v>
      </c>
      <c r="AK25" s="43">
        <v>65744.55</v>
      </c>
      <c r="AL25" s="43">
        <v>60702.25</v>
      </c>
      <c r="AM25" s="43">
        <v>6559.5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f t="shared" si="51"/>
        <v>0</v>
      </c>
      <c r="AT25" s="4">
        <v>287500.85</v>
      </c>
      <c r="AU25" s="4">
        <f t="shared" si="52"/>
        <v>3536845.539999999</v>
      </c>
      <c r="AV25" s="4">
        <v>0</v>
      </c>
      <c r="AW25" s="4">
        <v>504260.55</v>
      </c>
      <c r="AX25" s="4">
        <f t="shared" si="53"/>
        <v>0</v>
      </c>
      <c r="AY25" s="43">
        <v>0</v>
      </c>
      <c r="AZ25" s="43">
        <v>957272.32</v>
      </c>
      <c r="BA25" s="43">
        <v>0</v>
      </c>
      <c r="BB25" s="43">
        <v>0</v>
      </c>
      <c r="BC25" s="43">
        <v>0</v>
      </c>
      <c r="BD25" s="43">
        <v>0</v>
      </c>
      <c r="BE25" s="43">
        <v>3333.45</v>
      </c>
      <c r="BF25" s="43">
        <f t="shared" si="54"/>
        <v>960605.7699999999</v>
      </c>
      <c r="BG25" s="43">
        <v>0</v>
      </c>
      <c r="BH25" s="43">
        <v>24363.55</v>
      </c>
      <c r="BI25" s="43">
        <v>0</v>
      </c>
      <c r="BJ25" s="43">
        <v>0</v>
      </c>
      <c r="BK25" s="43">
        <v>0</v>
      </c>
      <c r="BL25" s="43">
        <v>0</v>
      </c>
      <c r="BM25" s="43">
        <v>38366</v>
      </c>
      <c r="BN25" s="43">
        <v>0</v>
      </c>
      <c r="BO25" s="43">
        <f t="shared" si="55"/>
        <v>62729.55</v>
      </c>
      <c r="BP25" s="43">
        <v>62729.55</v>
      </c>
      <c r="BQ25" s="43">
        <v>0</v>
      </c>
      <c r="BR25" s="43">
        <v>960605.77</v>
      </c>
      <c r="BS25" s="43">
        <f t="shared" si="56"/>
        <v>0</v>
      </c>
      <c r="BT25" s="4">
        <v>1414257.64</v>
      </c>
      <c r="BU25" s="4">
        <v>2090713.43</v>
      </c>
      <c r="BV25" s="4">
        <v>2532.85</v>
      </c>
      <c r="BW25" s="4">
        <v>369552.16</v>
      </c>
      <c r="BX25" s="4">
        <f t="shared" si="57"/>
        <v>3877056.08</v>
      </c>
      <c r="BY25" s="4">
        <v>2025093.18</v>
      </c>
      <c r="BZ25" s="4">
        <v>1851962.9</v>
      </c>
      <c r="CA25" s="4">
        <v>0</v>
      </c>
      <c r="CB25" s="4">
        <f t="shared" si="58"/>
        <v>3877056.08</v>
      </c>
      <c r="CC25" s="4">
        <f t="shared" si="59"/>
        <v>0</v>
      </c>
      <c r="CD25" s="74">
        <f t="shared" si="60"/>
        <v>-271960.55</v>
      </c>
      <c r="CE25" s="76">
        <f t="shared" si="61"/>
        <v>35521.47000000003</v>
      </c>
      <c r="CF25" s="76">
        <f t="shared" si="62"/>
        <v>897876.22</v>
      </c>
      <c r="CG25" s="76">
        <f t="shared" si="47"/>
        <v>3242785.189999999</v>
      </c>
      <c r="CH25" s="76">
        <f t="shared" si="63"/>
        <v>-5238.5</v>
      </c>
      <c r="CI25" s="37">
        <f t="shared" si="64"/>
        <v>227061.5</v>
      </c>
      <c r="CJ25" s="59">
        <f t="shared" si="36"/>
        <v>-0.30289314266503237</v>
      </c>
      <c r="CK25" s="59">
        <f t="shared" si="37"/>
        <v>0.039561655837148726</v>
      </c>
      <c r="CL25" s="141">
        <f t="shared" si="38"/>
        <v>-0.0838663476195289</v>
      </c>
      <c r="CM25" s="141">
        <f t="shared" si="39"/>
        <v>0.010954000317239651</v>
      </c>
      <c r="CN25" s="141">
        <f t="shared" si="40"/>
        <v>-0.0016154323191540176</v>
      </c>
      <c r="CO25" s="141">
        <f t="shared" si="41"/>
        <v>0.07002051838037415</v>
      </c>
      <c r="CP25" s="141">
        <f t="shared" si="42"/>
        <v>0.09999942187161615</v>
      </c>
      <c r="CQ25" s="141">
        <f t="shared" si="43"/>
        <v>0.09999942187161615</v>
      </c>
      <c r="CR25" s="142">
        <f t="shared" si="44"/>
        <v>-17.196234840506307</v>
      </c>
      <c r="CS25" s="76">
        <f t="shared" si="45"/>
        <v>-610835.54</v>
      </c>
      <c r="CT25" s="80">
        <f t="shared" si="65"/>
        <v>3808806.0899999994</v>
      </c>
      <c r="CU25" s="80">
        <f t="shared" si="66"/>
        <v>3536845.539999999</v>
      </c>
      <c r="CV25" s="80">
        <f t="shared" si="67"/>
        <v>-271960.5500000003</v>
      </c>
      <c r="CW25" s="80">
        <f t="shared" si="68"/>
        <v>0</v>
      </c>
      <c r="CX25" s="80">
        <f t="shared" si="69"/>
        <v>-271960.5500000003</v>
      </c>
      <c r="CY25" s="80">
        <f t="shared" si="70"/>
        <v>-504260.5500000003</v>
      </c>
      <c r="CZ25" s="80">
        <f t="shared" si="71"/>
        <v>897876.22</v>
      </c>
      <c r="DA25" s="80">
        <f t="shared" si="72"/>
        <v>232300</v>
      </c>
      <c r="DB25" s="80">
        <f t="shared" si="73"/>
        <v>-1169836.7700000003</v>
      </c>
      <c r="DC25" s="80">
        <f t="shared" si="74"/>
        <v>-295029.55</v>
      </c>
      <c r="DD25" s="80">
        <f t="shared" si="75"/>
        <v>-504260.5500000003</v>
      </c>
      <c r="DE25" s="80">
        <f t="shared" si="76"/>
        <v>1230874.5</v>
      </c>
      <c r="DF25" s="80">
        <f t="shared" si="77"/>
        <v>-337.4781988950276</v>
      </c>
      <c r="DG25" s="80">
        <f t="shared" si="78"/>
        <v>-2.8941988950276243</v>
      </c>
      <c r="DH25" s="80">
        <f t="shared" si="79"/>
        <v>680.0411602209945</v>
      </c>
      <c r="DI25" s="81">
        <f t="shared" si="80"/>
        <v>496.0642099447514</v>
      </c>
      <c r="DJ25" s="76">
        <f t="shared" si="81"/>
        <v>-646.3186574585636</v>
      </c>
      <c r="DK25" s="147">
        <f t="shared" si="46"/>
        <v>-2460265.59</v>
      </c>
      <c r="DL25" s="64"/>
      <c r="DM25" s="65"/>
    </row>
    <row r="26" spans="1:117" ht="12.75">
      <c r="A26" s="51" t="s">
        <v>17</v>
      </c>
      <c r="B26" s="42">
        <v>443</v>
      </c>
      <c r="C26" s="38">
        <v>1098547</v>
      </c>
      <c r="D26" s="39">
        <v>2479.79</v>
      </c>
      <c r="E26" s="39">
        <v>77.82</v>
      </c>
      <c r="F26" s="128">
        <v>8</v>
      </c>
      <c r="G26" s="134">
        <v>519778.4</v>
      </c>
      <c r="H26" s="42">
        <v>189573.19</v>
      </c>
      <c r="I26" s="42">
        <v>2778.25</v>
      </c>
      <c r="J26" s="42">
        <v>0</v>
      </c>
      <c r="K26" s="42">
        <v>79156.5</v>
      </c>
      <c r="L26" s="42">
        <v>0</v>
      </c>
      <c r="M26" s="43">
        <f t="shared" si="0"/>
        <v>79156.5</v>
      </c>
      <c r="N26" s="42">
        <v>0</v>
      </c>
      <c r="O26" s="42">
        <v>54638.35</v>
      </c>
      <c r="P26" s="42">
        <v>150738.15</v>
      </c>
      <c r="Q26" s="42">
        <v>0</v>
      </c>
      <c r="R26" s="42">
        <v>22865.3</v>
      </c>
      <c r="S26" s="42">
        <v>0</v>
      </c>
      <c r="T26" s="42">
        <v>88000</v>
      </c>
      <c r="U26" s="42">
        <v>0</v>
      </c>
      <c r="V26" s="42">
        <v>0</v>
      </c>
      <c r="W26" s="43">
        <f t="shared" si="48"/>
        <v>110865.3</v>
      </c>
      <c r="X26" s="42">
        <v>17097.3</v>
      </c>
      <c r="Y26" s="43">
        <f t="shared" si="49"/>
        <v>1124625.4400000002</v>
      </c>
      <c r="Z26" s="42">
        <v>407828.25</v>
      </c>
      <c r="AA26" s="42">
        <v>7890.15</v>
      </c>
      <c r="AB26" s="42">
        <v>740.5</v>
      </c>
      <c r="AC26" s="42">
        <v>0</v>
      </c>
      <c r="AD26" s="42">
        <v>2300</v>
      </c>
      <c r="AE26" s="43">
        <f t="shared" si="50"/>
        <v>418758.9</v>
      </c>
      <c r="AF26" s="42">
        <v>130</v>
      </c>
      <c r="AG26" s="42">
        <v>79664.65</v>
      </c>
      <c r="AH26" s="42">
        <v>0</v>
      </c>
      <c r="AI26" s="42">
        <v>486169.66</v>
      </c>
      <c r="AJ26" s="42">
        <v>5760.05</v>
      </c>
      <c r="AK26" s="42">
        <v>65450.55</v>
      </c>
      <c r="AL26" s="42">
        <v>53551.1</v>
      </c>
      <c r="AM26" s="42">
        <v>720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4">
        <f t="shared" si="51"/>
        <v>0</v>
      </c>
      <c r="AT26" s="38">
        <v>15711.5</v>
      </c>
      <c r="AU26" s="4">
        <f t="shared" si="52"/>
        <v>1125916.4100000001</v>
      </c>
      <c r="AV26" s="38">
        <v>1290.97</v>
      </c>
      <c r="AW26" s="38">
        <v>0</v>
      </c>
      <c r="AX26" s="4">
        <f t="shared" si="53"/>
        <v>2.7966962079517543E-11</v>
      </c>
      <c r="AY26" s="42">
        <v>0</v>
      </c>
      <c r="AZ26" s="42">
        <v>502507.45</v>
      </c>
      <c r="BA26" s="42">
        <v>0</v>
      </c>
      <c r="BB26" s="42">
        <v>0</v>
      </c>
      <c r="BC26" s="42">
        <v>0</v>
      </c>
      <c r="BD26" s="42">
        <v>0</v>
      </c>
      <c r="BE26" s="42">
        <v>0</v>
      </c>
      <c r="BF26" s="43">
        <f t="shared" si="54"/>
        <v>502507.45</v>
      </c>
      <c r="BG26" s="42">
        <v>0</v>
      </c>
      <c r="BH26" s="42">
        <v>0</v>
      </c>
      <c r="BI26" s="42">
        <v>0</v>
      </c>
      <c r="BJ26" s="42">
        <v>65000</v>
      </c>
      <c r="BK26" s="42">
        <v>0</v>
      </c>
      <c r="BL26" s="42">
        <v>0</v>
      </c>
      <c r="BM26" s="42">
        <v>436053</v>
      </c>
      <c r="BN26" s="42">
        <v>0</v>
      </c>
      <c r="BO26" s="43">
        <f t="shared" si="55"/>
        <v>501053</v>
      </c>
      <c r="BP26" s="42">
        <v>501053</v>
      </c>
      <c r="BQ26" s="42">
        <v>0</v>
      </c>
      <c r="BR26" s="42">
        <v>502507.45</v>
      </c>
      <c r="BS26" s="43">
        <f t="shared" si="56"/>
        <v>0</v>
      </c>
      <c r="BT26" s="38">
        <v>1699074.93</v>
      </c>
      <c r="BU26" s="38">
        <v>798066.4</v>
      </c>
      <c r="BV26" s="38">
        <v>66064.8</v>
      </c>
      <c r="BW26" s="38">
        <v>0</v>
      </c>
      <c r="BX26" s="4">
        <f t="shared" si="57"/>
        <v>2563206.13</v>
      </c>
      <c r="BY26" s="38">
        <v>1025422.95</v>
      </c>
      <c r="BZ26" s="38">
        <v>1468099.5</v>
      </c>
      <c r="CA26" s="38">
        <v>69683.68</v>
      </c>
      <c r="CB26" s="4">
        <f t="shared" si="58"/>
        <v>2563206.1300000004</v>
      </c>
      <c r="CC26" s="4">
        <f t="shared" si="59"/>
        <v>0</v>
      </c>
      <c r="CD26" s="74">
        <f t="shared" si="60"/>
        <v>80447.47</v>
      </c>
      <c r="CE26" s="76">
        <f t="shared" si="61"/>
        <v>191312.77000000002</v>
      </c>
      <c r="CF26" s="76">
        <f t="shared" si="62"/>
        <v>1454.4500000000116</v>
      </c>
      <c r="CG26" s="76">
        <f t="shared" si="47"/>
        <v>1109484.9100000001</v>
      </c>
      <c r="CH26" s="76">
        <f t="shared" si="63"/>
        <v>-76886.4</v>
      </c>
      <c r="CI26" s="37">
        <f t="shared" si="64"/>
        <v>2270.100000000006</v>
      </c>
      <c r="CJ26" s="59">
        <f t="shared" si="36"/>
        <v>55.31126542679319</v>
      </c>
      <c r="CK26" s="59">
        <f t="shared" si="37"/>
        <v>131.53616143559316</v>
      </c>
      <c r="CL26" s="141">
        <f t="shared" si="38"/>
        <v>0.07250884556870628</v>
      </c>
      <c r="CM26" s="141">
        <f t="shared" si="39"/>
        <v>0.17243386392700014</v>
      </c>
      <c r="CN26" s="141">
        <f t="shared" si="40"/>
        <v>-0.0692991849704382</v>
      </c>
      <c r="CO26" s="141">
        <f t="shared" si="41"/>
        <v>0.0020460846105604135</v>
      </c>
      <c r="CP26" s="141">
        <f t="shared" si="42"/>
        <v>0.09023533243375201</v>
      </c>
      <c r="CQ26" s="141">
        <f t="shared" si="43"/>
        <v>0.09023533243375201</v>
      </c>
      <c r="CR26" s="142">
        <f t="shared" si="44"/>
        <v>3.5212076015626135</v>
      </c>
      <c r="CS26" s="76">
        <f t="shared" si="45"/>
        <v>673651.98</v>
      </c>
      <c r="CT26" s="80">
        <f t="shared" si="65"/>
        <v>1045468.9400000002</v>
      </c>
      <c r="CU26" s="80">
        <f t="shared" si="66"/>
        <v>1125916.4100000001</v>
      </c>
      <c r="CV26" s="80">
        <f t="shared" si="67"/>
        <v>80447.46999999997</v>
      </c>
      <c r="CW26" s="80">
        <f t="shared" si="68"/>
        <v>0</v>
      </c>
      <c r="CX26" s="80">
        <f t="shared" si="69"/>
        <v>80447.46999999997</v>
      </c>
      <c r="CY26" s="80">
        <f t="shared" si="70"/>
        <v>1290.969999999972</v>
      </c>
      <c r="CZ26" s="80">
        <f t="shared" si="71"/>
        <v>1454.4500000000116</v>
      </c>
      <c r="DA26" s="80">
        <f t="shared" si="72"/>
        <v>79156.5</v>
      </c>
      <c r="DB26" s="80">
        <f t="shared" si="73"/>
        <v>78993.01999999996</v>
      </c>
      <c r="DC26" s="80">
        <f t="shared" si="74"/>
        <v>-580209.5</v>
      </c>
      <c r="DD26" s="80">
        <f t="shared" si="75"/>
        <v>1290.969999999972</v>
      </c>
      <c r="DE26" s="80">
        <f t="shared" si="76"/>
        <v>416458.9</v>
      </c>
      <c r="DF26" s="80">
        <f t="shared" si="77"/>
        <v>1520.6590970654627</v>
      </c>
      <c r="DG26" s="80">
        <f t="shared" si="78"/>
        <v>-173.55846501128667</v>
      </c>
      <c r="DH26" s="80">
        <f t="shared" si="79"/>
        <v>940.0878103837472</v>
      </c>
      <c r="DI26" s="81">
        <f t="shared" si="80"/>
        <v>3.2831828442438185</v>
      </c>
      <c r="DJ26" s="76">
        <f t="shared" si="81"/>
        <v>178.31381489841976</v>
      </c>
      <c r="DK26" s="147">
        <f t="shared" si="46"/>
        <v>-728382.72</v>
      </c>
      <c r="DL26" s="67"/>
      <c r="DM26" s="68"/>
    </row>
    <row r="27" spans="1:117" ht="12.75">
      <c r="A27" s="52" t="s">
        <v>18</v>
      </c>
      <c r="B27" s="43">
        <v>635</v>
      </c>
      <c r="C27" s="4">
        <v>1743748</v>
      </c>
      <c r="D27" s="34">
        <v>2746.06</v>
      </c>
      <c r="E27" s="34">
        <v>86.18</v>
      </c>
      <c r="F27" s="8">
        <v>2</v>
      </c>
      <c r="G27" s="133">
        <f>2144.9+35398-729.25+7406.1+116033.25+16329.95+9112.2+4871.55+765.3+7188.5+27081+1250.7+1500+1000+414+8952.75+1414.5+3874.5+1500+7330+2724.25+10815.5+810.75+17698.5</f>
        <v>284886.95</v>
      </c>
      <c r="H27" s="43">
        <f>904+4004.8+6802.45+1284.75+259.85+872.4+3714.65+2230+25596.8+1519+4215.8+1452.8+45.15+3302.8+34.9+358.8+8084.1+2395.9+4904.95+1173.35+1720.85+6100.6+460+128+2109.5+216.9+889.4+263+3234.75+625.25+1252.75+1111.4+2037.7+137.75+70+1137.1+9366.6+2928.9+725.1+21605.8+1544.4+324.6+266.5+163.2+365.85+77278.65+1065.1+15043.55+5832.65+402.15+287.2+4221.8+13130.65+8513.8+2046.65+13130.6+4199.7+1765.15+14698.8+206.8+7731.75+1907.05+2173.95+106.4+2246.85+1088.55+696.65+36924.9+7112+31244+2070+4970.5+4889.65+955.75+92.55+3682.2+2413.35+9735.3+918.45+172+597.7+10772+4375+1478.15+1221.3</f>
        <v>433342.4</v>
      </c>
      <c r="I27" s="43">
        <f>57693.95</f>
        <v>57693.95</v>
      </c>
      <c r="J27" s="43">
        <f>138207.5+630000+1357180.2</f>
        <v>2125387.7</v>
      </c>
      <c r="K27" s="43">
        <f>260000+34161.65+43725.45+325000</f>
        <v>662887.1000000001</v>
      </c>
      <c r="L27" s="43">
        <v>0</v>
      </c>
      <c r="M27" s="43">
        <f t="shared" si="0"/>
        <v>662887.1000000001</v>
      </c>
      <c r="N27" s="43">
        <v>0</v>
      </c>
      <c r="O27" s="43">
        <f>60180.25+353+14122.75+32185.65+1427.6</f>
        <v>108269.25</v>
      </c>
      <c r="P27" s="43">
        <f>4923.95+6011+300+2700+6500+1906.55+86372.6+13811+11482</f>
        <v>134007.1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f t="shared" si="48"/>
        <v>0</v>
      </c>
      <c r="X27" s="43">
        <f>10449.85</f>
        <v>10449.85</v>
      </c>
      <c r="Y27" s="43">
        <f t="shared" si="49"/>
        <v>3816924.2999999993</v>
      </c>
      <c r="Z27" s="43">
        <f>374572.85+42853.35+41054.3+10.35-8492</f>
        <v>449998.8499999999</v>
      </c>
      <c r="AA27" s="43">
        <f>1118.2+2347.1</f>
        <v>3465.3</v>
      </c>
      <c r="AB27" s="43">
        <f>10293.5</f>
        <v>10293.5</v>
      </c>
      <c r="AC27" s="43">
        <v>0</v>
      </c>
      <c r="AD27" s="43">
        <f>2820</f>
        <v>2820</v>
      </c>
      <c r="AE27" s="43">
        <f t="shared" si="50"/>
        <v>466577.6499999999</v>
      </c>
      <c r="AF27" s="43">
        <f>54+33110.1</f>
        <v>33164.1</v>
      </c>
      <c r="AG27" s="43">
        <f>6000+15591.85+229.05+173087.5+14065+12297.3+2678750</f>
        <v>2900020.7</v>
      </c>
      <c r="AH27" s="43">
        <f>14065</f>
        <v>14065</v>
      </c>
      <c r="AI27" s="43">
        <f>7700+1700+100+2316.5+3853.6+32408.65+48449.55+48874.55+19136.6+1008.7+7134+1320+33252+20900</f>
        <v>228154.15000000002</v>
      </c>
      <c r="AJ27" s="43">
        <f>8145</f>
        <v>8145</v>
      </c>
      <c r="AK27" s="43">
        <f>3600</f>
        <v>3600</v>
      </c>
      <c r="AL27" s="43">
        <f>16861.3+1489.65</f>
        <v>18350.95</v>
      </c>
      <c r="AM27" s="43">
        <v>0</v>
      </c>
      <c r="AN27" s="4">
        <v>0</v>
      </c>
      <c r="AO27" s="4">
        <v>0</v>
      </c>
      <c r="AP27" s="4">
        <f>12292.35+63555.05+6828.2+44847.65+24110</f>
        <v>151633.25</v>
      </c>
      <c r="AQ27" s="4">
        <v>0</v>
      </c>
      <c r="AR27" s="4">
        <v>0</v>
      </c>
      <c r="AS27" s="4">
        <f t="shared" si="51"/>
        <v>151633.25</v>
      </c>
      <c r="AT27" s="4">
        <f>29235.4+10449.85</f>
        <v>39685.25</v>
      </c>
      <c r="AU27" s="4">
        <f t="shared" si="52"/>
        <v>3849331.0500000003</v>
      </c>
      <c r="AV27" s="4">
        <v>32406.75</v>
      </c>
      <c r="AW27" s="4">
        <v>0</v>
      </c>
      <c r="AX27" s="4">
        <f t="shared" si="53"/>
        <v>-9.313225746154785E-10</v>
      </c>
      <c r="AY27" s="43">
        <f>57780.6</f>
        <v>57780.6</v>
      </c>
      <c r="AZ27" s="43">
        <f>325000+341616.5+437254.65+1529392.35+103596.95</f>
        <v>2736860.45</v>
      </c>
      <c r="BA27" s="43">
        <v>0</v>
      </c>
      <c r="BB27" s="43">
        <v>0</v>
      </c>
      <c r="BC27" s="43">
        <v>0</v>
      </c>
      <c r="BD27" s="43">
        <v>0</v>
      </c>
      <c r="BE27" s="43">
        <v>0</v>
      </c>
      <c r="BF27" s="43">
        <f t="shared" si="54"/>
        <v>2736860.45</v>
      </c>
      <c r="BG27" s="43">
        <v>0</v>
      </c>
      <c r="BH27" s="43">
        <v>0</v>
      </c>
      <c r="BI27" s="43">
        <v>0</v>
      </c>
      <c r="BJ27" s="43">
        <v>0</v>
      </c>
      <c r="BK27" s="43">
        <v>0</v>
      </c>
      <c r="BL27" s="43">
        <v>0</v>
      </c>
      <c r="BM27" s="43">
        <v>0</v>
      </c>
      <c r="BN27" s="43">
        <v>0</v>
      </c>
      <c r="BO27" s="43">
        <f t="shared" si="55"/>
        <v>0</v>
      </c>
      <c r="BP27" s="43">
        <v>0</v>
      </c>
      <c r="BQ27" s="43">
        <v>0</v>
      </c>
      <c r="BR27" s="43">
        <f>2736860.45</f>
        <v>2736860.45</v>
      </c>
      <c r="BS27" s="43">
        <f t="shared" si="56"/>
        <v>0</v>
      </c>
      <c r="BT27" s="4">
        <v>5813066</v>
      </c>
      <c r="BU27" s="4">
        <f>1130976.9-6828.2</f>
        <v>1124148.7</v>
      </c>
      <c r="BV27" s="4">
        <v>6828.2</v>
      </c>
      <c r="BW27" s="4">
        <v>0</v>
      </c>
      <c r="BX27" s="4">
        <f t="shared" si="57"/>
        <v>6944042.9</v>
      </c>
      <c r="BY27" s="4">
        <v>3765450.55</v>
      </c>
      <c r="BZ27" s="4">
        <v>817132.8</v>
      </c>
      <c r="CA27" s="4">
        <f>2329052.8+32406.75</f>
        <v>2361459.55</v>
      </c>
      <c r="CB27" s="4">
        <f t="shared" si="58"/>
        <v>6944042.899999999</v>
      </c>
      <c r="CC27" s="4">
        <f t="shared" si="59"/>
        <v>0</v>
      </c>
      <c r="CD27" s="74">
        <f t="shared" si="60"/>
        <v>695293.8500000001</v>
      </c>
      <c r="CE27" s="76">
        <f t="shared" si="61"/>
        <v>543660.6000000001</v>
      </c>
      <c r="CF27" s="76">
        <f t="shared" si="62"/>
        <v>2736860.45</v>
      </c>
      <c r="CG27" s="76">
        <f t="shared" si="47"/>
        <v>3658012.5500000003</v>
      </c>
      <c r="CH27" s="76">
        <f t="shared" si="63"/>
        <v>-2770481.15</v>
      </c>
      <c r="CI27" s="37">
        <f t="shared" si="64"/>
        <v>-2107594.05</v>
      </c>
      <c r="CJ27" s="59">
        <f t="shared" si="36"/>
        <v>0.254047973107288</v>
      </c>
      <c r="CK27" s="59">
        <f t="shared" si="37"/>
        <v>0.19864388774371014</v>
      </c>
      <c r="CL27" s="141">
        <f t="shared" si="38"/>
        <v>0.19007421119974016</v>
      </c>
      <c r="CM27" s="141">
        <f t="shared" si="39"/>
        <v>0.14862185204914075</v>
      </c>
      <c r="CN27" s="141">
        <f t="shared" si="40"/>
        <v>-0.75737333104557</v>
      </c>
      <c r="CO27" s="141">
        <f t="shared" si="41"/>
        <v>-0.5761582337928282</v>
      </c>
      <c r="CP27" s="141">
        <f t="shared" si="42"/>
        <v>0.37094226092168947</v>
      </c>
      <c r="CQ27" s="141">
        <f t="shared" si="43"/>
        <v>0.37094226092168947</v>
      </c>
      <c r="CR27" s="142">
        <f t="shared" si="44"/>
        <v>3.766348802911228</v>
      </c>
      <c r="CS27" s="76">
        <f t="shared" si="45"/>
        <v>2047615.4500000002</v>
      </c>
      <c r="CT27" s="80">
        <f t="shared" si="65"/>
        <v>3154037.1999999993</v>
      </c>
      <c r="CU27" s="80">
        <f t="shared" si="66"/>
        <v>3849331.0500000003</v>
      </c>
      <c r="CV27" s="80">
        <f t="shared" si="67"/>
        <v>695293.850000001</v>
      </c>
      <c r="CW27" s="80">
        <f t="shared" si="68"/>
        <v>0</v>
      </c>
      <c r="CX27" s="80">
        <f t="shared" si="69"/>
        <v>695293.850000001</v>
      </c>
      <c r="CY27" s="80">
        <f t="shared" si="70"/>
        <v>32406.75000000093</v>
      </c>
      <c r="CZ27" s="80">
        <f t="shared" si="71"/>
        <v>2736860.45</v>
      </c>
      <c r="DA27" s="80">
        <f t="shared" si="72"/>
        <v>662887.1000000001</v>
      </c>
      <c r="DB27" s="80">
        <f t="shared" si="73"/>
        <v>-2041566.5999999992</v>
      </c>
      <c r="DC27" s="80">
        <f t="shared" si="74"/>
        <v>-662887.1000000001</v>
      </c>
      <c r="DD27" s="80">
        <f t="shared" si="75"/>
        <v>32406.75000000093</v>
      </c>
      <c r="DE27" s="80">
        <f t="shared" si="76"/>
        <v>463757.6499999999</v>
      </c>
      <c r="DF27" s="80">
        <f t="shared" si="77"/>
        <v>3224.59125984252</v>
      </c>
      <c r="DG27" s="80">
        <f t="shared" si="78"/>
        <v>-4362.962440944882</v>
      </c>
      <c r="DH27" s="80">
        <f t="shared" si="79"/>
        <v>730.3270078740156</v>
      </c>
      <c r="DI27" s="81">
        <f t="shared" si="80"/>
        <v>4310.016456692913</v>
      </c>
      <c r="DJ27" s="76">
        <f t="shared" si="81"/>
        <v>-3215.065511811022</v>
      </c>
      <c r="DK27" s="147">
        <f t="shared" si="46"/>
        <v>1237310.8499999999</v>
      </c>
      <c r="DL27" s="64"/>
      <c r="DM27" s="65"/>
    </row>
    <row r="28" spans="1:117" ht="12.75">
      <c r="A28" s="51" t="s">
        <v>19</v>
      </c>
      <c r="B28" s="42">
        <v>420</v>
      </c>
      <c r="C28" s="38">
        <v>803824</v>
      </c>
      <c r="D28" s="39">
        <v>1913.87</v>
      </c>
      <c r="E28" s="39">
        <v>60.06</v>
      </c>
      <c r="F28" s="128">
        <v>8</v>
      </c>
      <c r="G28" s="134">
        <v>591458</v>
      </c>
      <c r="H28" s="42">
        <v>217767</v>
      </c>
      <c r="I28" s="42">
        <v>109797</v>
      </c>
      <c r="J28" s="42">
        <v>5149</v>
      </c>
      <c r="K28" s="42">
        <v>192929</v>
      </c>
      <c r="L28" s="42">
        <v>0</v>
      </c>
      <c r="M28" s="43">
        <f t="shared" si="0"/>
        <v>192929</v>
      </c>
      <c r="N28" s="42">
        <v>0</v>
      </c>
      <c r="O28" s="42">
        <v>49371</v>
      </c>
      <c r="P28" s="42">
        <v>154907</v>
      </c>
      <c r="Q28" s="42">
        <v>0</v>
      </c>
      <c r="R28" s="42">
        <v>1265</v>
      </c>
      <c r="S28" s="42">
        <v>0</v>
      </c>
      <c r="T28" s="42">
        <v>0</v>
      </c>
      <c r="U28" s="42">
        <v>0</v>
      </c>
      <c r="V28" s="42">
        <v>0</v>
      </c>
      <c r="W28" s="43">
        <f t="shared" si="48"/>
        <v>1265</v>
      </c>
      <c r="X28" s="42">
        <v>309397</v>
      </c>
      <c r="Y28" s="43">
        <f t="shared" si="49"/>
        <v>1632040</v>
      </c>
      <c r="Z28" s="42">
        <v>90636</v>
      </c>
      <c r="AA28" s="42">
        <v>252893</v>
      </c>
      <c r="AB28" s="42">
        <v>0</v>
      </c>
      <c r="AC28" s="42">
        <v>0</v>
      </c>
      <c r="AD28" s="42">
        <v>2784</v>
      </c>
      <c r="AE28" s="43">
        <f t="shared" si="50"/>
        <v>346313</v>
      </c>
      <c r="AF28" s="42">
        <v>200</v>
      </c>
      <c r="AG28" s="42">
        <v>128838</v>
      </c>
      <c r="AH28" s="42">
        <v>0</v>
      </c>
      <c r="AI28" s="42">
        <v>631080</v>
      </c>
      <c r="AJ28" s="42">
        <v>5814</v>
      </c>
      <c r="AK28" s="42">
        <v>18334</v>
      </c>
      <c r="AL28" s="42">
        <v>118713</v>
      </c>
      <c r="AM28" s="42">
        <v>222557</v>
      </c>
      <c r="AN28" s="38">
        <v>6076</v>
      </c>
      <c r="AO28" s="38">
        <v>0</v>
      </c>
      <c r="AP28" s="38">
        <v>0</v>
      </c>
      <c r="AQ28" s="38">
        <v>0</v>
      </c>
      <c r="AR28" s="38">
        <v>0</v>
      </c>
      <c r="AS28" s="4">
        <f t="shared" si="51"/>
        <v>6076</v>
      </c>
      <c r="AT28" s="38">
        <v>309397</v>
      </c>
      <c r="AU28" s="4">
        <f t="shared" si="52"/>
        <v>1787322</v>
      </c>
      <c r="AV28" s="38">
        <v>155282</v>
      </c>
      <c r="AW28" s="38">
        <v>0</v>
      </c>
      <c r="AX28" s="4">
        <f t="shared" si="53"/>
        <v>0</v>
      </c>
      <c r="AY28" s="42">
        <v>90090</v>
      </c>
      <c r="AZ28" s="42">
        <v>61235</v>
      </c>
      <c r="BA28" s="42">
        <v>0</v>
      </c>
      <c r="BB28" s="42">
        <v>0</v>
      </c>
      <c r="BC28" s="42">
        <v>0</v>
      </c>
      <c r="BD28" s="42">
        <v>0</v>
      </c>
      <c r="BE28" s="42">
        <v>0</v>
      </c>
      <c r="BF28" s="43">
        <f t="shared" si="54"/>
        <v>61235</v>
      </c>
      <c r="BG28" s="42">
        <v>0</v>
      </c>
      <c r="BH28" s="42">
        <v>0</v>
      </c>
      <c r="BI28" s="42">
        <v>0</v>
      </c>
      <c r="BJ28" s="42">
        <v>0</v>
      </c>
      <c r="BK28" s="42">
        <v>0</v>
      </c>
      <c r="BL28" s="42">
        <v>0</v>
      </c>
      <c r="BM28" s="42">
        <v>241000</v>
      </c>
      <c r="BN28" s="42">
        <v>0</v>
      </c>
      <c r="BO28" s="43">
        <f t="shared" si="55"/>
        <v>241000</v>
      </c>
      <c r="BP28" s="42">
        <v>241000</v>
      </c>
      <c r="BQ28" s="42">
        <v>0</v>
      </c>
      <c r="BR28" s="42">
        <v>61235</v>
      </c>
      <c r="BS28" s="43">
        <f t="shared" si="56"/>
        <v>0</v>
      </c>
      <c r="BT28" s="38">
        <v>1715486</v>
      </c>
      <c r="BU28" s="38">
        <v>1313445</v>
      </c>
      <c r="BV28" s="38">
        <v>18692</v>
      </c>
      <c r="BW28" s="38">
        <v>523785</v>
      </c>
      <c r="BX28" s="4">
        <f t="shared" si="57"/>
        <v>3571408</v>
      </c>
      <c r="BY28" s="38">
        <v>3193457</v>
      </c>
      <c r="BZ28" s="38">
        <v>377951</v>
      </c>
      <c r="CA28" s="38">
        <v>0</v>
      </c>
      <c r="CB28" s="4">
        <f t="shared" si="58"/>
        <v>3571408</v>
      </c>
      <c r="CC28" s="4">
        <f t="shared" si="59"/>
        <v>0</v>
      </c>
      <c r="CD28" s="74">
        <f t="shared" si="60"/>
        <v>348211</v>
      </c>
      <c r="CE28" s="76">
        <f t="shared" si="61"/>
        <v>343400</v>
      </c>
      <c r="CF28" s="76">
        <f t="shared" si="62"/>
        <v>-179765</v>
      </c>
      <c r="CG28" s="76">
        <f t="shared" si="47"/>
        <v>1249292</v>
      </c>
      <c r="CH28" s="76">
        <f t="shared" si="63"/>
        <v>71049</v>
      </c>
      <c r="CI28" s="37">
        <f t="shared" si="64"/>
        <v>263978</v>
      </c>
      <c r="CJ28" s="59">
        <f t="shared" si="36"/>
        <v>-1.937034461658276</v>
      </c>
      <c r="CK28" s="59">
        <f t="shared" si="37"/>
        <v>-1.910271743665341</v>
      </c>
      <c r="CL28" s="141">
        <f t="shared" si="38"/>
        <v>0.2787266707863334</v>
      </c>
      <c r="CM28" s="141">
        <f t="shared" si="39"/>
        <v>0.2748756895905841</v>
      </c>
      <c r="CN28" s="141">
        <f t="shared" si="40"/>
        <v>0.056871411967738525</v>
      </c>
      <c r="CO28" s="141">
        <f t="shared" si="41"/>
        <v>0.21130208149896101</v>
      </c>
      <c r="CP28" s="141">
        <f t="shared" si="42"/>
        <v>0.1280750995436724</v>
      </c>
      <c r="CQ28" s="141">
        <f t="shared" si="43"/>
        <v>0.1280750995436724</v>
      </c>
      <c r="CR28" s="142">
        <f t="shared" si="44"/>
        <v>-4.303934187536401</v>
      </c>
      <c r="CS28" s="76">
        <f t="shared" si="45"/>
        <v>-1477971</v>
      </c>
      <c r="CT28" s="80">
        <f t="shared" si="65"/>
        <v>1439111</v>
      </c>
      <c r="CU28" s="80">
        <f t="shared" si="66"/>
        <v>1787322</v>
      </c>
      <c r="CV28" s="80">
        <f t="shared" si="67"/>
        <v>348211</v>
      </c>
      <c r="CW28" s="80">
        <f t="shared" si="68"/>
        <v>0</v>
      </c>
      <c r="CX28" s="80">
        <f t="shared" si="69"/>
        <v>348211</v>
      </c>
      <c r="CY28" s="80">
        <f t="shared" si="70"/>
        <v>155282</v>
      </c>
      <c r="CZ28" s="80">
        <f t="shared" si="71"/>
        <v>-179765</v>
      </c>
      <c r="DA28" s="80">
        <f t="shared" si="72"/>
        <v>192929</v>
      </c>
      <c r="DB28" s="80">
        <f t="shared" si="73"/>
        <v>527976</v>
      </c>
      <c r="DC28" s="80">
        <f t="shared" si="74"/>
        <v>-433929</v>
      </c>
      <c r="DD28" s="80">
        <f t="shared" si="75"/>
        <v>155282</v>
      </c>
      <c r="DE28" s="80">
        <f t="shared" si="76"/>
        <v>343529</v>
      </c>
      <c r="DF28" s="80">
        <f t="shared" si="77"/>
        <v>-3518.9785714285713</v>
      </c>
      <c r="DG28" s="80">
        <f t="shared" si="78"/>
        <v>169.1642857142857</v>
      </c>
      <c r="DH28" s="80">
        <f t="shared" si="79"/>
        <v>817.9261904761905</v>
      </c>
      <c r="DI28" s="81">
        <f t="shared" si="80"/>
        <v>-428.01190476190476</v>
      </c>
      <c r="DJ28" s="76">
        <f t="shared" si="81"/>
        <v>1257.0857142857142</v>
      </c>
      <c r="DK28" s="147">
        <f t="shared" si="46"/>
        <v>-1837230</v>
      </c>
      <c r="DL28" s="67"/>
      <c r="DM28" s="68"/>
    </row>
    <row r="29" spans="1:117" ht="12.75">
      <c r="A29" s="52" t="s">
        <v>21</v>
      </c>
      <c r="B29" s="43">
        <v>2584</v>
      </c>
      <c r="C29" s="4">
        <v>8646121</v>
      </c>
      <c r="D29" s="34">
        <v>3346.02</v>
      </c>
      <c r="E29" s="34">
        <v>105.01</v>
      </c>
      <c r="F29" s="8">
        <v>2</v>
      </c>
      <c r="G29" s="133">
        <v>2029572</v>
      </c>
      <c r="H29" s="43">
        <v>1664518.75</v>
      </c>
      <c r="I29" s="43">
        <v>212287.65</v>
      </c>
      <c r="J29" s="43">
        <v>18760.45</v>
      </c>
      <c r="K29" s="43">
        <v>423871.11</v>
      </c>
      <c r="L29" s="43">
        <v>550190.36</v>
      </c>
      <c r="M29" s="43">
        <f t="shared" si="0"/>
        <v>974061.47</v>
      </c>
      <c r="N29" s="43">
        <v>0</v>
      </c>
      <c r="O29" s="43">
        <v>256764.6</v>
      </c>
      <c r="P29" s="43">
        <v>597343.55</v>
      </c>
      <c r="Q29" s="43">
        <v>0</v>
      </c>
      <c r="R29" s="43">
        <v>6051.38</v>
      </c>
      <c r="S29" s="43">
        <v>0</v>
      </c>
      <c r="T29" s="43">
        <v>300000</v>
      </c>
      <c r="U29" s="43">
        <v>0</v>
      </c>
      <c r="V29" s="43">
        <v>300000</v>
      </c>
      <c r="W29" s="43">
        <f t="shared" si="48"/>
        <v>606051.38</v>
      </c>
      <c r="X29" s="43">
        <v>2400637.49</v>
      </c>
      <c r="Y29" s="43">
        <f t="shared" si="49"/>
        <v>8759997.339999998</v>
      </c>
      <c r="Z29" s="43">
        <v>1833383.89</v>
      </c>
      <c r="AA29" s="43">
        <v>312572.56</v>
      </c>
      <c r="AB29" s="43">
        <v>6487.5</v>
      </c>
      <c r="AC29" s="43">
        <v>0</v>
      </c>
      <c r="AD29" s="43">
        <v>25114.6</v>
      </c>
      <c r="AE29" s="43">
        <f t="shared" si="50"/>
        <v>2177558.55</v>
      </c>
      <c r="AF29" s="43">
        <v>42271.3</v>
      </c>
      <c r="AG29" s="43">
        <v>1273549.3</v>
      </c>
      <c r="AH29" s="43">
        <v>867571</v>
      </c>
      <c r="AI29" s="43">
        <v>1869135.89</v>
      </c>
      <c r="AJ29" s="43">
        <v>521809.65</v>
      </c>
      <c r="AK29" s="43">
        <v>67948.16</v>
      </c>
      <c r="AL29" s="43">
        <v>264708.2</v>
      </c>
      <c r="AM29" s="43">
        <v>0</v>
      </c>
      <c r="AN29" s="4">
        <v>23558.8</v>
      </c>
      <c r="AO29" s="4">
        <v>0</v>
      </c>
      <c r="AP29" s="4">
        <v>0</v>
      </c>
      <c r="AQ29" s="4">
        <v>0</v>
      </c>
      <c r="AR29" s="4">
        <v>0</v>
      </c>
      <c r="AS29" s="4">
        <f t="shared" si="51"/>
        <v>23558.8</v>
      </c>
      <c r="AT29" s="4">
        <v>2520118.22</v>
      </c>
      <c r="AU29" s="4">
        <f t="shared" si="52"/>
        <v>8760658.07</v>
      </c>
      <c r="AV29" s="4">
        <v>660.73</v>
      </c>
      <c r="AW29" s="4">
        <v>0</v>
      </c>
      <c r="AX29" s="4">
        <f t="shared" si="53"/>
        <v>-2.3096617951523513E-09</v>
      </c>
      <c r="AY29" s="43">
        <v>2084.7</v>
      </c>
      <c r="AZ29" s="43">
        <v>1698563.67</v>
      </c>
      <c r="BA29" s="43">
        <v>0</v>
      </c>
      <c r="BB29" s="43">
        <v>0</v>
      </c>
      <c r="BC29" s="43">
        <v>0</v>
      </c>
      <c r="BD29" s="43">
        <v>0</v>
      </c>
      <c r="BE29" s="43">
        <v>31781</v>
      </c>
      <c r="BF29" s="43">
        <f t="shared" si="54"/>
        <v>1730344.67</v>
      </c>
      <c r="BG29" s="43">
        <v>69923.05</v>
      </c>
      <c r="BH29" s="43">
        <v>8447.5</v>
      </c>
      <c r="BI29" s="43">
        <v>0</v>
      </c>
      <c r="BJ29" s="43">
        <v>0</v>
      </c>
      <c r="BK29" s="43">
        <v>0</v>
      </c>
      <c r="BL29" s="43">
        <v>76549.7</v>
      </c>
      <c r="BM29" s="43">
        <v>791482.15</v>
      </c>
      <c r="BN29" s="43">
        <v>0</v>
      </c>
      <c r="BO29" s="43">
        <f t="shared" si="55"/>
        <v>946402.4</v>
      </c>
      <c r="BP29" s="43">
        <v>946402.4</v>
      </c>
      <c r="BQ29" s="43">
        <v>0</v>
      </c>
      <c r="BR29" s="43">
        <v>1730344.67</v>
      </c>
      <c r="BS29" s="43">
        <f t="shared" si="56"/>
        <v>0</v>
      </c>
      <c r="BT29" s="4">
        <v>10147412.1</v>
      </c>
      <c r="BU29" s="4">
        <v>7701675.9</v>
      </c>
      <c r="BV29" s="4">
        <v>5483.45</v>
      </c>
      <c r="BW29" s="4">
        <v>0</v>
      </c>
      <c r="BX29" s="4">
        <f t="shared" si="57"/>
        <v>17854571.45</v>
      </c>
      <c r="BY29" s="4">
        <v>3910498.72</v>
      </c>
      <c r="BZ29" s="4">
        <v>4881884.27</v>
      </c>
      <c r="CA29" s="4">
        <v>9062188.46</v>
      </c>
      <c r="CB29" s="4">
        <f t="shared" si="58"/>
        <v>17854571.450000003</v>
      </c>
      <c r="CC29" s="4">
        <f t="shared" si="59"/>
        <v>0</v>
      </c>
      <c r="CD29" s="74">
        <f>K29+L29+AV29-AW29</f>
        <v>974722.2</v>
      </c>
      <c r="CE29" s="76">
        <f t="shared" si="61"/>
        <v>1557214.78</v>
      </c>
      <c r="CF29" s="76">
        <f t="shared" si="62"/>
        <v>783942.2699999999</v>
      </c>
      <c r="CG29" s="76">
        <f t="shared" si="47"/>
        <v>6216981.05</v>
      </c>
      <c r="CH29" s="76">
        <f t="shared" si="63"/>
        <v>-191605.9500000002</v>
      </c>
      <c r="CI29" s="37">
        <f t="shared" si="64"/>
        <v>232265.1599999998</v>
      </c>
      <c r="CJ29" s="59">
        <f t="shared" si="36"/>
        <v>1.2433596672877456</v>
      </c>
      <c r="CK29" s="59">
        <f t="shared" si="37"/>
        <v>1.986389610041056</v>
      </c>
      <c r="CL29" s="141">
        <f t="shared" si="38"/>
        <v>0.15678384607590207</v>
      </c>
      <c r="CM29" s="141">
        <f t="shared" si="39"/>
        <v>0.25047764622026636</v>
      </c>
      <c r="CN29" s="141">
        <f t="shared" si="40"/>
        <v>-0.030819773851490217</v>
      </c>
      <c r="CO29" s="141">
        <f t="shared" si="41"/>
        <v>0.037359798611578496</v>
      </c>
      <c r="CP29" s="141">
        <f t="shared" si="42"/>
        <v>0.11227419969721834</v>
      </c>
      <c r="CQ29" s="141">
        <f t="shared" si="43"/>
        <v>0.048857070231945014</v>
      </c>
      <c r="CR29" s="142">
        <f t="shared" si="44"/>
        <v>4.00517222165076</v>
      </c>
      <c r="CS29" s="76">
        <f t="shared" si="45"/>
        <v>6236913.379999999</v>
      </c>
      <c r="CT29" s="80">
        <f t="shared" si="65"/>
        <v>7485935.869999997</v>
      </c>
      <c r="CU29" s="80">
        <f t="shared" si="66"/>
        <v>8760658.07</v>
      </c>
      <c r="CV29" s="80">
        <f>CU29-CT29</f>
        <v>1274722.200000003</v>
      </c>
      <c r="CW29" s="80">
        <f t="shared" si="68"/>
        <v>-300000</v>
      </c>
      <c r="CX29" s="80">
        <f>CV29+CW29</f>
        <v>974722.200000003</v>
      </c>
      <c r="CY29" s="80">
        <f t="shared" si="70"/>
        <v>660.7300000030082</v>
      </c>
      <c r="CZ29" s="80">
        <f t="shared" si="71"/>
        <v>783942.2699999999</v>
      </c>
      <c r="DA29" s="80">
        <f t="shared" si="72"/>
        <v>974061.47</v>
      </c>
      <c r="DB29" s="80">
        <f t="shared" si="73"/>
        <v>190779.93000000308</v>
      </c>
      <c r="DC29" s="80">
        <f t="shared" si="74"/>
        <v>-1920463.87</v>
      </c>
      <c r="DD29" s="80">
        <f t="shared" si="75"/>
        <v>660.7300000027753</v>
      </c>
      <c r="DE29" s="80">
        <f t="shared" si="76"/>
        <v>2152443.9499999997</v>
      </c>
      <c r="DF29" s="80">
        <f t="shared" si="77"/>
        <v>2413.6661687306496</v>
      </c>
      <c r="DG29" s="80">
        <f t="shared" si="78"/>
        <v>-74.15090944272453</v>
      </c>
      <c r="DH29" s="80">
        <f t="shared" si="79"/>
        <v>832.989144736842</v>
      </c>
      <c r="DI29" s="81">
        <f t="shared" si="80"/>
        <v>303.38323142414856</v>
      </c>
      <c r="DJ29" s="76">
        <f t="shared" si="81"/>
        <v>73.8312422600631</v>
      </c>
      <c r="DK29" s="147">
        <f t="shared" si="46"/>
        <v>1360512.5600000005</v>
      </c>
      <c r="DL29" s="64"/>
      <c r="DM29" s="65"/>
    </row>
    <row r="30" spans="1:117" ht="12.75">
      <c r="A30" s="51" t="s">
        <v>31</v>
      </c>
      <c r="B30" s="42">
        <v>394</v>
      </c>
      <c r="C30" s="38">
        <v>962825</v>
      </c>
      <c r="D30" s="39">
        <v>2443.72</v>
      </c>
      <c r="E30" s="39">
        <v>76.69</v>
      </c>
      <c r="F30" s="128">
        <v>6</v>
      </c>
      <c r="G30" s="134">
        <v>269609.7</v>
      </c>
      <c r="H30" s="42">
        <v>213838.45</v>
      </c>
      <c r="I30" s="42">
        <v>15396</v>
      </c>
      <c r="J30" s="42">
        <v>0</v>
      </c>
      <c r="K30" s="42">
        <v>74080.7</v>
      </c>
      <c r="L30" s="42">
        <v>0</v>
      </c>
      <c r="M30" s="43">
        <f t="shared" si="0"/>
        <v>74080.7</v>
      </c>
      <c r="N30" s="42">
        <v>0</v>
      </c>
      <c r="O30" s="42">
        <v>44408.35</v>
      </c>
      <c r="P30" s="42">
        <v>123138.45</v>
      </c>
      <c r="Q30" s="42">
        <v>1759.2</v>
      </c>
      <c r="R30" s="42">
        <v>7146.4</v>
      </c>
      <c r="S30" s="42">
        <v>5172.45</v>
      </c>
      <c r="T30" s="42">
        <v>20000</v>
      </c>
      <c r="U30" s="42">
        <v>0</v>
      </c>
      <c r="V30" s="42">
        <v>0</v>
      </c>
      <c r="W30" s="43">
        <f t="shared" si="48"/>
        <v>32318.85</v>
      </c>
      <c r="X30" s="42">
        <v>150566.25</v>
      </c>
      <c r="Y30" s="43">
        <f t="shared" si="49"/>
        <v>925115.9499999998</v>
      </c>
      <c r="Z30" s="42">
        <v>363170.6</v>
      </c>
      <c r="AA30" s="42">
        <v>1782.95</v>
      </c>
      <c r="AB30" s="42">
        <v>3735.4</v>
      </c>
      <c r="AC30" s="42">
        <v>0</v>
      </c>
      <c r="AD30" s="42">
        <v>9851.1</v>
      </c>
      <c r="AE30" s="43">
        <f t="shared" si="50"/>
        <v>378540.05</v>
      </c>
      <c r="AF30" s="42">
        <v>0</v>
      </c>
      <c r="AG30" s="42">
        <v>13659.2</v>
      </c>
      <c r="AH30" s="42">
        <v>0</v>
      </c>
      <c r="AI30" s="42">
        <v>240106.45</v>
      </c>
      <c r="AJ30" s="42">
        <v>5172.45</v>
      </c>
      <c r="AK30" s="42">
        <v>21614.5</v>
      </c>
      <c r="AL30" s="42">
        <v>85844.8</v>
      </c>
      <c r="AM30" s="42">
        <v>1735.45</v>
      </c>
      <c r="AN30" s="38">
        <v>20811.8</v>
      </c>
      <c r="AO30" s="38">
        <v>10517.7</v>
      </c>
      <c r="AP30" s="38">
        <v>0</v>
      </c>
      <c r="AQ30" s="38">
        <v>0</v>
      </c>
      <c r="AR30" s="38">
        <v>0</v>
      </c>
      <c r="AS30" s="4">
        <f t="shared" si="51"/>
        <v>31329.5</v>
      </c>
      <c r="AT30" s="38">
        <v>150566.25</v>
      </c>
      <c r="AU30" s="4">
        <f t="shared" si="52"/>
        <v>928568.6499999999</v>
      </c>
      <c r="AV30" s="38">
        <v>3452.7</v>
      </c>
      <c r="AW30" s="38">
        <v>0</v>
      </c>
      <c r="AX30" s="4">
        <f t="shared" si="53"/>
        <v>-7.003109203651547E-11</v>
      </c>
      <c r="AY30" s="42">
        <v>2575.25</v>
      </c>
      <c r="AZ30" s="42">
        <v>122452.3</v>
      </c>
      <c r="BA30" s="42">
        <v>0</v>
      </c>
      <c r="BB30" s="42">
        <v>10000</v>
      </c>
      <c r="BC30" s="42">
        <v>0</v>
      </c>
      <c r="BD30" s="42">
        <v>0</v>
      </c>
      <c r="BE30" s="42">
        <v>0</v>
      </c>
      <c r="BF30" s="43">
        <f t="shared" si="54"/>
        <v>132452.3</v>
      </c>
      <c r="BG30" s="42">
        <v>0</v>
      </c>
      <c r="BH30" s="42">
        <v>11950</v>
      </c>
      <c r="BI30" s="42">
        <v>0</v>
      </c>
      <c r="BJ30" s="42">
        <v>0</v>
      </c>
      <c r="BK30" s="42">
        <v>0</v>
      </c>
      <c r="BL30" s="42">
        <v>0</v>
      </c>
      <c r="BM30" s="42">
        <v>140636.85</v>
      </c>
      <c r="BN30" s="42">
        <v>0</v>
      </c>
      <c r="BO30" s="43">
        <f t="shared" si="55"/>
        <v>152586.85</v>
      </c>
      <c r="BP30" s="42">
        <v>152586.85</v>
      </c>
      <c r="BQ30" s="42">
        <v>0</v>
      </c>
      <c r="BR30" s="42">
        <v>132452.3</v>
      </c>
      <c r="BS30" s="43">
        <f t="shared" si="56"/>
        <v>0</v>
      </c>
      <c r="BT30" s="38">
        <v>778594.98</v>
      </c>
      <c r="BU30" s="38">
        <v>992504</v>
      </c>
      <c r="BV30" s="38">
        <v>21529.8</v>
      </c>
      <c r="BW30" s="38">
        <v>0</v>
      </c>
      <c r="BX30" s="4">
        <f t="shared" si="57"/>
        <v>1792628.78</v>
      </c>
      <c r="BY30" s="38">
        <v>879592.6</v>
      </c>
      <c r="BZ30" s="38">
        <v>711998.95</v>
      </c>
      <c r="CA30" s="38">
        <v>201037.23</v>
      </c>
      <c r="CB30" s="4">
        <f t="shared" si="58"/>
        <v>1792628.7799999998</v>
      </c>
      <c r="CC30" s="4">
        <f t="shared" si="59"/>
        <v>0</v>
      </c>
      <c r="CD30" s="74">
        <f t="shared" si="60"/>
        <v>77533.4</v>
      </c>
      <c r="CE30" s="76">
        <f t="shared" si="61"/>
        <v>78522.75</v>
      </c>
      <c r="CF30" s="76">
        <f t="shared" si="62"/>
        <v>-20134.550000000017</v>
      </c>
      <c r="CG30" s="76">
        <f t="shared" si="47"/>
        <v>744937.45</v>
      </c>
      <c r="CH30" s="76">
        <f t="shared" si="63"/>
        <v>4312.049999999999</v>
      </c>
      <c r="CI30" s="37">
        <f t="shared" si="64"/>
        <v>78392.75</v>
      </c>
      <c r="CJ30" s="59">
        <f t="shared" si="36"/>
        <v>-3.850763985288965</v>
      </c>
      <c r="CK30" s="59">
        <f t="shared" si="37"/>
        <v>-3.8999009165836798</v>
      </c>
      <c r="CL30" s="141">
        <f t="shared" si="38"/>
        <v>0.10408041641617025</v>
      </c>
      <c r="CM30" s="141">
        <f t="shared" si="39"/>
        <v>0.10540851450011005</v>
      </c>
      <c r="CN30" s="141">
        <f t="shared" si="40"/>
        <v>0.005788472575784718</v>
      </c>
      <c r="CO30" s="141">
        <f t="shared" si="41"/>
        <v>0.10523400320389316</v>
      </c>
      <c r="CP30" s="141">
        <f t="shared" si="42"/>
        <v>0.06945599350900121</v>
      </c>
      <c r="CQ30" s="141">
        <f t="shared" si="43"/>
        <v>0.06945599350900121</v>
      </c>
      <c r="CR30" s="142">
        <f t="shared" si="44"/>
        <v>-1.2862211269982267</v>
      </c>
      <c r="CS30" s="76">
        <f t="shared" si="45"/>
        <v>-100997.62</v>
      </c>
      <c r="CT30" s="80">
        <f t="shared" si="65"/>
        <v>851035.2499999999</v>
      </c>
      <c r="CU30" s="80">
        <f t="shared" si="66"/>
        <v>928568.6499999999</v>
      </c>
      <c r="CV30" s="80">
        <f t="shared" si="67"/>
        <v>77533.40000000002</v>
      </c>
      <c r="CW30" s="80">
        <f t="shared" si="68"/>
        <v>0</v>
      </c>
      <c r="CX30" s="80">
        <f t="shared" si="69"/>
        <v>77533.40000000002</v>
      </c>
      <c r="CY30" s="80">
        <f t="shared" si="70"/>
        <v>3452.700000000026</v>
      </c>
      <c r="CZ30" s="80">
        <f t="shared" si="71"/>
        <v>-20134.550000000017</v>
      </c>
      <c r="DA30" s="80">
        <f t="shared" si="72"/>
        <v>74080.7</v>
      </c>
      <c r="DB30" s="80">
        <f t="shared" si="73"/>
        <v>97667.95000000004</v>
      </c>
      <c r="DC30" s="80">
        <f t="shared" si="74"/>
        <v>-226667.55</v>
      </c>
      <c r="DD30" s="80">
        <f t="shared" si="75"/>
        <v>3452.7000000000407</v>
      </c>
      <c r="DE30" s="80">
        <f t="shared" si="76"/>
        <v>368688.95</v>
      </c>
      <c r="DF30" s="80">
        <f t="shared" si="77"/>
        <v>-256.33913705583757</v>
      </c>
      <c r="DG30" s="80">
        <f t="shared" si="78"/>
        <v>10.944289340101522</v>
      </c>
      <c r="DH30" s="80">
        <f t="shared" si="79"/>
        <v>935.7587563451777</v>
      </c>
      <c r="DI30" s="81">
        <f t="shared" si="80"/>
        <v>-51.10291878172593</v>
      </c>
      <c r="DJ30" s="76">
        <f t="shared" si="81"/>
        <v>247.88819796954326</v>
      </c>
      <c r="DK30" s="147">
        <f t="shared" si="46"/>
        <v>-791466.77</v>
      </c>
      <c r="DL30" s="67"/>
      <c r="DM30" s="68"/>
    </row>
    <row r="31" spans="1:117" ht="13.5" thickBot="1">
      <c r="A31" s="53" t="s">
        <v>20</v>
      </c>
      <c r="B31" s="44">
        <v>301</v>
      </c>
      <c r="C31" s="7">
        <v>990901</v>
      </c>
      <c r="D31" s="35">
        <v>3292.03</v>
      </c>
      <c r="E31" s="35">
        <v>103.31</v>
      </c>
      <c r="F31" s="129">
        <v>5</v>
      </c>
      <c r="G31" s="133">
        <v>275434.5</v>
      </c>
      <c r="H31" s="43">
        <v>200772.95</v>
      </c>
      <c r="I31" s="43">
        <v>21634.3</v>
      </c>
      <c r="J31" s="43">
        <v>0</v>
      </c>
      <c r="K31" s="43">
        <v>54469.3</v>
      </c>
      <c r="L31" s="43">
        <v>49440</v>
      </c>
      <c r="M31" s="43">
        <f t="shared" si="0"/>
        <v>103909.3</v>
      </c>
      <c r="N31" s="43">
        <v>0</v>
      </c>
      <c r="O31" s="43">
        <v>46655.05</v>
      </c>
      <c r="P31" s="43">
        <v>82074.95</v>
      </c>
      <c r="Q31" s="43">
        <v>1255</v>
      </c>
      <c r="R31" s="43">
        <v>10153.15</v>
      </c>
      <c r="S31" s="43">
        <v>3967.75</v>
      </c>
      <c r="T31" s="43">
        <v>0</v>
      </c>
      <c r="U31" s="43">
        <v>0</v>
      </c>
      <c r="V31" s="43">
        <v>0</v>
      </c>
      <c r="W31" s="43">
        <f t="shared" si="48"/>
        <v>14120.9</v>
      </c>
      <c r="X31" s="43">
        <v>98024</v>
      </c>
      <c r="Y31" s="43">
        <f t="shared" si="49"/>
        <v>843880.9500000001</v>
      </c>
      <c r="Z31" s="43">
        <v>313930.4</v>
      </c>
      <c r="AA31" s="43">
        <v>2881.6</v>
      </c>
      <c r="AB31" s="43">
        <v>20695.85</v>
      </c>
      <c r="AC31" s="43">
        <v>0</v>
      </c>
      <c r="AD31" s="43">
        <v>7411.1</v>
      </c>
      <c r="AE31" s="43">
        <f t="shared" si="50"/>
        <v>344918.94999999995</v>
      </c>
      <c r="AF31" s="43">
        <v>0</v>
      </c>
      <c r="AG31" s="43">
        <v>88169.3</v>
      </c>
      <c r="AH31" s="43">
        <v>0</v>
      </c>
      <c r="AI31" s="43">
        <v>140357.6</v>
      </c>
      <c r="AJ31" s="43">
        <v>3967.75</v>
      </c>
      <c r="AK31" s="43">
        <v>9827.75</v>
      </c>
      <c r="AL31" s="43">
        <v>120812.9</v>
      </c>
      <c r="AM31" s="43">
        <v>1255</v>
      </c>
      <c r="AN31" s="4">
        <v>31489.9</v>
      </c>
      <c r="AO31" s="4">
        <v>5190.05</v>
      </c>
      <c r="AP31" s="4">
        <v>0</v>
      </c>
      <c r="AQ31" s="4">
        <v>0</v>
      </c>
      <c r="AR31" s="4">
        <v>0</v>
      </c>
      <c r="AS31" s="4">
        <f t="shared" si="51"/>
        <v>36679.950000000004</v>
      </c>
      <c r="AT31" s="4">
        <v>98024</v>
      </c>
      <c r="AU31" s="4">
        <f t="shared" si="52"/>
        <v>844013.2</v>
      </c>
      <c r="AV31" s="4">
        <v>132.25</v>
      </c>
      <c r="AW31" s="4">
        <v>0</v>
      </c>
      <c r="AX31" s="4">
        <f t="shared" si="53"/>
        <v>1.1641532182693481E-10</v>
      </c>
      <c r="AY31" s="43">
        <v>79076.1</v>
      </c>
      <c r="AZ31" s="43">
        <v>144124.1</v>
      </c>
      <c r="BA31" s="43">
        <v>812.4</v>
      </c>
      <c r="BB31" s="43">
        <v>21565.7</v>
      </c>
      <c r="BC31" s="43">
        <v>4500</v>
      </c>
      <c r="BD31" s="43">
        <v>3960</v>
      </c>
      <c r="BE31" s="43">
        <v>3551</v>
      </c>
      <c r="BF31" s="43">
        <f t="shared" si="54"/>
        <v>178513.2</v>
      </c>
      <c r="BG31" s="43">
        <v>0</v>
      </c>
      <c r="BH31" s="43">
        <v>24058.75</v>
      </c>
      <c r="BI31" s="43">
        <v>0</v>
      </c>
      <c r="BJ31" s="43">
        <v>0</v>
      </c>
      <c r="BK31" s="43">
        <v>8000</v>
      </c>
      <c r="BL31" s="43">
        <v>31086.45</v>
      </c>
      <c r="BM31" s="43">
        <v>41746.7</v>
      </c>
      <c r="BN31" s="43">
        <v>3960</v>
      </c>
      <c r="BO31" s="43">
        <f t="shared" si="55"/>
        <v>108851.9</v>
      </c>
      <c r="BP31" s="43">
        <f>108851.9-3960</f>
        <v>104891.9</v>
      </c>
      <c r="BQ31" s="43">
        <v>0</v>
      </c>
      <c r="BR31" s="43">
        <f>178513.2-3960</f>
        <v>174553.2</v>
      </c>
      <c r="BS31" s="43">
        <f t="shared" si="56"/>
        <v>0</v>
      </c>
      <c r="BT31" s="4">
        <v>2402750.65</v>
      </c>
      <c r="BU31" s="4">
        <v>314952</v>
      </c>
      <c r="BV31" s="4">
        <v>0</v>
      </c>
      <c r="BW31" s="4">
        <v>0</v>
      </c>
      <c r="BX31" s="4">
        <f t="shared" si="57"/>
        <v>2717702.65</v>
      </c>
      <c r="BY31" s="4">
        <v>481838.8</v>
      </c>
      <c r="BZ31" s="4">
        <v>1201947.6</v>
      </c>
      <c r="CA31" s="4">
        <v>1033916.25</v>
      </c>
      <c r="CB31" s="4">
        <f t="shared" si="58"/>
        <v>2717702.6500000004</v>
      </c>
      <c r="CC31" s="4">
        <f t="shared" si="59"/>
        <v>0</v>
      </c>
      <c r="CD31" s="74">
        <f t="shared" si="60"/>
        <v>104041.55</v>
      </c>
      <c r="CE31" s="76">
        <f t="shared" si="61"/>
        <v>81482.5</v>
      </c>
      <c r="CF31" s="76">
        <f t="shared" si="62"/>
        <v>69661.30000000002</v>
      </c>
      <c r="CG31" s="76">
        <f t="shared" si="47"/>
        <v>708054.25</v>
      </c>
      <c r="CH31" s="76">
        <f t="shared" si="63"/>
        <v>12541.100000000006</v>
      </c>
      <c r="CI31" s="37">
        <f t="shared" si="64"/>
        <v>67010.40000000001</v>
      </c>
      <c r="CJ31" s="59">
        <f t="shared" si="36"/>
        <v>1.4935344301642373</v>
      </c>
      <c r="CK31" s="59">
        <f t="shared" si="37"/>
        <v>1.1696953688776979</v>
      </c>
      <c r="CL31" s="141">
        <f t="shared" si="38"/>
        <v>0.1469400826278495</v>
      </c>
      <c r="CM31" s="141">
        <f t="shared" si="39"/>
        <v>0.11507945895388666</v>
      </c>
      <c r="CN31" s="141">
        <f t="shared" si="40"/>
        <v>0.01771206090493773</v>
      </c>
      <c r="CO31" s="141">
        <f t="shared" si="41"/>
        <v>0.09464020588817877</v>
      </c>
      <c r="CP31" s="141">
        <f t="shared" si="42"/>
        <v>0.2480756756472847</v>
      </c>
      <c r="CQ31" s="141">
        <f t="shared" si="43"/>
        <v>0.13004137646519268</v>
      </c>
      <c r="CR31" s="142">
        <f t="shared" si="44"/>
        <v>23.574532568342892</v>
      </c>
      <c r="CS31" s="76">
        <f t="shared" si="45"/>
        <v>1920911.8499999999</v>
      </c>
      <c r="CT31" s="80">
        <f t="shared" si="65"/>
        <v>739971.65</v>
      </c>
      <c r="CU31" s="80">
        <f t="shared" si="66"/>
        <v>844013.2</v>
      </c>
      <c r="CV31" s="80">
        <f t="shared" si="67"/>
        <v>104041.54999999993</v>
      </c>
      <c r="CW31" s="80">
        <f t="shared" si="68"/>
        <v>0</v>
      </c>
      <c r="CX31" s="80">
        <f t="shared" si="69"/>
        <v>104041.54999999993</v>
      </c>
      <c r="CY31" s="80">
        <f t="shared" si="70"/>
        <v>132.24999999992724</v>
      </c>
      <c r="CZ31" s="80">
        <f t="shared" si="71"/>
        <v>69661.30000000002</v>
      </c>
      <c r="DA31" s="80">
        <f t="shared" si="72"/>
        <v>103909.3</v>
      </c>
      <c r="DB31" s="80">
        <f t="shared" si="73"/>
        <v>34380.24999999991</v>
      </c>
      <c r="DC31" s="80">
        <f t="shared" si="74"/>
        <v>-208801.2</v>
      </c>
      <c r="DD31" s="80">
        <f t="shared" si="75"/>
        <v>132.2499999999127</v>
      </c>
      <c r="DE31" s="80">
        <f t="shared" si="76"/>
        <v>337507.85</v>
      </c>
      <c r="DF31" s="80">
        <f t="shared" si="77"/>
        <v>6381.766943521594</v>
      </c>
      <c r="DG31" s="80">
        <f t="shared" si="78"/>
        <v>41.66478405315617</v>
      </c>
      <c r="DH31" s="80">
        <f t="shared" si="79"/>
        <v>1121.2885382059799</v>
      </c>
      <c r="DI31" s="81">
        <f t="shared" si="80"/>
        <v>231.43289036544857</v>
      </c>
      <c r="DJ31" s="76">
        <f t="shared" si="81"/>
        <v>114.2200996677738</v>
      </c>
      <c r="DK31" s="147">
        <f t="shared" si="46"/>
        <v>718964.25</v>
      </c>
      <c r="DL31" s="71"/>
      <c r="DM31" s="72"/>
    </row>
    <row r="32" spans="1:117" ht="12.75" customHeight="1">
      <c r="A32" s="60" t="s">
        <v>70</v>
      </c>
      <c r="B32" s="62">
        <f aca="true" t="shared" si="82" ref="B32:BM32">SUM(B3:B31)</f>
        <v>37966</v>
      </c>
      <c r="C32" s="62">
        <f t="shared" si="82"/>
        <v>120978291</v>
      </c>
      <c r="D32" s="62">
        <f t="shared" si="82"/>
        <v>81866.11999999998</v>
      </c>
      <c r="E32" s="62">
        <f t="shared" si="82"/>
        <v>2569.17</v>
      </c>
      <c r="F32" s="62">
        <f t="shared" si="82"/>
        <v>178</v>
      </c>
      <c r="G32" s="119">
        <f t="shared" si="82"/>
        <v>28707392</v>
      </c>
      <c r="H32" s="120">
        <f t="shared" si="82"/>
        <v>29202952.98</v>
      </c>
      <c r="I32" s="120">
        <f t="shared" si="82"/>
        <v>3042325.3</v>
      </c>
      <c r="J32" s="120">
        <f t="shared" si="82"/>
        <v>2825131.3500000006</v>
      </c>
      <c r="K32" s="120">
        <f t="shared" si="82"/>
        <v>12242069.309999999</v>
      </c>
      <c r="L32" s="120">
        <f t="shared" si="82"/>
        <v>1477808.6600000001</v>
      </c>
      <c r="M32" s="120">
        <f t="shared" si="82"/>
        <v>13719877.97</v>
      </c>
      <c r="N32" s="120">
        <f t="shared" si="82"/>
        <v>301414.5</v>
      </c>
      <c r="O32" s="120">
        <f t="shared" si="82"/>
        <v>4394001.15</v>
      </c>
      <c r="P32" s="120">
        <f t="shared" si="82"/>
        <v>11620270.409999998</v>
      </c>
      <c r="Q32" s="120">
        <f t="shared" si="82"/>
        <v>311078.64999999997</v>
      </c>
      <c r="R32" s="120">
        <f t="shared" si="82"/>
        <v>2398462.7099999995</v>
      </c>
      <c r="S32" s="120">
        <f t="shared" si="82"/>
        <v>183845.69999999998</v>
      </c>
      <c r="T32" s="120">
        <f t="shared" si="82"/>
        <v>797353.1</v>
      </c>
      <c r="U32" s="120">
        <f t="shared" si="82"/>
        <v>150731.29</v>
      </c>
      <c r="V32" s="120">
        <f t="shared" si="82"/>
        <v>300000</v>
      </c>
      <c r="W32" s="120">
        <f t="shared" si="82"/>
        <v>3830392.8000000003</v>
      </c>
      <c r="X32" s="120">
        <f t="shared" si="82"/>
        <v>15927163.180000002</v>
      </c>
      <c r="Y32" s="120">
        <f t="shared" si="82"/>
        <v>113882000.29</v>
      </c>
      <c r="Z32" s="120">
        <f t="shared" si="82"/>
        <v>31291219.74</v>
      </c>
      <c r="AA32" s="120">
        <f t="shared" si="82"/>
        <v>2865220.7600000002</v>
      </c>
      <c r="AB32" s="120">
        <f t="shared" si="82"/>
        <v>300985.25</v>
      </c>
      <c r="AC32" s="120">
        <f t="shared" si="82"/>
        <v>4893.9</v>
      </c>
      <c r="AD32" s="120">
        <f t="shared" si="82"/>
        <v>442246</v>
      </c>
      <c r="AE32" s="120">
        <f t="shared" si="82"/>
        <v>34904565.65</v>
      </c>
      <c r="AF32" s="120">
        <f t="shared" si="82"/>
        <v>706566.4500000001</v>
      </c>
      <c r="AG32" s="120">
        <f t="shared" si="82"/>
        <v>9749751.700000001</v>
      </c>
      <c r="AH32" s="120">
        <f t="shared" si="82"/>
        <v>1546836</v>
      </c>
      <c r="AI32" s="120">
        <f t="shared" si="82"/>
        <v>34213745.4</v>
      </c>
      <c r="AJ32" s="120">
        <f t="shared" si="82"/>
        <v>3744243.9499999993</v>
      </c>
      <c r="AK32" s="120">
        <f t="shared" si="82"/>
        <v>2024237.3599999996</v>
      </c>
      <c r="AL32" s="120">
        <f t="shared" si="82"/>
        <v>5547413.370000001</v>
      </c>
      <c r="AM32" s="120">
        <f t="shared" si="82"/>
        <v>489190.85000000003</v>
      </c>
      <c r="AN32" s="120">
        <f t="shared" si="82"/>
        <v>531735.36</v>
      </c>
      <c r="AO32" s="120">
        <f t="shared" si="82"/>
        <v>127940.95</v>
      </c>
      <c r="AP32" s="120">
        <f t="shared" si="82"/>
        <v>4126610.4</v>
      </c>
      <c r="AQ32" s="120">
        <f t="shared" si="82"/>
        <v>2000</v>
      </c>
      <c r="AR32" s="120">
        <f t="shared" si="82"/>
        <v>0</v>
      </c>
      <c r="AS32" s="120">
        <f t="shared" si="82"/>
        <v>4788286.710000001</v>
      </c>
      <c r="AT32" s="120">
        <f t="shared" si="82"/>
        <v>16098188.28</v>
      </c>
      <c r="AU32" s="120">
        <f t="shared" si="82"/>
        <v>112266189.71999998</v>
      </c>
      <c r="AV32" s="120">
        <f t="shared" si="82"/>
        <v>713969.1099999999</v>
      </c>
      <c r="AW32" s="120">
        <f t="shared" si="82"/>
        <v>2329779.6800000006</v>
      </c>
      <c r="AX32" s="120">
        <f t="shared" si="82"/>
        <v>-5.0163748710474465E-09</v>
      </c>
      <c r="AY32" s="120">
        <f t="shared" si="82"/>
        <v>2359200.12</v>
      </c>
      <c r="AZ32" s="120">
        <f t="shared" si="82"/>
        <v>27468249.52</v>
      </c>
      <c r="BA32" s="120">
        <f t="shared" si="82"/>
        <v>649854.4</v>
      </c>
      <c r="BB32" s="120">
        <f t="shared" si="82"/>
        <v>112820.7</v>
      </c>
      <c r="BC32" s="120">
        <f t="shared" si="82"/>
        <v>1990770.05</v>
      </c>
      <c r="BD32" s="120">
        <f t="shared" si="82"/>
        <v>3960</v>
      </c>
      <c r="BE32" s="120">
        <f t="shared" si="82"/>
        <v>1279075.3499999999</v>
      </c>
      <c r="BF32" s="120">
        <f t="shared" si="82"/>
        <v>31504730.020000003</v>
      </c>
      <c r="BG32" s="120">
        <f t="shared" si="82"/>
        <v>103002</v>
      </c>
      <c r="BH32" s="120">
        <f t="shared" si="82"/>
        <v>1616810.3</v>
      </c>
      <c r="BI32" s="120">
        <f t="shared" si="82"/>
        <v>0</v>
      </c>
      <c r="BJ32" s="120">
        <f t="shared" si="82"/>
        <v>339737.4</v>
      </c>
      <c r="BK32" s="120">
        <f t="shared" si="82"/>
        <v>19551</v>
      </c>
      <c r="BL32" s="120">
        <f t="shared" si="82"/>
        <v>619956.3499999999</v>
      </c>
      <c r="BM32" s="120">
        <f t="shared" si="82"/>
        <v>10074057.4</v>
      </c>
      <c r="BN32" s="120">
        <f aca="true" t="shared" si="83" ref="BN32:DK32">SUM(BN3:BN31)</f>
        <v>3960</v>
      </c>
      <c r="BO32" s="120">
        <f t="shared" si="83"/>
        <v>12777074.450000001</v>
      </c>
      <c r="BP32" s="120">
        <f t="shared" si="83"/>
        <v>12658600.450000001</v>
      </c>
      <c r="BQ32" s="120">
        <f t="shared" si="83"/>
        <v>100000</v>
      </c>
      <c r="BR32" s="120">
        <f t="shared" si="83"/>
        <v>31486256.020000003</v>
      </c>
      <c r="BS32" s="120">
        <f t="shared" si="83"/>
        <v>0</v>
      </c>
      <c r="BT32" s="120">
        <f t="shared" si="83"/>
        <v>131041486.54</v>
      </c>
      <c r="BU32" s="120">
        <f t="shared" si="83"/>
        <v>87688450.31</v>
      </c>
      <c r="BV32" s="120">
        <f t="shared" si="83"/>
        <v>2810421.4999999995</v>
      </c>
      <c r="BW32" s="120">
        <f t="shared" si="83"/>
        <v>4153160.5000000005</v>
      </c>
      <c r="BX32" s="120">
        <f t="shared" si="83"/>
        <v>225693518.85000002</v>
      </c>
      <c r="BY32" s="120">
        <f t="shared" si="83"/>
        <v>119582965.00999999</v>
      </c>
      <c r="BZ32" s="120">
        <f t="shared" si="83"/>
        <v>47810694.449999996</v>
      </c>
      <c r="CA32" s="120">
        <f t="shared" si="83"/>
        <v>58299859.38999999</v>
      </c>
      <c r="CB32" s="120">
        <f t="shared" si="83"/>
        <v>225693518.85000002</v>
      </c>
      <c r="CC32" s="120">
        <f t="shared" si="83"/>
        <v>0</v>
      </c>
      <c r="CD32" s="120">
        <f t="shared" si="83"/>
        <v>12104067.399999999</v>
      </c>
      <c r="CE32" s="120">
        <f t="shared" si="83"/>
        <v>11146173.489999998</v>
      </c>
      <c r="CF32" s="120">
        <f t="shared" si="83"/>
        <v>18827655.57</v>
      </c>
      <c r="CG32" s="120">
        <f t="shared" si="83"/>
        <v>90890523.87999998</v>
      </c>
      <c r="CH32" s="120">
        <f t="shared" si="83"/>
        <v>-2701390.2800000003</v>
      </c>
      <c r="CI32" s="120">
        <f t="shared" si="83"/>
        <v>9540679.030000003</v>
      </c>
      <c r="CJ32" s="121">
        <f t="shared" si="83"/>
        <v>-32.41717311123533</v>
      </c>
      <c r="CK32" s="121">
        <f t="shared" si="83"/>
        <v>30.727397723127847</v>
      </c>
      <c r="CL32" s="121">
        <f t="shared" si="83"/>
        <v>3.151912732475705</v>
      </c>
      <c r="CM32" s="121">
        <f t="shared" si="83"/>
        <v>3.406824523472916</v>
      </c>
      <c r="CN32" s="121">
        <f t="shared" si="83"/>
        <v>-0.942809928020472</v>
      </c>
      <c r="CO32" s="121">
        <f t="shared" si="83"/>
        <v>1.7252048529020605</v>
      </c>
      <c r="CP32" s="121">
        <f t="shared" si="83"/>
        <v>4.5326736490289585</v>
      </c>
      <c r="CQ32" s="121">
        <f t="shared" si="83"/>
        <v>3.4574698177320813</v>
      </c>
      <c r="CR32" s="120">
        <f t="shared" si="83"/>
        <v>-15523.71146097208</v>
      </c>
      <c r="CS32" s="120">
        <f t="shared" si="83"/>
        <v>11458521.529999996</v>
      </c>
      <c r="CT32" s="120">
        <f t="shared" si="83"/>
        <v>99862122.32</v>
      </c>
      <c r="CU32" s="120">
        <f t="shared" si="83"/>
        <v>112266189.71999998</v>
      </c>
      <c r="CV32" s="120">
        <f t="shared" si="83"/>
        <v>12404067.400000008</v>
      </c>
      <c r="CW32" s="120">
        <f t="shared" si="83"/>
        <v>-300000</v>
      </c>
      <c r="CX32" s="120">
        <f t="shared" si="83"/>
        <v>12104067.400000008</v>
      </c>
      <c r="CY32" s="120">
        <f t="shared" si="83"/>
        <v>-1615810.5699999942</v>
      </c>
      <c r="CZ32" s="120">
        <f t="shared" si="83"/>
        <v>18827655.57</v>
      </c>
      <c r="DA32" s="120">
        <f t="shared" si="83"/>
        <v>13719877.97</v>
      </c>
      <c r="DB32" s="120">
        <f t="shared" si="83"/>
        <v>-6723588.169999993</v>
      </c>
      <c r="DC32" s="120">
        <f t="shared" si="83"/>
        <v>-26378478.42000001</v>
      </c>
      <c r="DD32" s="120">
        <f t="shared" si="83"/>
        <v>-1615810.5699999947</v>
      </c>
      <c r="DE32" s="120">
        <f t="shared" si="83"/>
        <v>34457425.75000001</v>
      </c>
      <c r="DF32" s="120">
        <f t="shared" si="83"/>
        <v>32808.70507137464</v>
      </c>
      <c r="DG32" s="120">
        <f t="shared" si="83"/>
        <v>-4797.607571715483</v>
      </c>
      <c r="DH32" s="120">
        <f t="shared" si="83"/>
        <v>25919.663431931793</v>
      </c>
      <c r="DI32" s="120">
        <f t="shared" si="83"/>
        <v>11560.028289307067</v>
      </c>
      <c r="DJ32" s="120">
        <f t="shared" si="83"/>
        <v>-2551.9770221443623</v>
      </c>
      <c r="DK32" s="120">
        <f t="shared" si="83"/>
        <v>-33541751.42</v>
      </c>
      <c r="DL32" s="13">
        <f>SUM(DL3:DL31)</f>
        <v>0</v>
      </c>
      <c r="DM32" s="26">
        <f>SUM(DM3:DM31)</f>
        <v>0</v>
      </c>
    </row>
    <row r="33" spans="1:117" ht="12.75">
      <c r="A33" s="31" t="s">
        <v>47</v>
      </c>
      <c r="B33" s="24">
        <f aca="true" t="shared" si="84" ref="B33:BM33">MIN(B3:B31)</f>
        <v>172</v>
      </c>
      <c r="C33" s="24">
        <f t="shared" si="84"/>
        <v>391363</v>
      </c>
      <c r="D33" s="25">
        <f t="shared" si="84"/>
        <v>1913.87</v>
      </c>
      <c r="E33" s="25">
        <f t="shared" si="84"/>
        <v>60.06</v>
      </c>
      <c r="F33" s="117">
        <f t="shared" si="84"/>
        <v>1</v>
      </c>
      <c r="G33" s="124">
        <f t="shared" si="84"/>
        <v>70151.8</v>
      </c>
      <c r="H33" s="24">
        <f t="shared" si="84"/>
        <v>77958.7</v>
      </c>
      <c r="I33" s="24">
        <f t="shared" si="84"/>
        <v>2778.25</v>
      </c>
      <c r="J33" s="24">
        <f t="shared" si="84"/>
        <v>0</v>
      </c>
      <c r="K33" s="24">
        <f t="shared" si="84"/>
        <v>3464.1</v>
      </c>
      <c r="L33" s="24">
        <f t="shared" si="84"/>
        <v>0</v>
      </c>
      <c r="M33" s="24">
        <f t="shared" si="84"/>
        <v>3464.1</v>
      </c>
      <c r="N33" s="24">
        <f t="shared" si="84"/>
        <v>0</v>
      </c>
      <c r="O33" s="24">
        <f t="shared" si="84"/>
        <v>10781</v>
      </c>
      <c r="P33" s="24">
        <f t="shared" si="84"/>
        <v>46303.3</v>
      </c>
      <c r="Q33" s="24">
        <f t="shared" si="84"/>
        <v>0</v>
      </c>
      <c r="R33" s="24">
        <f t="shared" si="84"/>
        <v>0</v>
      </c>
      <c r="S33" s="24">
        <f t="shared" si="84"/>
        <v>0</v>
      </c>
      <c r="T33" s="24">
        <f t="shared" si="84"/>
        <v>0</v>
      </c>
      <c r="U33" s="24">
        <f t="shared" si="84"/>
        <v>0</v>
      </c>
      <c r="V33" s="24">
        <f t="shared" si="84"/>
        <v>0</v>
      </c>
      <c r="W33" s="24">
        <f t="shared" si="84"/>
        <v>0</v>
      </c>
      <c r="X33" s="24">
        <f t="shared" si="84"/>
        <v>2940</v>
      </c>
      <c r="Y33" s="24">
        <f t="shared" si="84"/>
        <v>327879.7</v>
      </c>
      <c r="Z33" s="24">
        <f t="shared" si="84"/>
        <v>33741.9</v>
      </c>
      <c r="AA33" s="24">
        <f t="shared" si="84"/>
        <v>0</v>
      </c>
      <c r="AB33" s="24">
        <f t="shared" si="84"/>
        <v>-2800.25</v>
      </c>
      <c r="AC33" s="24">
        <f>MIN(AC3:AC31)</f>
        <v>0</v>
      </c>
      <c r="AD33" s="24">
        <f t="shared" si="84"/>
        <v>0</v>
      </c>
      <c r="AE33" s="24">
        <f t="shared" si="84"/>
        <v>78450.2</v>
      </c>
      <c r="AF33" s="24">
        <f t="shared" si="84"/>
        <v>0</v>
      </c>
      <c r="AG33" s="24">
        <f t="shared" si="84"/>
        <v>13659.2</v>
      </c>
      <c r="AH33" s="24">
        <f t="shared" si="84"/>
        <v>0</v>
      </c>
      <c r="AI33" s="24">
        <f t="shared" si="84"/>
        <v>60801.600000000006</v>
      </c>
      <c r="AJ33" s="24">
        <f t="shared" si="84"/>
        <v>3474.3</v>
      </c>
      <c r="AK33" s="24">
        <f t="shared" si="84"/>
        <v>1450</v>
      </c>
      <c r="AL33" s="24">
        <f t="shared" si="84"/>
        <v>7462.5</v>
      </c>
      <c r="AM33" s="24">
        <f t="shared" si="84"/>
        <v>0</v>
      </c>
      <c r="AN33" s="24">
        <f t="shared" si="84"/>
        <v>0</v>
      </c>
      <c r="AO33" s="24">
        <f t="shared" si="84"/>
        <v>0</v>
      </c>
      <c r="AP33" s="24">
        <f t="shared" si="84"/>
        <v>0</v>
      </c>
      <c r="AQ33" s="24">
        <f t="shared" si="84"/>
        <v>0</v>
      </c>
      <c r="AR33" s="24">
        <f t="shared" si="84"/>
        <v>0</v>
      </c>
      <c r="AS33" s="24">
        <f t="shared" si="84"/>
        <v>0</v>
      </c>
      <c r="AT33" s="24">
        <f t="shared" si="84"/>
        <v>2940</v>
      </c>
      <c r="AU33" s="24">
        <f t="shared" si="84"/>
        <v>328996.05</v>
      </c>
      <c r="AV33" s="24">
        <f t="shared" si="84"/>
        <v>0</v>
      </c>
      <c r="AW33" s="24">
        <f t="shared" si="84"/>
        <v>0</v>
      </c>
      <c r="AX33" s="24">
        <f t="shared" si="84"/>
        <v>-3.6507685763353948E-09</v>
      </c>
      <c r="AY33" s="24">
        <f t="shared" si="84"/>
        <v>0</v>
      </c>
      <c r="AZ33" s="24">
        <f t="shared" si="84"/>
        <v>2571.25</v>
      </c>
      <c r="BA33" s="24">
        <f t="shared" si="84"/>
        <v>0</v>
      </c>
      <c r="BB33" s="24">
        <f t="shared" si="84"/>
        <v>0</v>
      </c>
      <c r="BC33" s="24">
        <f t="shared" si="84"/>
        <v>0</v>
      </c>
      <c r="BD33" s="24">
        <f t="shared" si="84"/>
        <v>0</v>
      </c>
      <c r="BE33" s="24">
        <f t="shared" si="84"/>
        <v>0</v>
      </c>
      <c r="BF33" s="24">
        <f t="shared" si="84"/>
        <v>2571.25</v>
      </c>
      <c r="BG33" s="24">
        <f t="shared" si="84"/>
        <v>0</v>
      </c>
      <c r="BH33" s="24">
        <f t="shared" si="84"/>
        <v>0</v>
      </c>
      <c r="BI33" s="24">
        <f t="shared" si="84"/>
        <v>0</v>
      </c>
      <c r="BJ33" s="24">
        <f t="shared" si="84"/>
        <v>0</v>
      </c>
      <c r="BK33" s="24">
        <f t="shared" si="84"/>
        <v>0</v>
      </c>
      <c r="BL33" s="24">
        <f t="shared" si="84"/>
        <v>0</v>
      </c>
      <c r="BM33" s="24">
        <f t="shared" si="84"/>
        <v>0</v>
      </c>
      <c r="BN33" s="24">
        <f aca="true" t="shared" si="85" ref="BN33:DK33">MIN(BN3:BN31)</f>
        <v>0</v>
      </c>
      <c r="BO33" s="24">
        <f t="shared" si="85"/>
        <v>0</v>
      </c>
      <c r="BP33" s="24">
        <f t="shared" si="85"/>
        <v>0</v>
      </c>
      <c r="BQ33" s="24">
        <f t="shared" si="85"/>
        <v>0</v>
      </c>
      <c r="BR33" s="24">
        <f t="shared" si="85"/>
        <v>2571.25</v>
      </c>
      <c r="BS33" s="24">
        <f t="shared" si="85"/>
        <v>0</v>
      </c>
      <c r="BT33" s="24">
        <f t="shared" si="85"/>
        <v>778594.98</v>
      </c>
      <c r="BU33" s="24">
        <f t="shared" si="85"/>
        <v>48923.8</v>
      </c>
      <c r="BV33" s="24">
        <f t="shared" si="85"/>
        <v>0</v>
      </c>
      <c r="BW33" s="24">
        <f t="shared" si="85"/>
        <v>0</v>
      </c>
      <c r="BX33" s="24">
        <f t="shared" si="85"/>
        <v>1316153.55</v>
      </c>
      <c r="BY33" s="24">
        <f t="shared" si="85"/>
        <v>343705.45</v>
      </c>
      <c r="BZ33" s="24">
        <f t="shared" si="85"/>
        <v>202446.6</v>
      </c>
      <c r="CA33" s="24">
        <f t="shared" si="85"/>
        <v>0</v>
      </c>
      <c r="CB33" s="24">
        <f t="shared" si="85"/>
        <v>1316153.5499999998</v>
      </c>
      <c r="CC33" s="24">
        <f t="shared" si="85"/>
        <v>0</v>
      </c>
      <c r="CD33" s="24">
        <f t="shared" si="85"/>
        <v>-271960.55</v>
      </c>
      <c r="CE33" s="24">
        <f t="shared" si="85"/>
        <v>-52548.95</v>
      </c>
      <c r="CF33" s="24">
        <f t="shared" si="85"/>
        <v>-179765</v>
      </c>
      <c r="CG33" s="24">
        <f t="shared" si="85"/>
        <v>263404.6</v>
      </c>
      <c r="CH33" s="24">
        <f t="shared" si="85"/>
        <v>-2770481.15</v>
      </c>
      <c r="CI33" s="24">
        <f t="shared" si="85"/>
        <v>-2107594.05</v>
      </c>
      <c r="CJ33" s="93">
        <f t="shared" si="85"/>
        <v>-111.20500484966054</v>
      </c>
      <c r="CK33" s="93">
        <f t="shared" si="85"/>
        <v>-129.28581959262854</v>
      </c>
      <c r="CL33" s="93">
        <f t="shared" si="85"/>
        <v>-0.0838663476195289</v>
      </c>
      <c r="CM33" s="93">
        <f t="shared" si="85"/>
        <v>-0.19949898369276772</v>
      </c>
      <c r="CN33" s="93">
        <f t="shared" si="85"/>
        <v>-0.75737333104557</v>
      </c>
      <c r="CO33" s="93">
        <f t="shared" si="85"/>
        <v>-0.5761582337928282</v>
      </c>
      <c r="CP33" s="93">
        <f t="shared" si="85"/>
        <v>0.06612404772857854</v>
      </c>
      <c r="CQ33" s="93">
        <f t="shared" si="85"/>
        <v>0.048857070231945014</v>
      </c>
      <c r="CR33" s="24">
        <f t="shared" si="85"/>
        <v>-15491.849251951864</v>
      </c>
      <c r="CS33" s="24">
        <f t="shared" si="85"/>
        <v>-21778726.11</v>
      </c>
      <c r="CT33" s="24">
        <f t="shared" si="85"/>
        <v>324415.60000000003</v>
      </c>
      <c r="CU33" s="24">
        <f t="shared" si="85"/>
        <v>328996.05</v>
      </c>
      <c r="CV33" s="24">
        <f t="shared" si="85"/>
        <v>-271960.5500000003</v>
      </c>
      <c r="CW33" s="24">
        <f t="shared" si="85"/>
        <v>-300000</v>
      </c>
      <c r="CX33" s="24">
        <f t="shared" si="85"/>
        <v>-271960.5500000003</v>
      </c>
      <c r="CY33" s="24">
        <f t="shared" si="85"/>
        <v>-547804.3999999985</v>
      </c>
      <c r="CZ33" s="24">
        <f t="shared" si="85"/>
        <v>-179765</v>
      </c>
      <c r="DA33" s="24">
        <f t="shared" si="85"/>
        <v>3464.1</v>
      </c>
      <c r="DB33" s="24">
        <f t="shared" si="85"/>
        <v>-2336526.479999997</v>
      </c>
      <c r="DC33" s="24">
        <f t="shared" si="85"/>
        <v>-9717735.850000001</v>
      </c>
      <c r="DD33" s="24">
        <f t="shared" si="85"/>
        <v>-547804.3999999985</v>
      </c>
      <c r="DE33" s="24">
        <f t="shared" si="85"/>
        <v>69389.65</v>
      </c>
      <c r="DF33" s="24">
        <f t="shared" si="85"/>
        <v>-10396.483128078818</v>
      </c>
      <c r="DG33" s="24">
        <f t="shared" si="85"/>
        <v>-4362.962440944882</v>
      </c>
      <c r="DH33" s="24">
        <f t="shared" si="85"/>
        <v>183.06357142857144</v>
      </c>
      <c r="DI33" s="24">
        <f t="shared" si="85"/>
        <v>-482.80837837837845</v>
      </c>
      <c r="DJ33" s="24">
        <f t="shared" si="85"/>
        <v>-3215.065511811022</v>
      </c>
      <c r="DK33" s="24">
        <f t="shared" si="85"/>
        <v>-25716106.81</v>
      </c>
      <c r="DL33" s="13">
        <f>MIN(DL3:DL31)</f>
        <v>0</v>
      </c>
      <c r="DM33" s="26">
        <f>MIN(DM3:DM31)</f>
        <v>0</v>
      </c>
    </row>
    <row r="34" spans="1:117" ht="12.75">
      <c r="A34" s="31" t="s">
        <v>48</v>
      </c>
      <c r="B34" s="24">
        <f aca="true" t="shared" si="86" ref="B34:BM34">MAX(B3:B31)</f>
        <v>5551</v>
      </c>
      <c r="C34" s="24">
        <f t="shared" si="86"/>
        <v>21735233</v>
      </c>
      <c r="D34" s="25">
        <f t="shared" si="86"/>
        <v>6138.44</v>
      </c>
      <c r="E34" s="25">
        <f t="shared" si="86"/>
        <v>192.64</v>
      </c>
      <c r="F34" s="117">
        <f t="shared" si="86"/>
        <v>15</v>
      </c>
      <c r="G34" s="124">
        <f t="shared" si="86"/>
        <v>4632544.4</v>
      </c>
      <c r="H34" s="24">
        <f t="shared" si="86"/>
        <v>5954853.21</v>
      </c>
      <c r="I34" s="24">
        <f t="shared" si="86"/>
        <v>852230.8</v>
      </c>
      <c r="J34" s="24">
        <f t="shared" si="86"/>
        <v>2125387.7</v>
      </c>
      <c r="K34" s="24">
        <f t="shared" si="86"/>
        <v>5487366.7</v>
      </c>
      <c r="L34" s="24">
        <f t="shared" si="86"/>
        <v>550190.36</v>
      </c>
      <c r="M34" s="24">
        <f t="shared" si="86"/>
        <v>5487366.7</v>
      </c>
      <c r="N34" s="24">
        <f t="shared" si="86"/>
        <v>183044.5</v>
      </c>
      <c r="O34" s="24">
        <f t="shared" si="86"/>
        <v>645579.55</v>
      </c>
      <c r="P34" s="24">
        <f t="shared" si="86"/>
        <v>1574957.73</v>
      </c>
      <c r="Q34" s="24">
        <f t="shared" si="86"/>
        <v>107212.9</v>
      </c>
      <c r="R34" s="24">
        <f t="shared" si="86"/>
        <v>589387.01</v>
      </c>
      <c r="S34" s="24">
        <f t="shared" si="86"/>
        <v>61111.85</v>
      </c>
      <c r="T34" s="24">
        <f t="shared" si="86"/>
        <v>300000</v>
      </c>
      <c r="U34" s="24">
        <f t="shared" si="86"/>
        <v>150731.29</v>
      </c>
      <c r="V34" s="24">
        <f t="shared" si="86"/>
        <v>300000</v>
      </c>
      <c r="W34" s="24">
        <f t="shared" si="86"/>
        <v>606051.38</v>
      </c>
      <c r="X34" s="24">
        <f t="shared" si="86"/>
        <v>2484794.1</v>
      </c>
      <c r="Y34" s="24">
        <f t="shared" si="86"/>
        <v>17841789.1</v>
      </c>
      <c r="Z34" s="24">
        <f t="shared" si="86"/>
        <v>5360723.9</v>
      </c>
      <c r="AA34" s="24">
        <f t="shared" si="86"/>
        <v>668376.65</v>
      </c>
      <c r="AB34" s="24">
        <f t="shared" si="86"/>
        <v>59821</v>
      </c>
      <c r="AC34" s="24">
        <f>MAX(AC3:AC31)</f>
        <v>2760.55</v>
      </c>
      <c r="AD34" s="24">
        <f t="shared" si="86"/>
        <v>188500.1</v>
      </c>
      <c r="AE34" s="24">
        <f t="shared" si="86"/>
        <v>5682343.9</v>
      </c>
      <c r="AF34" s="24">
        <f t="shared" si="86"/>
        <v>257352.1</v>
      </c>
      <c r="AG34" s="24">
        <f t="shared" si="86"/>
        <v>2900020.7</v>
      </c>
      <c r="AH34" s="24">
        <f t="shared" si="86"/>
        <v>867571</v>
      </c>
      <c r="AI34" s="24">
        <f t="shared" si="86"/>
        <v>7289900.51</v>
      </c>
      <c r="AJ34" s="24">
        <f t="shared" si="86"/>
        <v>739757.05</v>
      </c>
      <c r="AK34" s="24">
        <f t="shared" si="86"/>
        <v>448411.85</v>
      </c>
      <c r="AL34" s="24">
        <f t="shared" si="86"/>
        <v>1201029.15</v>
      </c>
      <c r="AM34" s="24">
        <f t="shared" si="86"/>
        <v>222557</v>
      </c>
      <c r="AN34" s="24">
        <f t="shared" si="86"/>
        <v>108414.61</v>
      </c>
      <c r="AO34" s="24">
        <f t="shared" si="86"/>
        <v>59862.3</v>
      </c>
      <c r="AP34" s="24">
        <f t="shared" si="86"/>
        <v>3928368</v>
      </c>
      <c r="AQ34" s="24">
        <f t="shared" si="86"/>
        <v>2000</v>
      </c>
      <c r="AR34" s="24">
        <f t="shared" si="86"/>
        <v>0</v>
      </c>
      <c r="AS34" s="24">
        <f t="shared" si="86"/>
        <v>3929314.25</v>
      </c>
      <c r="AT34" s="24">
        <f t="shared" si="86"/>
        <v>2520118.22</v>
      </c>
      <c r="AU34" s="24">
        <f t="shared" si="86"/>
        <v>17536586.5</v>
      </c>
      <c r="AV34" s="24">
        <f t="shared" si="86"/>
        <v>211971.05</v>
      </c>
      <c r="AW34" s="24">
        <f t="shared" si="86"/>
        <v>547804.4</v>
      </c>
      <c r="AX34" s="24">
        <f t="shared" si="86"/>
        <v>4.246430762577802E-09</v>
      </c>
      <c r="AY34" s="24">
        <f t="shared" si="86"/>
        <v>817082.85</v>
      </c>
      <c r="AZ34" s="24">
        <f t="shared" si="86"/>
        <v>7148608.85</v>
      </c>
      <c r="BA34" s="24">
        <f t="shared" si="86"/>
        <v>590000</v>
      </c>
      <c r="BB34" s="24">
        <f t="shared" si="86"/>
        <v>36847</v>
      </c>
      <c r="BC34" s="24">
        <f t="shared" si="86"/>
        <v>807410.3</v>
      </c>
      <c r="BD34" s="24">
        <f t="shared" si="86"/>
        <v>3960</v>
      </c>
      <c r="BE34" s="24">
        <f t="shared" si="86"/>
        <v>513929.85</v>
      </c>
      <c r="BF34" s="24">
        <f t="shared" si="86"/>
        <v>7774538.699999999</v>
      </c>
      <c r="BG34" s="24">
        <f t="shared" si="86"/>
        <v>69923.05</v>
      </c>
      <c r="BH34" s="24">
        <f t="shared" si="86"/>
        <v>745606.55</v>
      </c>
      <c r="BI34" s="24">
        <f t="shared" si="86"/>
        <v>0</v>
      </c>
      <c r="BJ34" s="24">
        <f t="shared" si="86"/>
        <v>150000</v>
      </c>
      <c r="BK34" s="24">
        <f t="shared" si="86"/>
        <v>11551</v>
      </c>
      <c r="BL34" s="24">
        <f t="shared" si="86"/>
        <v>289809.1</v>
      </c>
      <c r="BM34" s="24">
        <f t="shared" si="86"/>
        <v>4230369.15</v>
      </c>
      <c r="BN34" s="24">
        <f aca="true" t="shared" si="87" ref="BN34:DK34">MAX(BN3:BN31)</f>
        <v>3960</v>
      </c>
      <c r="BO34" s="24">
        <f t="shared" si="87"/>
        <v>4230369.15</v>
      </c>
      <c r="BP34" s="24">
        <f t="shared" si="87"/>
        <v>4230369.15</v>
      </c>
      <c r="BQ34" s="24">
        <f t="shared" si="87"/>
        <v>100000</v>
      </c>
      <c r="BR34" s="24">
        <f t="shared" si="87"/>
        <v>7774538.7</v>
      </c>
      <c r="BS34" s="24">
        <f t="shared" si="87"/>
        <v>0</v>
      </c>
      <c r="BT34" s="24">
        <f t="shared" si="87"/>
        <v>17500457.38</v>
      </c>
      <c r="BU34" s="24">
        <f t="shared" si="87"/>
        <v>30342518.75</v>
      </c>
      <c r="BV34" s="24">
        <f t="shared" si="87"/>
        <v>1641622.05</v>
      </c>
      <c r="BW34" s="24">
        <f t="shared" si="87"/>
        <v>2814430.47</v>
      </c>
      <c r="BX34" s="24">
        <f t="shared" si="87"/>
        <v>40905951.61</v>
      </c>
      <c r="BY34" s="24">
        <f t="shared" si="87"/>
        <v>32342158.97</v>
      </c>
      <c r="BZ34" s="24">
        <f t="shared" si="87"/>
        <v>6358330.57</v>
      </c>
      <c r="CA34" s="24">
        <f t="shared" si="87"/>
        <v>13172837.14</v>
      </c>
      <c r="CB34" s="24">
        <f t="shared" si="87"/>
        <v>40905951.61</v>
      </c>
      <c r="CC34" s="24">
        <f t="shared" si="87"/>
        <v>0</v>
      </c>
      <c r="CD34" s="24">
        <f t="shared" si="87"/>
        <v>5182164.100000001</v>
      </c>
      <c r="CE34" s="24">
        <f t="shared" si="87"/>
        <v>1557214.78</v>
      </c>
      <c r="CF34" s="24">
        <f t="shared" si="87"/>
        <v>3544169.55</v>
      </c>
      <c r="CG34" s="24">
        <f t="shared" si="87"/>
        <v>11694354.75</v>
      </c>
      <c r="CH34" s="24">
        <f t="shared" si="87"/>
        <v>481942.80000000005</v>
      </c>
      <c r="CI34" s="24">
        <f t="shared" si="87"/>
        <v>5664201.4</v>
      </c>
      <c r="CJ34" s="93">
        <f t="shared" si="87"/>
        <v>55.31126542679319</v>
      </c>
      <c r="CK34" s="93">
        <f t="shared" si="87"/>
        <v>131.53616143559316</v>
      </c>
      <c r="CL34" s="93">
        <f t="shared" si="87"/>
        <v>0.44313382061545553</v>
      </c>
      <c r="CM34" s="93">
        <f t="shared" si="87"/>
        <v>0.3816576243558365</v>
      </c>
      <c r="CN34" s="93">
        <f t="shared" si="87"/>
        <v>0.1802027791089979</v>
      </c>
      <c r="CO34" s="93">
        <f t="shared" si="87"/>
        <v>0.48435347833107256</v>
      </c>
      <c r="CP34" s="93">
        <f t="shared" si="87"/>
        <v>0.6045991643817731</v>
      </c>
      <c r="CQ34" s="93">
        <f t="shared" si="87"/>
        <v>0.37094226092168947</v>
      </c>
      <c r="CR34" s="24">
        <f t="shared" si="87"/>
        <v>75.86237485236668</v>
      </c>
      <c r="CS34" s="24">
        <f t="shared" si="87"/>
        <v>8708433.219999999</v>
      </c>
      <c r="CT34" s="24">
        <f t="shared" si="87"/>
        <v>12354422.400000002</v>
      </c>
      <c r="CU34" s="24">
        <f t="shared" si="87"/>
        <v>17536586.5</v>
      </c>
      <c r="CV34" s="24">
        <f t="shared" si="87"/>
        <v>5182164.099999998</v>
      </c>
      <c r="CW34" s="24">
        <f t="shared" si="87"/>
        <v>0</v>
      </c>
      <c r="CX34" s="24">
        <f t="shared" si="87"/>
        <v>5182164.099999998</v>
      </c>
      <c r="CY34" s="24">
        <f t="shared" si="87"/>
        <v>211971.05000000005</v>
      </c>
      <c r="CZ34" s="24">
        <f t="shared" si="87"/>
        <v>3544169.55</v>
      </c>
      <c r="DA34" s="24">
        <f t="shared" si="87"/>
        <v>5487366.7</v>
      </c>
      <c r="DB34" s="24">
        <f t="shared" si="87"/>
        <v>1637994.549999998</v>
      </c>
      <c r="DC34" s="24">
        <f t="shared" si="87"/>
        <v>-24214.7</v>
      </c>
      <c r="DD34" s="24">
        <f t="shared" si="87"/>
        <v>211971.05000000005</v>
      </c>
      <c r="DE34" s="24">
        <f t="shared" si="87"/>
        <v>5657777.4</v>
      </c>
      <c r="DF34" s="24">
        <f t="shared" si="87"/>
        <v>6381.766943521594</v>
      </c>
      <c r="DG34" s="24">
        <f t="shared" si="87"/>
        <v>515.4878078817734</v>
      </c>
      <c r="DH34" s="24">
        <f t="shared" si="87"/>
        <v>1644.565988372093</v>
      </c>
      <c r="DI34" s="24">
        <f t="shared" si="87"/>
        <v>4310.016456692913</v>
      </c>
      <c r="DJ34" s="24">
        <f t="shared" si="87"/>
        <v>1257.0857142857142</v>
      </c>
      <c r="DK34" s="24">
        <f t="shared" si="87"/>
        <v>7020998.090000001</v>
      </c>
      <c r="DL34" s="13">
        <f>MAX(DL3:DL31)</f>
        <v>0</v>
      </c>
      <c r="DM34" s="26">
        <f>MAX(DM3:DM31)</f>
        <v>0</v>
      </c>
    </row>
    <row r="35" spans="1:117" ht="13.5" thickBot="1">
      <c r="A35" s="32" t="s">
        <v>49</v>
      </c>
      <c r="B35" s="27">
        <f>MEDIAN(B3:B31)</f>
        <v>630</v>
      </c>
      <c r="C35" s="27">
        <f>MEDIAN(C3:C31)</f>
        <v>1550894</v>
      </c>
      <c r="D35" s="28">
        <f>MEDIAN(D3:D31)</f>
        <v>2674.32</v>
      </c>
      <c r="E35" s="28">
        <f>MEDIAN(E3:E31)</f>
        <v>83.93</v>
      </c>
      <c r="F35" s="136">
        <f>MEDIAN(F3:F31)</f>
        <v>6</v>
      </c>
      <c r="G35" s="125">
        <f aca="true" t="shared" si="88" ref="G35:BR35">MEDIAN(G3:G31)</f>
        <v>591458</v>
      </c>
      <c r="H35" s="27">
        <f t="shared" si="88"/>
        <v>433342.4</v>
      </c>
      <c r="I35" s="27">
        <f t="shared" si="88"/>
        <v>24431.7</v>
      </c>
      <c r="J35" s="27">
        <f t="shared" si="88"/>
        <v>1146.8</v>
      </c>
      <c r="K35" s="27">
        <f t="shared" si="88"/>
        <v>147198.75</v>
      </c>
      <c r="L35" s="27">
        <f t="shared" si="88"/>
        <v>0</v>
      </c>
      <c r="M35" s="27">
        <f t="shared" si="88"/>
        <v>192929</v>
      </c>
      <c r="N35" s="27">
        <f t="shared" si="88"/>
        <v>0</v>
      </c>
      <c r="O35" s="27">
        <f t="shared" si="88"/>
        <v>102041.3</v>
      </c>
      <c r="P35" s="27">
        <f t="shared" si="88"/>
        <v>189907.6</v>
      </c>
      <c r="Q35" s="27">
        <f t="shared" si="88"/>
        <v>140.5</v>
      </c>
      <c r="R35" s="27">
        <f t="shared" si="88"/>
        <v>19985.41</v>
      </c>
      <c r="S35" s="27">
        <f t="shared" si="88"/>
        <v>0</v>
      </c>
      <c r="T35" s="27">
        <f t="shared" si="88"/>
        <v>0</v>
      </c>
      <c r="U35" s="27">
        <f t="shared" si="88"/>
        <v>0</v>
      </c>
      <c r="V35" s="27">
        <f t="shared" si="88"/>
        <v>0</v>
      </c>
      <c r="W35" s="27">
        <f t="shared" si="88"/>
        <v>48107.2</v>
      </c>
      <c r="X35" s="27">
        <f t="shared" si="88"/>
        <v>287500.85</v>
      </c>
      <c r="Y35" s="27">
        <f t="shared" si="88"/>
        <v>2262387.45</v>
      </c>
      <c r="Z35" s="27">
        <f t="shared" si="88"/>
        <v>449998.8499999999</v>
      </c>
      <c r="AA35" s="27">
        <f t="shared" si="88"/>
        <v>9590.35</v>
      </c>
      <c r="AB35" s="27">
        <f t="shared" si="88"/>
        <v>3187.65</v>
      </c>
      <c r="AC35" s="27">
        <f>MEDIAN(AC3:AC31)</f>
        <v>0</v>
      </c>
      <c r="AD35" s="27">
        <f t="shared" si="88"/>
        <v>5350</v>
      </c>
      <c r="AE35" s="27">
        <f t="shared" si="88"/>
        <v>507789.39999999997</v>
      </c>
      <c r="AF35" s="27">
        <f t="shared" si="88"/>
        <v>120</v>
      </c>
      <c r="AG35" s="27">
        <f t="shared" si="88"/>
        <v>96202.2</v>
      </c>
      <c r="AH35" s="27">
        <f t="shared" si="88"/>
        <v>0</v>
      </c>
      <c r="AI35" s="27">
        <f t="shared" si="88"/>
        <v>486169.66</v>
      </c>
      <c r="AJ35" s="27">
        <f t="shared" si="88"/>
        <v>36770.3</v>
      </c>
      <c r="AK35" s="27">
        <f t="shared" si="88"/>
        <v>61876.95</v>
      </c>
      <c r="AL35" s="27">
        <f t="shared" si="88"/>
        <v>126397.95</v>
      </c>
      <c r="AM35" s="27">
        <f t="shared" si="88"/>
        <v>0</v>
      </c>
      <c r="AN35" s="27">
        <f t="shared" si="88"/>
        <v>6076</v>
      </c>
      <c r="AO35" s="27">
        <f t="shared" si="88"/>
        <v>0</v>
      </c>
      <c r="AP35" s="27">
        <f t="shared" si="88"/>
        <v>0</v>
      </c>
      <c r="AQ35" s="27">
        <f t="shared" si="88"/>
        <v>0</v>
      </c>
      <c r="AR35" s="27">
        <f t="shared" si="88"/>
        <v>0</v>
      </c>
      <c r="AS35" s="27">
        <f t="shared" si="88"/>
        <v>15288.01</v>
      </c>
      <c r="AT35" s="27">
        <f t="shared" si="88"/>
        <v>287500.85</v>
      </c>
      <c r="AU35" s="27">
        <f t="shared" si="88"/>
        <v>2154103.6000000006</v>
      </c>
      <c r="AV35" s="27">
        <f t="shared" si="88"/>
        <v>660.73</v>
      </c>
      <c r="AW35" s="27">
        <f t="shared" si="88"/>
        <v>0</v>
      </c>
      <c r="AX35" s="27">
        <f t="shared" si="88"/>
        <v>0</v>
      </c>
      <c r="AY35" s="27">
        <f t="shared" si="88"/>
        <v>8186.4</v>
      </c>
      <c r="AZ35" s="27">
        <f t="shared" si="88"/>
        <v>502507.45</v>
      </c>
      <c r="BA35" s="27">
        <f t="shared" si="88"/>
        <v>0</v>
      </c>
      <c r="BB35" s="27">
        <f t="shared" si="88"/>
        <v>0</v>
      </c>
      <c r="BC35" s="27">
        <f t="shared" si="88"/>
        <v>0</v>
      </c>
      <c r="BD35" s="27">
        <f t="shared" si="88"/>
        <v>0</v>
      </c>
      <c r="BE35" s="27">
        <f t="shared" si="88"/>
        <v>0</v>
      </c>
      <c r="BF35" s="27">
        <f t="shared" si="88"/>
        <v>502507.45</v>
      </c>
      <c r="BG35" s="27">
        <f t="shared" si="88"/>
        <v>0</v>
      </c>
      <c r="BH35" s="27">
        <f t="shared" si="88"/>
        <v>2016</v>
      </c>
      <c r="BI35" s="27">
        <f t="shared" si="88"/>
        <v>0</v>
      </c>
      <c r="BJ35" s="27">
        <f t="shared" si="88"/>
        <v>0</v>
      </c>
      <c r="BK35" s="27">
        <f t="shared" si="88"/>
        <v>0</v>
      </c>
      <c r="BL35" s="27">
        <f t="shared" si="88"/>
        <v>0</v>
      </c>
      <c r="BM35" s="27">
        <f t="shared" si="88"/>
        <v>89640</v>
      </c>
      <c r="BN35" s="27">
        <f t="shared" si="88"/>
        <v>0</v>
      </c>
      <c r="BO35" s="27">
        <f t="shared" si="88"/>
        <v>173907.45</v>
      </c>
      <c r="BP35" s="27">
        <f t="shared" si="88"/>
        <v>168755.05</v>
      </c>
      <c r="BQ35" s="27">
        <f t="shared" si="88"/>
        <v>0</v>
      </c>
      <c r="BR35" s="27">
        <f t="shared" si="88"/>
        <v>502507.45</v>
      </c>
      <c r="BS35" s="27">
        <f aca="true" t="shared" si="89" ref="BS35:DK35">MEDIAN(BS3:BS31)</f>
        <v>0</v>
      </c>
      <c r="BT35" s="27">
        <f t="shared" si="89"/>
        <v>2544970.76</v>
      </c>
      <c r="BU35" s="27">
        <f t="shared" si="89"/>
        <v>829507.55</v>
      </c>
      <c r="BV35" s="27">
        <f t="shared" si="89"/>
        <v>6828.2</v>
      </c>
      <c r="BW35" s="27">
        <f t="shared" si="89"/>
        <v>0</v>
      </c>
      <c r="BX35" s="27">
        <f t="shared" si="89"/>
        <v>3633044</v>
      </c>
      <c r="BY35" s="27">
        <f t="shared" si="89"/>
        <v>2025093.18</v>
      </c>
      <c r="BZ35" s="27">
        <f t="shared" si="89"/>
        <v>1145497</v>
      </c>
      <c r="CA35" s="27">
        <f t="shared" si="89"/>
        <v>683097.7</v>
      </c>
      <c r="CB35" s="27">
        <f t="shared" si="89"/>
        <v>3633044</v>
      </c>
      <c r="CC35" s="27">
        <f t="shared" si="89"/>
        <v>0</v>
      </c>
      <c r="CD35" s="27">
        <f t="shared" si="89"/>
        <v>143315.45</v>
      </c>
      <c r="CE35" s="27">
        <f t="shared" si="89"/>
        <v>242602.80999999997</v>
      </c>
      <c r="CF35" s="27">
        <f t="shared" si="89"/>
        <v>165078.34999999998</v>
      </c>
      <c r="CG35" s="27">
        <f t="shared" si="89"/>
        <v>1680619.55</v>
      </c>
      <c r="CH35" s="27">
        <f t="shared" si="89"/>
        <v>-11006.150000000001</v>
      </c>
      <c r="CI35" s="27">
        <f t="shared" si="89"/>
        <v>78392.75</v>
      </c>
      <c r="CJ35" s="94">
        <f t="shared" si="89"/>
        <v>0.3838362502488612</v>
      </c>
      <c r="CK35" s="94">
        <f t="shared" si="89"/>
        <v>0.49853452318321273</v>
      </c>
      <c r="CL35" s="94">
        <f t="shared" si="89"/>
        <v>0.08199608635176699</v>
      </c>
      <c r="CM35" s="94">
        <f t="shared" si="89"/>
        <v>0.11507945895388666</v>
      </c>
      <c r="CN35" s="94">
        <f t="shared" si="89"/>
        <v>-0.008482757173851599</v>
      </c>
      <c r="CO35" s="94">
        <f t="shared" si="89"/>
        <v>0.050690321427819776</v>
      </c>
      <c r="CP35" s="94">
        <f t="shared" si="89"/>
        <v>0.10705817866879927</v>
      </c>
      <c r="CQ35" s="94">
        <f t="shared" si="89"/>
        <v>0.10035909234966509</v>
      </c>
      <c r="CR35" s="27">
        <f t="shared" si="89"/>
        <v>2.1774550344243737</v>
      </c>
      <c r="CS35" s="27">
        <f t="shared" si="89"/>
        <v>671964.0199999996</v>
      </c>
      <c r="CT35" s="27">
        <f t="shared" si="89"/>
        <v>1967967.85</v>
      </c>
      <c r="CU35" s="27">
        <f t="shared" si="89"/>
        <v>2154103.6000000006</v>
      </c>
      <c r="CV35" s="27">
        <f t="shared" si="89"/>
        <v>143315.44999999972</v>
      </c>
      <c r="CW35" s="27">
        <f t="shared" si="89"/>
        <v>0</v>
      </c>
      <c r="CX35" s="27">
        <f t="shared" si="89"/>
        <v>143315.44999999972</v>
      </c>
      <c r="CY35" s="27">
        <f t="shared" si="89"/>
        <v>660.7300000030082</v>
      </c>
      <c r="CZ35" s="27">
        <f t="shared" si="89"/>
        <v>165078.34999999998</v>
      </c>
      <c r="DA35" s="27">
        <f t="shared" si="89"/>
        <v>192929</v>
      </c>
      <c r="DB35" s="27">
        <f t="shared" si="89"/>
        <v>34380.24999999991</v>
      </c>
      <c r="DC35" s="27">
        <f t="shared" si="89"/>
        <v>-433929</v>
      </c>
      <c r="DD35" s="27">
        <f t="shared" si="89"/>
        <v>660.7300000027753</v>
      </c>
      <c r="DE35" s="27">
        <f t="shared" si="89"/>
        <v>463757.6499999999</v>
      </c>
      <c r="DF35" s="27">
        <f t="shared" si="89"/>
        <v>1083.069311926606</v>
      </c>
      <c r="DG35" s="27">
        <f t="shared" si="89"/>
        <v>-20.72721280602637</v>
      </c>
      <c r="DH35" s="27">
        <f t="shared" si="89"/>
        <v>940.0878103837472</v>
      </c>
      <c r="DI35" s="27">
        <f t="shared" si="89"/>
        <v>231.43289036544857</v>
      </c>
      <c r="DJ35" s="27">
        <f t="shared" si="89"/>
        <v>64.52539682539646</v>
      </c>
      <c r="DK35" s="27">
        <f t="shared" si="89"/>
        <v>-493515.25</v>
      </c>
      <c r="DL35" s="29" t="e">
        <f>MEDIAN(DL3:DL31)</f>
        <v>#NUM!</v>
      </c>
      <c r="DM35" s="30" t="e">
        <f>MEDIAN(DM3:DM31)</f>
        <v>#NUM!</v>
      </c>
    </row>
    <row r="37" spans="1:118" ht="12.75">
      <c r="A37" s="3" t="s">
        <v>247</v>
      </c>
      <c r="B37" s="17">
        <f>SUM(B3:B31)</f>
        <v>37966</v>
      </c>
      <c r="C37" s="17">
        <f>SUM(C3:C31)</f>
        <v>120978291</v>
      </c>
      <c r="D37" s="17">
        <f>D35</f>
        <v>2674.32</v>
      </c>
      <c r="E37" s="146">
        <f>E35</f>
        <v>83.93</v>
      </c>
      <c r="F37" s="17">
        <f>SUM(F3:F31)</f>
        <v>178</v>
      </c>
      <c r="G37" s="17">
        <f aca="true" t="shared" si="90" ref="G37:BN37">SUM(G3:G31)</f>
        <v>28707392</v>
      </c>
      <c r="H37" s="17">
        <f t="shared" si="90"/>
        <v>29202952.98</v>
      </c>
      <c r="I37" s="17">
        <f t="shared" si="90"/>
        <v>3042325.3</v>
      </c>
      <c r="J37" s="17">
        <f t="shared" si="90"/>
        <v>2825131.3500000006</v>
      </c>
      <c r="K37" s="17">
        <f t="shared" si="90"/>
        <v>12242069.309999999</v>
      </c>
      <c r="L37" s="17">
        <f t="shared" si="90"/>
        <v>1477808.6600000001</v>
      </c>
      <c r="M37" s="17">
        <f t="shared" si="90"/>
        <v>13719877.97</v>
      </c>
      <c r="N37" s="17">
        <f t="shared" si="90"/>
        <v>301414.5</v>
      </c>
      <c r="O37" s="17">
        <f t="shared" si="90"/>
        <v>4394001.15</v>
      </c>
      <c r="P37" s="17">
        <f t="shared" si="90"/>
        <v>11620270.409999998</v>
      </c>
      <c r="Q37" s="17">
        <f t="shared" si="90"/>
        <v>311078.64999999997</v>
      </c>
      <c r="R37" s="17">
        <f t="shared" si="90"/>
        <v>2398462.7099999995</v>
      </c>
      <c r="S37" s="17">
        <f t="shared" si="90"/>
        <v>183845.69999999998</v>
      </c>
      <c r="T37" s="17">
        <f t="shared" si="90"/>
        <v>797353.1</v>
      </c>
      <c r="U37" s="17">
        <f t="shared" si="90"/>
        <v>150731.29</v>
      </c>
      <c r="V37" s="17">
        <f t="shared" si="90"/>
        <v>300000</v>
      </c>
      <c r="W37" s="17">
        <f t="shared" si="90"/>
        <v>3830392.8000000003</v>
      </c>
      <c r="X37" s="17">
        <f t="shared" si="90"/>
        <v>15927163.180000002</v>
      </c>
      <c r="Y37" s="17">
        <f t="shared" si="90"/>
        <v>113882000.29</v>
      </c>
      <c r="Z37" s="17">
        <f t="shared" si="90"/>
        <v>31291219.74</v>
      </c>
      <c r="AA37" s="17">
        <f t="shared" si="90"/>
        <v>2865220.7600000002</v>
      </c>
      <c r="AB37" s="17">
        <f t="shared" si="90"/>
        <v>300985.25</v>
      </c>
      <c r="AC37" s="17">
        <f t="shared" si="90"/>
        <v>4893.9</v>
      </c>
      <c r="AD37" s="17">
        <f t="shared" si="90"/>
        <v>442246</v>
      </c>
      <c r="AE37" s="17">
        <f t="shared" si="90"/>
        <v>34904565.65</v>
      </c>
      <c r="AF37" s="17">
        <f t="shared" si="90"/>
        <v>706566.4500000001</v>
      </c>
      <c r="AG37" s="17">
        <f t="shared" si="90"/>
        <v>9749751.700000001</v>
      </c>
      <c r="AH37" s="17">
        <f t="shared" si="90"/>
        <v>1546836</v>
      </c>
      <c r="AI37" s="17">
        <f t="shared" si="90"/>
        <v>34213745.4</v>
      </c>
      <c r="AJ37" s="17">
        <f t="shared" si="90"/>
        <v>3744243.9499999993</v>
      </c>
      <c r="AK37" s="17">
        <f t="shared" si="90"/>
        <v>2024237.3599999996</v>
      </c>
      <c r="AL37" s="17">
        <f t="shared" si="90"/>
        <v>5547413.370000001</v>
      </c>
      <c r="AM37" s="17">
        <f t="shared" si="90"/>
        <v>489190.85000000003</v>
      </c>
      <c r="AN37" s="17">
        <f t="shared" si="90"/>
        <v>531735.36</v>
      </c>
      <c r="AO37" s="17">
        <f t="shared" si="90"/>
        <v>127940.95</v>
      </c>
      <c r="AP37" s="17">
        <f t="shared" si="90"/>
        <v>4126610.4</v>
      </c>
      <c r="AQ37" s="17">
        <f t="shared" si="90"/>
        <v>2000</v>
      </c>
      <c r="AR37" s="17">
        <f t="shared" si="90"/>
        <v>0</v>
      </c>
      <c r="AS37" s="17">
        <f t="shared" si="90"/>
        <v>4788286.710000001</v>
      </c>
      <c r="AT37" s="17">
        <f t="shared" si="90"/>
        <v>16098188.28</v>
      </c>
      <c r="AU37" s="17">
        <f t="shared" si="90"/>
        <v>112266189.71999998</v>
      </c>
      <c r="AV37" s="17">
        <f t="shared" si="90"/>
        <v>713969.1099999999</v>
      </c>
      <c r="AW37" s="17">
        <f t="shared" si="90"/>
        <v>2329779.6800000006</v>
      </c>
      <c r="AX37" s="4">
        <f>Y37-AU37+AV37-AW37</f>
        <v>2.1886080503463745E-08</v>
      </c>
      <c r="AY37" s="17">
        <f t="shared" si="90"/>
        <v>2359200.12</v>
      </c>
      <c r="AZ37" s="17">
        <f t="shared" si="90"/>
        <v>27468249.52</v>
      </c>
      <c r="BA37" s="17">
        <f t="shared" si="90"/>
        <v>649854.4</v>
      </c>
      <c r="BB37" s="17">
        <f t="shared" si="90"/>
        <v>112820.7</v>
      </c>
      <c r="BC37" s="17">
        <f t="shared" si="90"/>
        <v>1990770.05</v>
      </c>
      <c r="BD37" s="17">
        <f t="shared" si="90"/>
        <v>3960</v>
      </c>
      <c r="BE37" s="17">
        <f t="shared" si="90"/>
        <v>1279075.3499999999</v>
      </c>
      <c r="BF37" s="17">
        <f t="shared" si="90"/>
        <v>31504730.020000003</v>
      </c>
      <c r="BG37" s="17">
        <f t="shared" si="90"/>
        <v>103002</v>
      </c>
      <c r="BH37" s="17">
        <f t="shared" si="90"/>
        <v>1616810.3</v>
      </c>
      <c r="BI37" s="17">
        <f t="shared" si="90"/>
        <v>0</v>
      </c>
      <c r="BJ37" s="17">
        <f t="shared" si="90"/>
        <v>339737.4</v>
      </c>
      <c r="BK37" s="17">
        <f t="shared" si="90"/>
        <v>19551</v>
      </c>
      <c r="BL37" s="17">
        <f t="shared" si="90"/>
        <v>619956.3499999999</v>
      </c>
      <c r="BM37" s="17">
        <f t="shared" si="90"/>
        <v>10074057.4</v>
      </c>
      <c r="BN37" s="17">
        <f t="shared" si="90"/>
        <v>3960</v>
      </c>
      <c r="BO37" s="17">
        <f>SUM(BO3:BO31)</f>
        <v>12777074.450000001</v>
      </c>
      <c r="BP37" s="17">
        <f>SUM(BP3:BP31)</f>
        <v>12658600.450000001</v>
      </c>
      <c r="BQ37" s="17">
        <f>SUM(BQ3:BQ31)</f>
        <v>100000</v>
      </c>
      <c r="BR37" s="17">
        <f>SUM(BR3:BR31)</f>
        <v>31486256.020000003</v>
      </c>
      <c r="BS37" s="43">
        <f>+BF37-BO37+BP37+BQ37-BR37</f>
        <v>0</v>
      </c>
      <c r="BT37" s="17">
        <f aca="true" t="shared" si="91" ref="BT37:CB37">SUM(BT3:BT31)</f>
        <v>131041486.54</v>
      </c>
      <c r="BU37" s="17">
        <f t="shared" si="91"/>
        <v>87688450.31</v>
      </c>
      <c r="BV37" s="17">
        <f t="shared" si="91"/>
        <v>2810421.4999999995</v>
      </c>
      <c r="BW37" s="17">
        <f t="shared" si="91"/>
        <v>4153160.5000000005</v>
      </c>
      <c r="BX37" s="17">
        <f t="shared" si="91"/>
        <v>225693518.85000002</v>
      </c>
      <c r="BY37" s="17">
        <f t="shared" si="91"/>
        <v>119582965.00999999</v>
      </c>
      <c r="BZ37" s="17">
        <f t="shared" si="91"/>
        <v>47810694.449999996</v>
      </c>
      <c r="CA37" s="17">
        <f t="shared" si="91"/>
        <v>58299859.38999999</v>
      </c>
      <c r="CB37" s="17">
        <f t="shared" si="91"/>
        <v>225693518.85000002</v>
      </c>
      <c r="CC37" s="4">
        <f>BX37-CB37</f>
        <v>0</v>
      </c>
      <c r="CD37" s="74">
        <f>K37+L37+AV37-AW37</f>
        <v>12104067.399999999</v>
      </c>
      <c r="CE37" s="76">
        <f>CD37+W37-AS37</f>
        <v>11146173.489999998</v>
      </c>
      <c r="CF37" s="76">
        <f>BR37-BP37</f>
        <v>18827655.57</v>
      </c>
      <c r="CG37" s="76">
        <f>AU37-AM37-AT37-AS37</f>
        <v>90890523.88</v>
      </c>
      <c r="CH37" s="76">
        <f>I37-AG37+AY37+AH37+BQ37</f>
        <v>-2701390.280000001</v>
      </c>
      <c r="CI37" s="37">
        <f>CH37+K37</f>
        <v>9540679.029999997</v>
      </c>
      <c r="CJ37" s="59">
        <f>CD37/CF37</f>
        <v>0.6428876582640819</v>
      </c>
      <c r="CK37" s="140">
        <f>CE37/CF37</f>
        <v>0.5920106966350245</v>
      </c>
      <c r="CL37" s="64">
        <f>CD37/CG37*1</f>
        <v>0.13317194008014116</v>
      </c>
      <c r="CM37" s="64">
        <f>CE37/CG37</f>
        <v>0.12263295461599444</v>
      </c>
      <c r="CN37" s="64">
        <f>CH37/CG37</f>
        <v>-0.029721363291585434</v>
      </c>
      <c r="CO37" s="64">
        <f>CI37/CG37</f>
        <v>0.10496890789843248</v>
      </c>
      <c r="CP37" s="64">
        <f>(K37+L37)/(BU37+K37+L37)</f>
        <v>0.13529340442451476</v>
      </c>
      <c r="CQ37" s="64">
        <f>(K37)/(BU37+K37+L37)</f>
        <v>0.1207205514343777</v>
      </c>
      <c r="CR37" s="75">
        <f>CS37/CE37</f>
        <v>1.0280228941600673</v>
      </c>
      <c r="CS37" s="76">
        <f>BT37-BY37</f>
        <v>11458521.530000016</v>
      </c>
      <c r="CT37" s="80">
        <f>Y37-K37-L37-V37</f>
        <v>99862122.32000001</v>
      </c>
      <c r="CU37" s="80">
        <f>AU37-AR37</f>
        <v>112266189.71999998</v>
      </c>
      <c r="CV37" s="80">
        <f>CU37-CT37</f>
        <v>12404067.399999976</v>
      </c>
      <c r="CW37" s="80">
        <f>-V37+AR37</f>
        <v>-300000</v>
      </c>
      <c r="CX37" s="80">
        <f>CV37+CW37</f>
        <v>12104067.399999976</v>
      </c>
      <c r="CY37" s="80">
        <f>CX37-K37-L37</f>
        <v>-1615810.5700000226</v>
      </c>
      <c r="CZ37" s="80">
        <f>BR37-BP37</f>
        <v>18827655.57</v>
      </c>
      <c r="DA37" s="80">
        <f>K37+L37</f>
        <v>13719877.969999999</v>
      </c>
      <c r="DB37" s="80">
        <f>-CZ37+DA37+CY37</f>
        <v>-6723588.170000024</v>
      </c>
      <c r="DC37" s="80">
        <f>-BP37-DA37</f>
        <v>-26378478.42</v>
      </c>
      <c r="DD37" s="80">
        <f>DB37+DC37+BR37</f>
        <v>-1615810.5700000226</v>
      </c>
      <c r="DE37" s="80">
        <f>Z37+AA37+AB37</f>
        <v>34457425.75</v>
      </c>
      <c r="DF37" s="80">
        <f>CS37/B37</f>
        <v>301.81008086182413</v>
      </c>
      <c r="DG37" s="80">
        <f>CH37/B37</f>
        <v>-71.15288099878842</v>
      </c>
      <c r="DH37" s="80">
        <f>DE37/B37</f>
        <v>907.5864128430701</v>
      </c>
      <c r="DI37" s="81">
        <f>CZ37/B37</f>
        <v>495.9083277142707</v>
      </c>
      <c r="DJ37" s="76">
        <f>DB37/B37</f>
        <v>-177.0949841963869</v>
      </c>
      <c r="DK37" s="147">
        <f>CA37-BW37-BU37</f>
        <v>-33541751.42000001</v>
      </c>
      <c r="DL37" s="67"/>
      <c r="DM37" s="67"/>
      <c r="DN37" s="68"/>
    </row>
    <row r="38" spans="2:6" ht="12.75">
      <c r="B38" s="8"/>
      <c r="C38" s="8"/>
      <c r="D38" s="8"/>
      <c r="E38" s="8"/>
      <c r="F38" s="116"/>
    </row>
    <row r="60" spans="1:115" ht="12.75">
      <c r="A60" s="3" t="s">
        <v>252</v>
      </c>
      <c r="B60" s="62">
        <f>B10+B20+B26</f>
        <v>1410</v>
      </c>
      <c r="C60" s="62">
        <f aca="true" t="shared" si="92" ref="C60:BN60">C10+C20+C26</f>
        <v>3489180</v>
      </c>
      <c r="D60" s="62">
        <f>(D10+D20+D26)/3</f>
        <v>2495.48</v>
      </c>
      <c r="E60" s="62">
        <f>(E10+E20+E26)/3</f>
        <v>78.31333333333333</v>
      </c>
      <c r="F60" s="62">
        <f>(F10+F20+F26)/3</f>
        <v>8</v>
      </c>
      <c r="G60" s="19">
        <f t="shared" si="92"/>
        <v>1338008.85</v>
      </c>
      <c r="H60" s="19">
        <f t="shared" si="92"/>
        <v>665826.29</v>
      </c>
      <c r="I60" s="19">
        <f t="shared" si="92"/>
        <v>47201.75</v>
      </c>
      <c r="J60" s="19">
        <f t="shared" si="92"/>
        <v>28948</v>
      </c>
      <c r="K60" s="19">
        <f t="shared" si="92"/>
        <v>302543</v>
      </c>
      <c r="L60" s="19">
        <f t="shared" si="92"/>
        <v>50000</v>
      </c>
      <c r="M60" s="19">
        <f t="shared" si="92"/>
        <v>352543</v>
      </c>
      <c r="N60" s="19">
        <f t="shared" si="92"/>
        <v>0</v>
      </c>
      <c r="O60" s="19">
        <f t="shared" si="92"/>
        <v>284837.6</v>
      </c>
      <c r="P60" s="19">
        <f t="shared" si="92"/>
        <v>430088.35</v>
      </c>
      <c r="Q60" s="19">
        <f t="shared" si="92"/>
        <v>10166.9</v>
      </c>
      <c r="R60" s="19">
        <f t="shared" si="92"/>
        <v>59644.25</v>
      </c>
      <c r="S60" s="19">
        <f t="shared" si="92"/>
        <v>61111.85</v>
      </c>
      <c r="T60" s="19">
        <f t="shared" si="92"/>
        <v>133000</v>
      </c>
      <c r="U60" s="19">
        <f t="shared" si="92"/>
        <v>0</v>
      </c>
      <c r="V60" s="19">
        <f t="shared" si="92"/>
        <v>0</v>
      </c>
      <c r="W60" s="19">
        <f t="shared" si="92"/>
        <v>253756.09999999998</v>
      </c>
      <c r="X60" s="19">
        <f t="shared" si="92"/>
        <v>518791.8</v>
      </c>
      <c r="Y60" s="19">
        <f t="shared" si="92"/>
        <v>3930168.6399999997</v>
      </c>
      <c r="Z60" s="19">
        <f t="shared" si="92"/>
        <v>1280179.25</v>
      </c>
      <c r="AA60" s="19">
        <f t="shared" si="92"/>
        <v>47139.85</v>
      </c>
      <c r="AB60" s="19">
        <f t="shared" si="92"/>
        <v>7033</v>
      </c>
      <c r="AC60" s="19">
        <f t="shared" si="92"/>
        <v>0</v>
      </c>
      <c r="AD60" s="19">
        <f t="shared" si="92"/>
        <v>50546</v>
      </c>
      <c r="AE60" s="19">
        <f t="shared" si="92"/>
        <v>1384898.1</v>
      </c>
      <c r="AF60" s="19">
        <f t="shared" si="92"/>
        <v>1909.2</v>
      </c>
      <c r="AG60" s="19">
        <f t="shared" si="92"/>
        <v>388202.25</v>
      </c>
      <c r="AH60" s="19">
        <f t="shared" si="92"/>
        <v>0</v>
      </c>
      <c r="AI60" s="19">
        <f t="shared" si="92"/>
        <v>1289000.71</v>
      </c>
      <c r="AJ60" s="19">
        <f t="shared" si="92"/>
        <v>20932.25</v>
      </c>
      <c r="AK60" s="19">
        <f t="shared" si="92"/>
        <v>103618.3</v>
      </c>
      <c r="AL60" s="19">
        <f t="shared" si="92"/>
        <v>245234.50000000003</v>
      </c>
      <c r="AM60" s="19">
        <f t="shared" si="92"/>
        <v>10886.9</v>
      </c>
      <c r="AN60" s="19">
        <f t="shared" si="92"/>
        <v>50847.4</v>
      </c>
      <c r="AO60" s="19">
        <f t="shared" si="92"/>
        <v>11542.65</v>
      </c>
      <c r="AP60" s="19">
        <f t="shared" si="92"/>
        <v>46609.15</v>
      </c>
      <c r="AQ60" s="19">
        <f t="shared" si="92"/>
        <v>0</v>
      </c>
      <c r="AR60" s="19">
        <f t="shared" si="92"/>
        <v>0</v>
      </c>
      <c r="AS60" s="19">
        <f t="shared" si="92"/>
        <v>108999.2</v>
      </c>
      <c r="AT60" s="19">
        <f t="shared" si="92"/>
        <v>512025.75</v>
      </c>
      <c r="AU60" s="19">
        <f t="shared" si="92"/>
        <v>4065707.16</v>
      </c>
      <c r="AV60" s="19">
        <f t="shared" si="92"/>
        <v>135538.52</v>
      </c>
      <c r="AW60" s="19">
        <f t="shared" si="92"/>
        <v>0</v>
      </c>
      <c r="AX60" s="19">
        <f t="shared" si="92"/>
        <v>-2.5215740606654435E-10</v>
      </c>
      <c r="AY60" s="19">
        <f t="shared" si="92"/>
        <v>9312.699999999999</v>
      </c>
      <c r="AZ60" s="19">
        <f t="shared" si="92"/>
        <v>557265.4</v>
      </c>
      <c r="BA60" s="19">
        <f t="shared" si="92"/>
        <v>0</v>
      </c>
      <c r="BB60" s="19">
        <f t="shared" si="92"/>
        <v>0</v>
      </c>
      <c r="BC60" s="19">
        <f t="shared" si="92"/>
        <v>36389.45</v>
      </c>
      <c r="BD60" s="19">
        <f t="shared" si="92"/>
        <v>0</v>
      </c>
      <c r="BE60" s="19">
        <f t="shared" si="92"/>
        <v>0</v>
      </c>
      <c r="BF60" s="19">
        <f t="shared" si="92"/>
        <v>593654.85</v>
      </c>
      <c r="BG60" s="19">
        <f t="shared" si="92"/>
        <v>3990</v>
      </c>
      <c r="BH60" s="19">
        <f t="shared" si="92"/>
        <v>5876</v>
      </c>
      <c r="BI60" s="19">
        <f t="shared" si="92"/>
        <v>0</v>
      </c>
      <c r="BJ60" s="19">
        <f t="shared" si="92"/>
        <v>65000</v>
      </c>
      <c r="BK60" s="19">
        <f t="shared" si="92"/>
        <v>0</v>
      </c>
      <c r="BL60" s="19">
        <f t="shared" si="92"/>
        <v>36511.1</v>
      </c>
      <c r="BM60" s="19">
        <f t="shared" si="92"/>
        <v>436053</v>
      </c>
      <c r="BN60" s="19">
        <f t="shared" si="92"/>
        <v>0</v>
      </c>
      <c r="BO60" s="19">
        <f aca="true" t="shared" si="93" ref="BO60:CI60">BO10+BO20+BO26</f>
        <v>547430.1</v>
      </c>
      <c r="BP60" s="19">
        <f t="shared" si="93"/>
        <v>547430.1</v>
      </c>
      <c r="BQ60" s="19">
        <f t="shared" si="93"/>
        <v>0</v>
      </c>
      <c r="BR60" s="19">
        <f t="shared" si="93"/>
        <v>593654.85</v>
      </c>
      <c r="BS60" s="19">
        <f t="shared" si="93"/>
        <v>0</v>
      </c>
      <c r="BT60" s="19">
        <f t="shared" si="93"/>
        <v>6627331.449999999</v>
      </c>
      <c r="BU60" s="19">
        <f t="shared" si="93"/>
        <v>1847924.65</v>
      </c>
      <c r="BV60" s="19">
        <f t="shared" si="93"/>
        <v>76071.7</v>
      </c>
      <c r="BW60" s="19">
        <f t="shared" si="93"/>
        <v>0</v>
      </c>
      <c r="BX60" s="19">
        <f t="shared" si="93"/>
        <v>8551327.8</v>
      </c>
      <c r="BY60" s="19">
        <f t="shared" si="93"/>
        <v>3589088.55</v>
      </c>
      <c r="BZ60" s="19">
        <f t="shared" si="93"/>
        <v>3613728.1</v>
      </c>
      <c r="CA60" s="19">
        <f t="shared" si="93"/>
        <v>1348511.15</v>
      </c>
      <c r="CB60" s="19">
        <f t="shared" si="93"/>
        <v>8551327.8</v>
      </c>
      <c r="CC60" s="19">
        <f t="shared" si="93"/>
        <v>0</v>
      </c>
      <c r="CD60" s="19">
        <f t="shared" si="93"/>
        <v>488081.52</v>
      </c>
      <c r="CE60" s="19">
        <f t="shared" si="93"/>
        <v>632838.42</v>
      </c>
      <c r="CF60" s="19">
        <f t="shared" si="93"/>
        <v>46224.75000000001</v>
      </c>
      <c r="CG60" s="19">
        <f t="shared" si="93"/>
        <v>3433795.3100000005</v>
      </c>
      <c r="CH60" s="19">
        <f t="shared" si="93"/>
        <v>-331687.79999999993</v>
      </c>
      <c r="CI60" s="19">
        <f t="shared" si="93"/>
        <v>-29144.799999999977</v>
      </c>
      <c r="CJ60" s="154">
        <f aca="true" t="shared" si="94" ref="CJ60:CJ65">CD60/CF60</f>
        <v>10.558878522869241</v>
      </c>
      <c r="CK60" s="154">
        <f aca="true" t="shared" si="95" ref="CK60:CK65">CE60/CF60</f>
        <v>13.690467119887073</v>
      </c>
      <c r="CL60" s="154">
        <f aca="true" t="shared" si="96" ref="CL60:CL65">CD60/CG60*1</f>
        <v>0.14214054011274188</v>
      </c>
      <c r="CM60" s="154">
        <f aca="true" t="shared" si="97" ref="CM60:CM65">CE60/CG60</f>
        <v>0.18429707156889324</v>
      </c>
      <c r="CN60" s="154">
        <f aca="true" t="shared" si="98" ref="CN60:CN65">CH60/CG60</f>
        <v>-0.09659509960714574</v>
      </c>
      <c r="CO60" s="154">
        <f aca="true" t="shared" si="99" ref="CO60:CO65">CI60/CG60</f>
        <v>-0.00848763463422634</v>
      </c>
      <c r="CP60" s="154">
        <f aca="true" t="shared" si="100" ref="CP60:CP65">(K60+L60)/(BU60+K60+L60)</f>
        <v>0.16021276204628593</v>
      </c>
      <c r="CQ60" s="154">
        <f aca="true" t="shared" si="101" ref="CQ60:CQ65">(K60)/(BU60+K60+L60)</f>
        <v>0.1374903193873357</v>
      </c>
      <c r="CR60" s="19">
        <f aca="true" t="shared" si="102" ref="CR60:CR65">CS60/CE60</f>
        <v>4.800977317401177</v>
      </c>
      <c r="CS60" s="19">
        <f aca="true" t="shared" si="103" ref="CS60:CS65">BT60-BY60</f>
        <v>3038242.8999999994</v>
      </c>
      <c r="CT60" s="19">
        <f aca="true" t="shared" si="104" ref="CT60:CT65">Y60-K60-L60-V60</f>
        <v>3577625.6399999997</v>
      </c>
      <c r="CU60" s="19">
        <f aca="true" t="shared" si="105" ref="CU60:CU65">AU60-AR60</f>
        <v>4065707.16</v>
      </c>
      <c r="CV60" s="19">
        <f aca="true" t="shared" si="106" ref="CV60:CV65">CU60-CT60</f>
        <v>488081.5200000005</v>
      </c>
      <c r="CW60" s="19">
        <f aca="true" t="shared" si="107" ref="CW60:CW65">-V60+AR60</f>
        <v>0</v>
      </c>
      <c r="CX60" s="19">
        <f aca="true" t="shared" si="108" ref="CX60:CX65">CV60+CW60</f>
        <v>488081.5200000005</v>
      </c>
      <c r="CY60" s="19">
        <f aca="true" t="shared" si="109" ref="CY60:CY65">CX60-K60-L60</f>
        <v>135538.52000000048</v>
      </c>
      <c r="CZ60" s="19">
        <f aca="true" t="shared" si="110" ref="CZ60:CZ65">BR60-BP60</f>
        <v>46224.75</v>
      </c>
      <c r="DA60" s="19">
        <f aca="true" t="shared" si="111" ref="DA60:DA65">K60+L60</f>
        <v>352543</v>
      </c>
      <c r="DB60" s="19">
        <f aca="true" t="shared" si="112" ref="DB60:DB65">-CZ60+DA60+CY60</f>
        <v>441856.7700000005</v>
      </c>
      <c r="DC60" s="19">
        <f aca="true" t="shared" si="113" ref="DC60:DC65">-BP60-DA60</f>
        <v>-899973.1</v>
      </c>
      <c r="DD60" s="19">
        <f aca="true" t="shared" si="114" ref="DD60:DD65">DB60+DC60+BR60</f>
        <v>135538.52000000048</v>
      </c>
      <c r="DE60" s="19">
        <f aca="true" t="shared" si="115" ref="DE60:DE65">Z60+AA60+AB60</f>
        <v>1334352.1</v>
      </c>
      <c r="DF60" s="19">
        <f aca="true" t="shared" si="116" ref="DF60:DF65">CS60/B60</f>
        <v>2154.78219858156</v>
      </c>
      <c r="DG60" s="19">
        <f aca="true" t="shared" si="117" ref="DG60:DG65">CH60/B60</f>
        <v>-235.23957446808507</v>
      </c>
      <c r="DH60" s="19">
        <f aca="true" t="shared" si="118" ref="DH60:DH65">DE60/B60</f>
        <v>946.3490070921987</v>
      </c>
      <c r="DI60" s="19">
        <f aca="true" t="shared" si="119" ref="DI60:DI65">CZ60/B60</f>
        <v>32.78351063829787</v>
      </c>
      <c r="DJ60" s="19">
        <f aca="true" t="shared" si="120" ref="DJ60:DJ65">DB60/B60</f>
        <v>313.3735957446812</v>
      </c>
      <c r="DK60" s="19">
        <f aca="true" t="shared" si="121" ref="DK60:DK65">CA60-BW60-BU60</f>
        <v>-499413.5</v>
      </c>
    </row>
    <row r="61" spans="1:115" ht="12.75">
      <c r="A61" s="3" t="s">
        <v>253</v>
      </c>
      <c r="B61" s="62">
        <f>B4+B19+B21+B24+B25</f>
        <v>14343</v>
      </c>
      <c r="C61" s="62">
        <f aca="true" t="shared" si="122" ref="C61:BN61">C4+C19+C21+C24+C25</f>
        <v>44090617</v>
      </c>
      <c r="D61" s="62">
        <f>(D4+D19+D21+D24+D25)/5</f>
        <v>2973.72</v>
      </c>
      <c r="E61" s="62">
        <f>(E4+E19+E21+E24+E25)/5</f>
        <v>93.322</v>
      </c>
      <c r="F61" s="62">
        <f>(F4+F19+F21+F24+F25)/5</f>
        <v>5.8</v>
      </c>
      <c r="G61" s="19">
        <f t="shared" si="122"/>
        <v>9603942.85</v>
      </c>
      <c r="H61" s="19">
        <f t="shared" si="122"/>
        <v>11340906.920000002</v>
      </c>
      <c r="I61" s="19">
        <f t="shared" si="122"/>
        <v>548401.55</v>
      </c>
      <c r="J61" s="19">
        <f t="shared" si="122"/>
        <v>61532.350000000006</v>
      </c>
      <c r="K61" s="19">
        <f t="shared" si="122"/>
        <v>3147206.9</v>
      </c>
      <c r="L61" s="19">
        <f t="shared" si="122"/>
        <v>121846.4</v>
      </c>
      <c r="M61" s="19">
        <f t="shared" si="122"/>
        <v>3269053.3</v>
      </c>
      <c r="N61" s="19">
        <f t="shared" si="122"/>
        <v>183044.5</v>
      </c>
      <c r="O61" s="19">
        <f t="shared" si="122"/>
        <v>1621503.9999999998</v>
      </c>
      <c r="P61" s="19">
        <f t="shared" si="122"/>
        <v>4733127.649999999</v>
      </c>
      <c r="Q61" s="19">
        <f t="shared" si="122"/>
        <v>176569.9</v>
      </c>
      <c r="R61" s="19">
        <f t="shared" si="122"/>
        <v>895084.1900000001</v>
      </c>
      <c r="S61" s="19">
        <f t="shared" si="122"/>
        <v>68543.55</v>
      </c>
      <c r="T61" s="19">
        <f t="shared" si="122"/>
        <v>0</v>
      </c>
      <c r="U61" s="19">
        <f t="shared" si="122"/>
        <v>0</v>
      </c>
      <c r="V61" s="19">
        <f t="shared" si="122"/>
        <v>0</v>
      </c>
      <c r="W61" s="19">
        <f t="shared" si="122"/>
        <v>963627.74</v>
      </c>
      <c r="X61" s="19">
        <f t="shared" si="122"/>
        <v>5616675.79</v>
      </c>
      <c r="Y61" s="19">
        <f t="shared" si="122"/>
        <v>38118386.54999999</v>
      </c>
      <c r="Z61" s="19">
        <f t="shared" si="122"/>
        <v>11847494.15</v>
      </c>
      <c r="AA61" s="19">
        <f t="shared" si="122"/>
        <v>965102.3999999999</v>
      </c>
      <c r="AB61" s="19">
        <f t="shared" si="122"/>
        <v>120755.29999999999</v>
      </c>
      <c r="AC61" s="19">
        <f t="shared" si="122"/>
        <v>0</v>
      </c>
      <c r="AD61" s="19">
        <f t="shared" si="122"/>
        <v>63470.4</v>
      </c>
      <c r="AE61" s="19">
        <f t="shared" si="122"/>
        <v>12996822.25</v>
      </c>
      <c r="AF61" s="19">
        <f t="shared" si="122"/>
        <v>103516</v>
      </c>
      <c r="AG61" s="19">
        <f t="shared" si="122"/>
        <v>834978.8500000001</v>
      </c>
      <c r="AH61" s="19">
        <f t="shared" si="122"/>
        <v>0</v>
      </c>
      <c r="AI61" s="19">
        <f t="shared" si="122"/>
        <v>12929424.73</v>
      </c>
      <c r="AJ61" s="19">
        <f t="shared" si="122"/>
        <v>910104.4000000001</v>
      </c>
      <c r="AK61" s="19">
        <f t="shared" si="122"/>
        <v>640583.8</v>
      </c>
      <c r="AL61" s="19">
        <f t="shared" si="122"/>
        <v>2105313.07</v>
      </c>
      <c r="AM61" s="19">
        <f t="shared" si="122"/>
        <v>184312.9</v>
      </c>
      <c r="AN61" s="19">
        <f t="shared" si="122"/>
        <v>197402.94999999998</v>
      </c>
      <c r="AO61" s="19">
        <f t="shared" si="122"/>
        <v>19254</v>
      </c>
      <c r="AP61" s="19">
        <f t="shared" si="122"/>
        <v>0</v>
      </c>
      <c r="AQ61" s="19">
        <f t="shared" si="122"/>
        <v>0</v>
      </c>
      <c r="AR61" s="19">
        <f t="shared" si="122"/>
        <v>0</v>
      </c>
      <c r="AS61" s="19">
        <f t="shared" si="122"/>
        <v>216656.94999999998</v>
      </c>
      <c r="AT61" s="19">
        <f t="shared" si="122"/>
        <v>5570567.4399999995</v>
      </c>
      <c r="AU61" s="19">
        <f t="shared" si="122"/>
        <v>36492280.39000001</v>
      </c>
      <c r="AV61" s="19">
        <f t="shared" si="122"/>
        <v>0</v>
      </c>
      <c r="AW61" s="19">
        <f t="shared" si="122"/>
        <v>1626106.1600000001</v>
      </c>
      <c r="AX61" s="19">
        <f t="shared" si="122"/>
        <v>-8.074550805758918E-09</v>
      </c>
      <c r="AY61" s="19">
        <f t="shared" si="122"/>
        <v>161584.95</v>
      </c>
      <c r="AZ61" s="19">
        <f t="shared" si="122"/>
        <v>8525510.77</v>
      </c>
      <c r="BA61" s="19">
        <f t="shared" si="122"/>
        <v>590000</v>
      </c>
      <c r="BB61" s="19">
        <f t="shared" si="122"/>
        <v>78770</v>
      </c>
      <c r="BC61" s="19">
        <f t="shared" si="122"/>
        <v>1611521.6</v>
      </c>
      <c r="BD61" s="19">
        <f t="shared" si="122"/>
        <v>0</v>
      </c>
      <c r="BE61" s="19">
        <f t="shared" si="122"/>
        <v>446501.44999999995</v>
      </c>
      <c r="BF61" s="19">
        <f t="shared" si="122"/>
        <v>11252303.819999998</v>
      </c>
      <c r="BG61" s="19">
        <f t="shared" si="122"/>
        <v>0</v>
      </c>
      <c r="BH61" s="19">
        <f t="shared" si="122"/>
        <v>1272218.7000000002</v>
      </c>
      <c r="BI61" s="19">
        <f t="shared" si="122"/>
        <v>0</v>
      </c>
      <c r="BJ61" s="19">
        <f t="shared" si="122"/>
        <v>17500</v>
      </c>
      <c r="BK61" s="19">
        <f t="shared" si="122"/>
        <v>0</v>
      </c>
      <c r="BL61" s="19">
        <f t="shared" si="122"/>
        <v>289809.1</v>
      </c>
      <c r="BM61" s="19">
        <f t="shared" si="122"/>
        <v>1663812.9</v>
      </c>
      <c r="BN61" s="19">
        <f t="shared" si="122"/>
        <v>0</v>
      </c>
      <c r="BO61" s="19">
        <f aca="true" t="shared" si="123" ref="BO61:CI61">BO4+BO19+BO21+BO24+BO25</f>
        <v>3243340.7</v>
      </c>
      <c r="BP61" s="19">
        <f t="shared" si="123"/>
        <v>3231311.7</v>
      </c>
      <c r="BQ61" s="19">
        <f t="shared" si="123"/>
        <v>0</v>
      </c>
      <c r="BR61" s="19">
        <f t="shared" si="123"/>
        <v>11240274.819999998</v>
      </c>
      <c r="BS61" s="19">
        <f t="shared" si="123"/>
        <v>0</v>
      </c>
      <c r="BT61" s="19">
        <f t="shared" si="123"/>
        <v>38384934.47</v>
      </c>
      <c r="BU61" s="19">
        <f t="shared" si="123"/>
        <v>29113519.810000002</v>
      </c>
      <c r="BV61" s="19">
        <f t="shared" si="123"/>
        <v>729336.6</v>
      </c>
      <c r="BW61" s="19">
        <f t="shared" si="123"/>
        <v>369552.16</v>
      </c>
      <c r="BX61" s="19">
        <f t="shared" si="123"/>
        <v>68597343.04</v>
      </c>
      <c r="BY61" s="19">
        <f t="shared" si="123"/>
        <v>27118638.660000004</v>
      </c>
      <c r="BZ61" s="19">
        <f t="shared" si="123"/>
        <v>17198389.63</v>
      </c>
      <c r="CA61" s="19">
        <f t="shared" si="123"/>
        <v>24280314.75</v>
      </c>
      <c r="CB61" s="19">
        <f t="shared" si="123"/>
        <v>68597343.03999999</v>
      </c>
      <c r="CC61" s="19">
        <f t="shared" si="123"/>
        <v>0</v>
      </c>
      <c r="CD61" s="19">
        <f t="shared" si="123"/>
        <v>1642947.14</v>
      </c>
      <c r="CE61" s="19">
        <f t="shared" si="123"/>
        <v>2389917.93</v>
      </c>
      <c r="CF61" s="19">
        <f t="shared" si="123"/>
        <v>8008963.12</v>
      </c>
      <c r="CG61" s="19">
        <f t="shared" si="123"/>
        <v>30520743.1</v>
      </c>
      <c r="CH61" s="19">
        <f t="shared" si="123"/>
        <v>-124992.34999999996</v>
      </c>
      <c r="CI61" s="19">
        <f t="shared" si="123"/>
        <v>3022214.55</v>
      </c>
      <c r="CJ61" s="154">
        <f t="shared" si="94"/>
        <v>0.20513855731177344</v>
      </c>
      <c r="CK61" s="154">
        <f t="shared" si="95"/>
        <v>0.2984054108117806</v>
      </c>
      <c r="CL61" s="154">
        <f t="shared" si="96"/>
        <v>0.05383050912675844</v>
      </c>
      <c r="CM61" s="154">
        <f t="shared" si="97"/>
        <v>0.07830470975655898</v>
      </c>
      <c r="CN61" s="154">
        <f t="shared" si="98"/>
        <v>-0.004095324599092083</v>
      </c>
      <c r="CO61" s="154">
        <f t="shared" si="99"/>
        <v>0.09902165684819121</v>
      </c>
      <c r="CP61" s="154">
        <f t="shared" si="100"/>
        <v>0.10095100500183816</v>
      </c>
      <c r="CQ61" s="154">
        <f t="shared" si="101"/>
        <v>0.09718828980357083</v>
      </c>
      <c r="CR61" s="19">
        <f t="shared" si="102"/>
        <v>4.714093178086661</v>
      </c>
      <c r="CS61" s="19">
        <f t="shared" si="103"/>
        <v>11266295.809999995</v>
      </c>
      <c r="CT61" s="19">
        <f t="shared" si="104"/>
        <v>34849333.24999999</v>
      </c>
      <c r="CU61" s="19">
        <f t="shared" si="105"/>
        <v>36492280.39000001</v>
      </c>
      <c r="CV61" s="19">
        <f t="shared" si="106"/>
        <v>1642947.1400000155</v>
      </c>
      <c r="CW61" s="19">
        <f t="shared" si="107"/>
        <v>0</v>
      </c>
      <c r="CX61" s="19">
        <f t="shared" si="108"/>
        <v>1642947.1400000155</v>
      </c>
      <c r="CY61" s="19">
        <f t="shared" si="109"/>
        <v>-1626106.1599999843</v>
      </c>
      <c r="CZ61" s="19">
        <f t="shared" si="110"/>
        <v>8008963.119999998</v>
      </c>
      <c r="DA61" s="19">
        <f t="shared" si="111"/>
        <v>3269053.3</v>
      </c>
      <c r="DB61" s="19">
        <f t="shared" si="112"/>
        <v>-6366015.979999983</v>
      </c>
      <c r="DC61" s="19">
        <f t="shared" si="113"/>
        <v>-6500365</v>
      </c>
      <c r="DD61" s="19">
        <f t="shared" si="114"/>
        <v>-1626106.1599999834</v>
      </c>
      <c r="DE61" s="19">
        <f t="shared" si="115"/>
        <v>12933351.850000001</v>
      </c>
      <c r="DF61" s="19">
        <f t="shared" si="116"/>
        <v>785.4908882381646</v>
      </c>
      <c r="DG61" s="19">
        <f t="shared" si="117"/>
        <v>-8.714519277696434</v>
      </c>
      <c r="DH61" s="19">
        <f t="shared" si="118"/>
        <v>901.7187373631738</v>
      </c>
      <c r="DI61" s="19">
        <f t="shared" si="119"/>
        <v>558.3882813916194</v>
      </c>
      <c r="DJ61" s="19">
        <f t="shared" si="120"/>
        <v>-443.84131492714096</v>
      </c>
      <c r="DK61" s="19">
        <f t="shared" si="121"/>
        <v>-5202757.2200000025</v>
      </c>
    </row>
    <row r="62" spans="1:115" ht="12.75">
      <c r="A62" s="3" t="s">
        <v>254</v>
      </c>
      <c r="B62" s="62">
        <f>B9+B11+B22+B27</f>
        <v>11714</v>
      </c>
      <c r="C62" s="62">
        <f aca="true" t="shared" si="124" ref="C62:BN62">C9+C11+C22+C27</f>
        <v>41580022</v>
      </c>
      <c r="D62" s="62">
        <f>(D9+D11+D22+D27)/4</f>
        <v>3302.475</v>
      </c>
      <c r="E62" s="62">
        <f>(E9+E11+E22+E27)/4</f>
        <v>103.64</v>
      </c>
      <c r="F62" s="62">
        <f>(F9+F11+F22+F27)/4</f>
        <v>3.25</v>
      </c>
      <c r="G62" s="19">
        <f t="shared" si="124"/>
        <v>8788718.35</v>
      </c>
      <c r="H62" s="19">
        <f t="shared" si="124"/>
        <v>9870422.13</v>
      </c>
      <c r="I62" s="19">
        <f t="shared" si="124"/>
        <v>1325670.7</v>
      </c>
      <c r="J62" s="19">
        <f t="shared" si="124"/>
        <v>2561288.1</v>
      </c>
      <c r="K62" s="19">
        <f t="shared" si="124"/>
        <v>7015499.050000001</v>
      </c>
      <c r="L62" s="19">
        <f t="shared" si="124"/>
        <v>204024.9</v>
      </c>
      <c r="M62" s="19">
        <f t="shared" si="124"/>
        <v>7219523.950000001</v>
      </c>
      <c r="N62" s="19">
        <f t="shared" si="124"/>
        <v>100000</v>
      </c>
      <c r="O62" s="19">
        <f t="shared" si="124"/>
        <v>1041586.8</v>
      </c>
      <c r="P62" s="19">
        <f t="shared" si="124"/>
        <v>2989277.0799999996</v>
      </c>
      <c r="Q62" s="19">
        <f t="shared" si="124"/>
        <v>87615.95</v>
      </c>
      <c r="R62" s="19">
        <f t="shared" si="124"/>
        <v>1070924.6600000001</v>
      </c>
      <c r="S62" s="19">
        <f t="shared" si="124"/>
        <v>0</v>
      </c>
      <c r="T62" s="19">
        <f t="shared" si="124"/>
        <v>194353.1</v>
      </c>
      <c r="U62" s="19">
        <f t="shared" si="124"/>
        <v>0</v>
      </c>
      <c r="V62" s="19">
        <f t="shared" si="124"/>
        <v>0</v>
      </c>
      <c r="W62" s="19">
        <f t="shared" si="124"/>
        <v>1265277.76</v>
      </c>
      <c r="X62" s="19">
        <f t="shared" si="124"/>
        <v>4001617.75</v>
      </c>
      <c r="Y62" s="19">
        <f t="shared" si="124"/>
        <v>39250998.57</v>
      </c>
      <c r="Z62" s="19">
        <f t="shared" si="124"/>
        <v>10597231.5</v>
      </c>
      <c r="AA62" s="19">
        <f t="shared" si="124"/>
        <v>479844.3</v>
      </c>
      <c r="AB62" s="19">
        <f t="shared" si="124"/>
        <v>113204.04999999999</v>
      </c>
      <c r="AC62" s="19">
        <f t="shared" si="124"/>
        <v>0</v>
      </c>
      <c r="AD62" s="19">
        <f t="shared" si="124"/>
        <v>48324</v>
      </c>
      <c r="AE62" s="19">
        <f t="shared" si="124"/>
        <v>11238603.85</v>
      </c>
      <c r="AF62" s="19">
        <f t="shared" si="124"/>
        <v>111411.4</v>
      </c>
      <c r="AG62" s="19">
        <f t="shared" si="124"/>
        <v>5770398.2</v>
      </c>
      <c r="AH62" s="19">
        <f t="shared" si="124"/>
        <v>679265</v>
      </c>
      <c r="AI62" s="19">
        <f t="shared" si="124"/>
        <v>12034676.01</v>
      </c>
      <c r="AJ62" s="19">
        <f t="shared" si="124"/>
        <v>153405.35</v>
      </c>
      <c r="AK62" s="19">
        <f t="shared" si="124"/>
        <v>593150.95</v>
      </c>
      <c r="AL62" s="19">
        <f t="shared" si="124"/>
        <v>801861.4999999999</v>
      </c>
      <c r="AM62" s="19">
        <f t="shared" si="124"/>
        <v>0</v>
      </c>
      <c r="AN62" s="19">
        <f t="shared" si="124"/>
        <v>10917.75</v>
      </c>
      <c r="AO62" s="19">
        <f t="shared" si="124"/>
        <v>64128.25</v>
      </c>
      <c r="AP62" s="19">
        <f t="shared" si="124"/>
        <v>4080001.25</v>
      </c>
      <c r="AQ62" s="19">
        <f t="shared" si="124"/>
        <v>0</v>
      </c>
      <c r="AR62" s="19">
        <f t="shared" si="124"/>
        <v>0</v>
      </c>
      <c r="AS62" s="19">
        <f t="shared" si="124"/>
        <v>4155047.25</v>
      </c>
      <c r="AT62" s="19">
        <f t="shared" si="124"/>
        <v>4036388.15</v>
      </c>
      <c r="AU62" s="19">
        <f t="shared" si="124"/>
        <v>38894942.66</v>
      </c>
      <c r="AV62" s="19">
        <f t="shared" si="124"/>
        <v>32406.75</v>
      </c>
      <c r="AW62" s="19">
        <f t="shared" si="124"/>
        <v>388462.66</v>
      </c>
      <c r="AX62" s="19">
        <f t="shared" si="124"/>
        <v>4.828507371712476E-09</v>
      </c>
      <c r="AY62" s="19">
        <f t="shared" si="124"/>
        <v>1377511.55</v>
      </c>
      <c r="AZ62" s="19">
        <f t="shared" si="124"/>
        <v>12225257.599999998</v>
      </c>
      <c r="BA62" s="19">
        <f t="shared" si="124"/>
        <v>0</v>
      </c>
      <c r="BB62" s="19">
        <f t="shared" si="124"/>
        <v>2485</v>
      </c>
      <c r="BC62" s="19">
        <f t="shared" si="124"/>
        <v>112000</v>
      </c>
      <c r="BD62" s="19">
        <f t="shared" si="124"/>
        <v>0</v>
      </c>
      <c r="BE62" s="19">
        <f t="shared" si="124"/>
        <v>636455.95</v>
      </c>
      <c r="BF62" s="19">
        <f t="shared" si="124"/>
        <v>12976198.55</v>
      </c>
      <c r="BG62" s="19">
        <f t="shared" si="124"/>
        <v>0</v>
      </c>
      <c r="BH62" s="19">
        <f t="shared" si="124"/>
        <v>77807.45000000001</v>
      </c>
      <c r="BI62" s="19">
        <f t="shared" si="124"/>
        <v>0</v>
      </c>
      <c r="BJ62" s="19">
        <f t="shared" si="124"/>
        <v>0</v>
      </c>
      <c r="BK62" s="19">
        <f t="shared" si="124"/>
        <v>0</v>
      </c>
      <c r="BL62" s="19">
        <f t="shared" si="124"/>
        <v>0</v>
      </c>
      <c r="BM62" s="19">
        <f t="shared" si="124"/>
        <v>4598778.15</v>
      </c>
      <c r="BN62" s="19">
        <f t="shared" si="124"/>
        <v>0</v>
      </c>
      <c r="BO62" s="19">
        <f aca="true" t="shared" si="125" ref="BO62:CI62">BO9+BO11+BO22+BO27</f>
        <v>4676585.600000001</v>
      </c>
      <c r="BP62" s="19">
        <f t="shared" si="125"/>
        <v>4674100.600000001</v>
      </c>
      <c r="BQ62" s="19">
        <f t="shared" si="125"/>
        <v>0</v>
      </c>
      <c r="BR62" s="19">
        <f t="shared" si="125"/>
        <v>12973713.55</v>
      </c>
      <c r="BS62" s="19">
        <f t="shared" si="125"/>
        <v>0</v>
      </c>
      <c r="BT62" s="19">
        <f t="shared" si="125"/>
        <v>39816106.089999996</v>
      </c>
      <c r="BU62" s="19">
        <f t="shared" si="125"/>
        <v>37818338.75000001</v>
      </c>
      <c r="BV62" s="19">
        <f t="shared" si="125"/>
        <v>1727278.25</v>
      </c>
      <c r="BW62" s="19">
        <f t="shared" si="125"/>
        <v>0</v>
      </c>
      <c r="BX62" s="19">
        <f t="shared" si="125"/>
        <v>79361723.09</v>
      </c>
      <c r="BY62" s="19">
        <f t="shared" si="125"/>
        <v>53038552.169999994</v>
      </c>
      <c r="BZ62" s="19">
        <f t="shared" si="125"/>
        <v>9058372.71</v>
      </c>
      <c r="CA62" s="19">
        <f t="shared" si="125"/>
        <v>17264798.21</v>
      </c>
      <c r="CB62" s="19">
        <f t="shared" si="125"/>
        <v>79361723.09</v>
      </c>
      <c r="CC62" s="19">
        <f t="shared" si="125"/>
        <v>0</v>
      </c>
      <c r="CD62" s="19">
        <f t="shared" si="125"/>
        <v>6863468.040000001</v>
      </c>
      <c r="CE62" s="19">
        <f t="shared" si="125"/>
        <v>3973698.5500000007</v>
      </c>
      <c r="CF62" s="19">
        <f t="shared" si="125"/>
        <v>8299612.949999999</v>
      </c>
      <c r="CG62" s="19">
        <f t="shared" si="125"/>
        <v>30703507.259999998</v>
      </c>
      <c r="CH62" s="19">
        <f t="shared" si="125"/>
        <v>-2387950.9499999997</v>
      </c>
      <c r="CI62" s="19">
        <f t="shared" si="125"/>
        <v>4627548.100000001</v>
      </c>
      <c r="CJ62" s="154">
        <f t="shared" si="94"/>
        <v>0.8269624235910906</v>
      </c>
      <c r="CK62" s="154">
        <f t="shared" si="95"/>
        <v>0.47878118822396426</v>
      </c>
      <c r="CL62" s="154">
        <f t="shared" si="96"/>
        <v>0.2235401963000367</v>
      </c>
      <c r="CM62" s="154">
        <f t="shared" si="97"/>
        <v>0.12942164933635666</v>
      </c>
      <c r="CN62" s="154">
        <f t="shared" si="98"/>
        <v>-0.07777453337101267</v>
      </c>
      <c r="CO62" s="154">
        <f t="shared" si="99"/>
        <v>0.15071724740804093</v>
      </c>
      <c r="CP62" s="154">
        <f t="shared" si="100"/>
        <v>0.16029899105314338</v>
      </c>
      <c r="CQ62" s="154">
        <f t="shared" si="101"/>
        <v>0.15576891596145834</v>
      </c>
      <c r="CR62" s="19">
        <f t="shared" si="102"/>
        <v>-3.3274909794050673</v>
      </c>
      <c r="CS62" s="19">
        <f t="shared" si="103"/>
        <v>-13222446.079999998</v>
      </c>
      <c r="CT62" s="19">
        <f t="shared" si="104"/>
        <v>32031474.62</v>
      </c>
      <c r="CU62" s="19">
        <f t="shared" si="105"/>
        <v>38894942.66</v>
      </c>
      <c r="CV62" s="19">
        <f t="shared" si="106"/>
        <v>6863468.039999995</v>
      </c>
      <c r="CW62" s="19">
        <f t="shared" si="107"/>
        <v>0</v>
      </c>
      <c r="CX62" s="19">
        <f t="shared" si="108"/>
        <v>6863468.039999995</v>
      </c>
      <c r="CY62" s="19">
        <f t="shared" si="109"/>
        <v>-356055.9100000054</v>
      </c>
      <c r="CZ62" s="19">
        <f t="shared" si="110"/>
        <v>8299612.95</v>
      </c>
      <c r="DA62" s="19">
        <f t="shared" si="111"/>
        <v>7219523.950000001</v>
      </c>
      <c r="DB62" s="19">
        <f t="shared" si="112"/>
        <v>-1436144.9100000043</v>
      </c>
      <c r="DC62" s="19">
        <f t="shared" si="113"/>
        <v>-11893624.55</v>
      </c>
      <c r="DD62" s="19">
        <f t="shared" si="114"/>
        <v>-356055.9100000039</v>
      </c>
      <c r="DE62" s="19">
        <f t="shared" si="115"/>
        <v>11190279.850000001</v>
      </c>
      <c r="DF62" s="19">
        <f t="shared" si="116"/>
        <v>-1128.772928120198</v>
      </c>
      <c r="DG62" s="19">
        <f t="shared" si="117"/>
        <v>-203.85444340105855</v>
      </c>
      <c r="DH62" s="19">
        <f t="shared" si="118"/>
        <v>955.291091855899</v>
      </c>
      <c r="DI62" s="19">
        <f t="shared" si="119"/>
        <v>708.5208255079392</v>
      </c>
      <c r="DJ62" s="19">
        <f t="shared" si="120"/>
        <v>-122.60072648113406</v>
      </c>
      <c r="DK62" s="19">
        <f t="shared" si="121"/>
        <v>-20553540.540000007</v>
      </c>
    </row>
    <row r="63" spans="1:115" ht="12.75">
      <c r="A63" s="3" t="s">
        <v>255</v>
      </c>
      <c r="B63" s="62">
        <f>B7+B8+B17</f>
        <v>1774</v>
      </c>
      <c r="C63" s="62">
        <f aca="true" t="shared" si="126" ref="C63:BN63">C7+C8+C17</f>
        <v>4251707</v>
      </c>
      <c r="D63" s="62">
        <f>(D7+D8+D17)/3</f>
        <v>2410.3866666666668</v>
      </c>
      <c r="E63" s="62">
        <f>(E7+E8+E17)/3</f>
        <v>75.64333333333333</v>
      </c>
      <c r="F63" s="62">
        <f>(F7+F8+F17)/3</f>
        <v>8</v>
      </c>
      <c r="G63" s="19">
        <f t="shared" si="126"/>
        <v>2212764.8</v>
      </c>
      <c r="H63" s="19">
        <f t="shared" si="126"/>
        <v>1510017.39</v>
      </c>
      <c r="I63" s="19">
        <f t="shared" si="126"/>
        <v>125928.15</v>
      </c>
      <c r="J63" s="19">
        <f t="shared" si="126"/>
        <v>113967.5</v>
      </c>
      <c r="K63" s="19">
        <f t="shared" si="126"/>
        <v>163674.65</v>
      </c>
      <c r="L63" s="19">
        <f t="shared" si="126"/>
        <v>157516.05</v>
      </c>
      <c r="M63" s="19">
        <f t="shared" si="126"/>
        <v>321190.69999999995</v>
      </c>
      <c r="N63" s="19">
        <f t="shared" si="126"/>
        <v>0</v>
      </c>
      <c r="O63" s="19">
        <f t="shared" si="126"/>
        <v>323538.8</v>
      </c>
      <c r="P63" s="19">
        <f t="shared" si="126"/>
        <v>531648.3</v>
      </c>
      <c r="Q63" s="19">
        <f t="shared" si="126"/>
        <v>0</v>
      </c>
      <c r="R63" s="19">
        <f t="shared" si="126"/>
        <v>89645.04999999999</v>
      </c>
      <c r="S63" s="19">
        <f t="shared" si="126"/>
        <v>0</v>
      </c>
      <c r="T63" s="19">
        <f t="shared" si="126"/>
        <v>150000</v>
      </c>
      <c r="U63" s="19">
        <f t="shared" si="126"/>
        <v>0</v>
      </c>
      <c r="V63" s="19">
        <f t="shared" si="126"/>
        <v>0</v>
      </c>
      <c r="W63" s="19">
        <f t="shared" si="126"/>
        <v>239645.05</v>
      </c>
      <c r="X63" s="19">
        <f t="shared" si="126"/>
        <v>1207489.35</v>
      </c>
      <c r="Y63" s="19">
        <f t="shared" si="126"/>
        <v>6586190.04</v>
      </c>
      <c r="Z63" s="19">
        <f t="shared" si="126"/>
        <v>1789531.9</v>
      </c>
      <c r="AA63" s="19">
        <f t="shared" si="126"/>
        <v>32213.9</v>
      </c>
      <c r="AB63" s="19">
        <f t="shared" si="126"/>
        <v>3599.25</v>
      </c>
      <c r="AC63" s="19">
        <f t="shared" si="126"/>
        <v>0</v>
      </c>
      <c r="AD63" s="19">
        <f t="shared" si="126"/>
        <v>7253.2</v>
      </c>
      <c r="AE63" s="19">
        <f t="shared" si="126"/>
        <v>1832598.25</v>
      </c>
      <c r="AF63" s="19">
        <f t="shared" si="126"/>
        <v>139229.35</v>
      </c>
      <c r="AG63" s="19">
        <f t="shared" si="126"/>
        <v>553711.25</v>
      </c>
      <c r="AH63" s="19">
        <f t="shared" si="126"/>
        <v>0</v>
      </c>
      <c r="AI63" s="19">
        <f t="shared" si="126"/>
        <v>1513779.9500000002</v>
      </c>
      <c r="AJ63" s="19">
        <f t="shared" si="126"/>
        <v>314199.44999999995</v>
      </c>
      <c r="AK63" s="19">
        <f t="shared" si="126"/>
        <v>176509.15</v>
      </c>
      <c r="AL63" s="19">
        <f t="shared" si="126"/>
        <v>842899.8</v>
      </c>
      <c r="AM63" s="19">
        <f t="shared" si="126"/>
        <v>0</v>
      </c>
      <c r="AN63" s="19">
        <f t="shared" si="126"/>
        <v>18902.45</v>
      </c>
      <c r="AO63" s="19">
        <f t="shared" si="126"/>
        <v>0</v>
      </c>
      <c r="AP63" s="19">
        <f t="shared" si="126"/>
        <v>0</v>
      </c>
      <c r="AQ63" s="19">
        <f t="shared" si="126"/>
        <v>2000</v>
      </c>
      <c r="AR63" s="19">
        <f t="shared" si="126"/>
        <v>0</v>
      </c>
      <c r="AS63" s="19">
        <f t="shared" si="126"/>
        <v>20902.45</v>
      </c>
      <c r="AT63" s="19">
        <f t="shared" si="126"/>
        <v>1233445.65</v>
      </c>
      <c r="AU63" s="19">
        <f t="shared" si="126"/>
        <v>6627275.3</v>
      </c>
      <c r="AV63" s="19">
        <f t="shared" si="126"/>
        <v>41085.26</v>
      </c>
      <c r="AW63" s="19">
        <f t="shared" si="126"/>
        <v>0</v>
      </c>
      <c r="AX63" s="19">
        <f t="shared" si="126"/>
        <v>4.574758349917829E-10</v>
      </c>
      <c r="AY63" s="19">
        <f t="shared" si="126"/>
        <v>54272.8</v>
      </c>
      <c r="AZ63" s="19">
        <f t="shared" si="126"/>
        <v>1533319.95</v>
      </c>
      <c r="BA63" s="19">
        <f t="shared" si="126"/>
        <v>0</v>
      </c>
      <c r="BB63" s="19">
        <f t="shared" si="126"/>
        <v>0</v>
      </c>
      <c r="BC63" s="19">
        <f t="shared" si="126"/>
        <v>0</v>
      </c>
      <c r="BD63" s="19">
        <f t="shared" si="126"/>
        <v>0</v>
      </c>
      <c r="BE63" s="19">
        <f t="shared" si="126"/>
        <v>96312.45</v>
      </c>
      <c r="BF63" s="19">
        <f t="shared" si="126"/>
        <v>1629632.4</v>
      </c>
      <c r="BG63" s="19">
        <f t="shared" si="126"/>
        <v>5628.3</v>
      </c>
      <c r="BH63" s="19">
        <f t="shared" si="126"/>
        <v>20808</v>
      </c>
      <c r="BI63" s="19">
        <f t="shared" si="126"/>
        <v>0</v>
      </c>
      <c r="BJ63" s="19">
        <f t="shared" si="126"/>
        <v>0</v>
      </c>
      <c r="BK63" s="19">
        <f t="shared" si="126"/>
        <v>0</v>
      </c>
      <c r="BL63" s="19">
        <f t="shared" si="126"/>
        <v>175000</v>
      </c>
      <c r="BM63" s="19">
        <f t="shared" si="126"/>
        <v>1207352.45</v>
      </c>
      <c r="BN63" s="19">
        <f t="shared" si="126"/>
        <v>0</v>
      </c>
      <c r="BO63" s="19">
        <f aca="true" t="shared" si="127" ref="BO63:CI63">BO7+BO8+BO17</f>
        <v>1408788.75</v>
      </c>
      <c r="BP63" s="19">
        <f t="shared" si="127"/>
        <v>1308788.75</v>
      </c>
      <c r="BQ63" s="19">
        <f t="shared" si="127"/>
        <v>100000</v>
      </c>
      <c r="BR63" s="19">
        <f t="shared" si="127"/>
        <v>1629632.4</v>
      </c>
      <c r="BS63" s="19">
        <f t="shared" si="127"/>
        <v>0</v>
      </c>
      <c r="BT63" s="19">
        <f t="shared" si="127"/>
        <v>7940105.13</v>
      </c>
      <c r="BU63" s="19">
        <f t="shared" si="127"/>
        <v>1143438.4</v>
      </c>
      <c r="BV63" s="19">
        <f t="shared" si="127"/>
        <v>19342.8</v>
      </c>
      <c r="BW63" s="19">
        <f t="shared" si="127"/>
        <v>212012.12</v>
      </c>
      <c r="BX63" s="19">
        <f t="shared" si="127"/>
        <v>9314898.45</v>
      </c>
      <c r="BY63" s="19">
        <f t="shared" si="127"/>
        <v>4730771.35</v>
      </c>
      <c r="BZ63" s="19">
        <f t="shared" si="127"/>
        <v>3407959.1</v>
      </c>
      <c r="CA63" s="19">
        <f t="shared" si="127"/>
        <v>1176168</v>
      </c>
      <c r="CB63" s="19">
        <f t="shared" si="127"/>
        <v>9314898.45</v>
      </c>
      <c r="CC63" s="19">
        <f t="shared" si="127"/>
        <v>0</v>
      </c>
      <c r="CD63" s="19">
        <f t="shared" si="127"/>
        <v>362275.96</v>
      </c>
      <c r="CE63" s="19">
        <f t="shared" si="127"/>
        <v>581018.56</v>
      </c>
      <c r="CF63" s="19">
        <f t="shared" si="127"/>
        <v>320843.64999999997</v>
      </c>
      <c r="CG63" s="19">
        <f t="shared" si="127"/>
        <v>5372927.199999999</v>
      </c>
      <c r="CH63" s="19">
        <f t="shared" si="127"/>
        <v>-273510.3</v>
      </c>
      <c r="CI63" s="19">
        <f t="shared" si="127"/>
        <v>-109835.65</v>
      </c>
      <c r="CJ63" s="154">
        <f t="shared" si="94"/>
        <v>1.12913551507097</v>
      </c>
      <c r="CK63" s="154">
        <f t="shared" si="95"/>
        <v>1.8109087089615148</v>
      </c>
      <c r="CL63" s="154">
        <f t="shared" si="96"/>
        <v>0.0674261806487905</v>
      </c>
      <c r="CM63" s="154">
        <f t="shared" si="97"/>
        <v>0.10813817838440098</v>
      </c>
      <c r="CN63" s="154">
        <f t="shared" si="98"/>
        <v>-0.05090526817486007</v>
      </c>
      <c r="CO63" s="154">
        <f t="shared" si="99"/>
        <v>-0.020442422893799866</v>
      </c>
      <c r="CP63" s="154">
        <f t="shared" si="100"/>
        <v>0.21929831928097016</v>
      </c>
      <c r="CQ63" s="154">
        <f t="shared" si="101"/>
        <v>0.11175160318745544</v>
      </c>
      <c r="CR63" s="19">
        <f t="shared" si="102"/>
        <v>5.523633840543751</v>
      </c>
      <c r="CS63" s="19">
        <f t="shared" si="103"/>
        <v>3209333.7800000003</v>
      </c>
      <c r="CT63" s="19">
        <f t="shared" si="104"/>
        <v>6264999.34</v>
      </c>
      <c r="CU63" s="19">
        <f t="shared" si="105"/>
        <v>6627275.3</v>
      </c>
      <c r="CV63" s="19">
        <f t="shared" si="106"/>
        <v>362275.95999999996</v>
      </c>
      <c r="CW63" s="19">
        <f t="shared" si="107"/>
        <v>0</v>
      </c>
      <c r="CX63" s="19">
        <f t="shared" si="108"/>
        <v>362275.95999999996</v>
      </c>
      <c r="CY63" s="19">
        <f t="shared" si="109"/>
        <v>41085.25999999998</v>
      </c>
      <c r="CZ63" s="19">
        <f t="shared" si="110"/>
        <v>320843.6499999999</v>
      </c>
      <c r="DA63" s="19">
        <f t="shared" si="111"/>
        <v>321190.69999999995</v>
      </c>
      <c r="DB63" s="19">
        <f t="shared" si="112"/>
        <v>41432.31000000003</v>
      </c>
      <c r="DC63" s="19">
        <f t="shared" si="113"/>
        <v>-1629979.45</v>
      </c>
      <c r="DD63" s="19">
        <f t="shared" si="114"/>
        <v>41085.26000000001</v>
      </c>
      <c r="DE63" s="19">
        <f t="shared" si="115"/>
        <v>1825345.0499999998</v>
      </c>
      <c r="DF63" s="19">
        <f t="shared" si="116"/>
        <v>1809.0945772266066</v>
      </c>
      <c r="DG63" s="19">
        <f t="shared" si="117"/>
        <v>-154.17717023675308</v>
      </c>
      <c r="DH63" s="19">
        <f t="shared" si="118"/>
        <v>1028.94309470124</v>
      </c>
      <c r="DI63" s="19">
        <f t="shared" si="119"/>
        <v>180.85887824126263</v>
      </c>
      <c r="DJ63" s="19">
        <f t="shared" si="120"/>
        <v>23.35530439684331</v>
      </c>
      <c r="DK63" s="19">
        <f t="shared" si="121"/>
        <v>-179282.5199999999</v>
      </c>
    </row>
    <row r="64" spans="1:115" ht="12.75">
      <c r="A64" s="3" t="s">
        <v>256</v>
      </c>
      <c r="B64" s="62">
        <f>B3+B5+B6+B12+B13+B14+B15+B16+B18+B23+B28+B29+B30+B31</f>
        <v>8725</v>
      </c>
      <c r="C64" s="62">
        <f>C3+C5+C6+C12+C13+C14+C15+C16+C18+C23+C28+C29+C30+C31</f>
        <v>27566765</v>
      </c>
      <c r="D64" s="62">
        <f>(D3+D5+D6+D12+D13+D14+D15+D16+D18+D23+D28+D29+D30+D31)/14</f>
        <v>2790.715714285714</v>
      </c>
      <c r="E64" s="62">
        <f>(E3+E5+E6+E12+E13+E14+E15+E16+E18+E23+E28+E29+E30+E31)/14</f>
        <v>87.58071428571428</v>
      </c>
      <c r="F64" s="62">
        <f>(F3+F5+F6+F12+F13+F14+F15+F16+F18+F23+F28+F29+F30+F31)/14</f>
        <v>6.285714285714286</v>
      </c>
      <c r="G64" s="19">
        <f>G3+G5+G6+G12+G13+G14+G15+G16+G18+G23+G28+G29+G30+G31</f>
        <v>6763957.15</v>
      </c>
      <c r="H64" s="19">
        <f aca="true" t="shared" si="128" ref="H64:BS64">H3+H5+H6+H12+H13+H14+H15+H16+H18+H23+H28+H29+H30+H31</f>
        <v>5815780.250000001</v>
      </c>
      <c r="I64" s="19">
        <f t="shared" si="128"/>
        <v>995123.15</v>
      </c>
      <c r="J64" s="19">
        <f t="shared" si="128"/>
        <v>59395.399999999994</v>
      </c>
      <c r="K64" s="19">
        <f t="shared" si="128"/>
        <v>1613145.71</v>
      </c>
      <c r="L64" s="19">
        <f t="shared" si="128"/>
        <v>944421.31</v>
      </c>
      <c r="M64" s="19">
        <f t="shared" si="128"/>
        <v>2557567.02</v>
      </c>
      <c r="N64" s="19">
        <f t="shared" si="128"/>
        <v>18370</v>
      </c>
      <c r="O64" s="19">
        <f t="shared" si="128"/>
        <v>1122533.9500000002</v>
      </c>
      <c r="P64" s="19">
        <f t="shared" si="128"/>
        <v>2936129.0300000003</v>
      </c>
      <c r="Q64" s="19">
        <f t="shared" si="128"/>
        <v>36725.899999999994</v>
      </c>
      <c r="R64" s="19">
        <f t="shared" si="128"/>
        <v>283164.56</v>
      </c>
      <c r="S64" s="19">
        <f t="shared" si="128"/>
        <v>54190.3</v>
      </c>
      <c r="T64" s="19">
        <f t="shared" si="128"/>
        <v>320000</v>
      </c>
      <c r="U64" s="19">
        <f t="shared" si="128"/>
        <v>150731.29</v>
      </c>
      <c r="V64" s="19">
        <f t="shared" si="128"/>
        <v>300000</v>
      </c>
      <c r="W64" s="19">
        <f t="shared" si="128"/>
        <v>1108086.15</v>
      </c>
      <c r="X64" s="19">
        <f t="shared" si="128"/>
        <v>4582588.49</v>
      </c>
      <c r="Y64" s="19">
        <f t="shared" si="128"/>
        <v>25996256.489999995</v>
      </c>
      <c r="Z64" s="19">
        <f t="shared" si="128"/>
        <v>5776782.9399999995</v>
      </c>
      <c r="AA64" s="19">
        <f t="shared" si="128"/>
        <v>1340920.31</v>
      </c>
      <c r="AB64" s="19">
        <f t="shared" si="128"/>
        <v>56393.65</v>
      </c>
      <c r="AC64" s="19">
        <f t="shared" si="128"/>
        <v>4893.9</v>
      </c>
      <c r="AD64" s="19">
        <f t="shared" si="128"/>
        <v>272652.39999999997</v>
      </c>
      <c r="AE64" s="19">
        <f t="shared" si="128"/>
        <v>7451643.2</v>
      </c>
      <c r="AF64" s="19">
        <f t="shared" si="128"/>
        <v>350500.5</v>
      </c>
      <c r="AG64" s="19">
        <f t="shared" si="128"/>
        <v>2202461.15</v>
      </c>
      <c r="AH64" s="19">
        <f t="shared" si="128"/>
        <v>867571</v>
      </c>
      <c r="AI64" s="19">
        <f t="shared" si="128"/>
        <v>6446864</v>
      </c>
      <c r="AJ64" s="19">
        <f t="shared" si="128"/>
        <v>2345602.5</v>
      </c>
      <c r="AK64" s="19">
        <f t="shared" si="128"/>
        <v>510375.16000000003</v>
      </c>
      <c r="AL64" s="19">
        <f t="shared" si="128"/>
        <v>1552104.5</v>
      </c>
      <c r="AM64" s="19">
        <f t="shared" si="128"/>
        <v>293991.05</v>
      </c>
      <c r="AN64" s="19">
        <f t="shared" si="128"/>
        <v>253664.80999999997</v>
      </c>
      <c r="AO64" s="19">
        <f t="shared" si="128"/>
        <v>33016.05</v>
      </c>
      <c r="AP64" s="19">
        <f t="shared" si="128"/>
        <v>0</v>
      </c>
      <c r="AQ64" s="19">
        <f t="shared" si="128"/>
        <v>0</v>
      </c>
      <c r="AR64" s="19">
        <f t="shared" si="128"/>
        <v>0</v>
      </c>
      <c r="AS64" s="19">
        <f t="shared" si="128"/>
        <v>286680.86</v>
      </c>
      <c r="AT64" s="19">
        <f t="shared" si="128"/>
        <v>4745761.29</v>
      </c>
      <c r="AU64" s="19">
        <f t="shared" si="128"/>
        <v>26185984.209999997</v>
      </c>
      <c r="AV64" s="19">
        <f t="shared" si="128"/>
        <v>504938.57999999996</v>
      </c>
      <c r="AW64" s="19">
        <f t="shared" si="128"/>
        <v>315210.86</v>
      </c>
      <c r="AX64" s="19">
        <f t="shared" si="128"/>
        <v>-1.9756498659262434E-09</v>
      </c>
      <c r="AY64" s="19">
        <f t="shared" si="128"/>
        <v>756518.1199999999</v>
      </c>
      <c r="AZ64" s="19">
        <f t="shared" si="128"/>
        <v>4626895.8</v>
      </c>
      <c r="BA64" s="19">
        <f t="shared" si="128"/>
        <v>59854.4</v>
      </c>
      <c r="BB64" s="19">
        <f t="shared" si="128"/>
        <v>31565.7</v>
      </c>
      <c r="BC64" s="19">
        <f t="shared" si="128"/>
        <v>230859</v>
      </c>
      <c r="BD64" s="19">
        <f t="shared" si="128"/>
        <v>3960</v>
      </c>
      <c r="BE64" s="19">
        <f t="shared" si="128"/>
        <v>99805.5</v>
      </c>
      <c r="BF64" s="19">
        <f t="shared" si="128"/>
        <v>5052940.4</v>
      </c>
      <c r="BG64" s="19">
        <f t="shared" si="128"/>
        <v>93383.70000000001</v>
      </c>
      <c r="BH64" s="19">
        <f t="shared" si="128"/>
        <v>240100.15</v>
      </c>
      <c r="BI64" s="19">
        <f t="shared" si="128"/>
        <v>0</v>
      </c>
      <c r="BJ64" s="19">
        <f t="shared" si="128"/>
        <v>257237.4</v>
      </c>
      <c r="BK64" s="19">
        <f t="shared" si="128"/>
        <v>19551</v>
      </c>
      <c r="BL64" s="19">
        <f t="shared" si="128"/>
        <v>118636.15</v>
      </c>
      <c r="BM64" s="19">
        <f t="shared" si="128"/>
        <v>2168060.9000000004</v>
      </c>
      <c r="BN64" s="19">
        <f t="shared" si="128"/>
        <v>3960</v>
      </c>
      <c r="BO64" s="19">
        <f t="shared" si="128"/>
        <v>2900929.3</v>
      </c>
      <c r="BP64" s="19">
        <f t="shared" si="128"/>
        <v>2896969.3</v>
      </c>
      <c r="BQ64" s="19">
        <f t="shared" si="128"/>
        <v>0</v>
      </c>
      <c r="BR64" s="19">
        <f t="shared" si="128"/>
        <v>5048980.4</v>
      </c>
      <c r="BS64" s="19">
        <f t="shared" si="128"/>
        <v>0</v>
      </c>
      <c r="BT64" s="19">
        <f aca="true" t="shared" si="129" ref="BT64:CI64">BT3+BT5+BT6+BT12+BT13+BT14+BT15+BT16+BT18+BT23+BT28+BT29+BT30+BT31</f>
        <v>38273009.39999999</v>
      </c>
      <c r="BU64" s="19">
        <f t="shared" si="129"/>
        <v>17765228.700000003</v>
      </c>
      <c r="BV64" s="19">
        <f t="shared" si="129"/>
        <v>258392.15</v>
      </c>
      <c r="BW64" s="19">
        <f t="shared" si="129"/>
        <v>3571596.22</v>
      </c>
      <c r="BX64" s="19">
        <f t="shared" si="129"/>
        <v>59868226.470000006</v>
      </c>
      <c r="BY64" s="19">
        <f t="shared" si="129"/>
        <v>31105914.28</v>
      </c>
      <c r="BZ64" s="19">
        <f t="shared" si="129"/>
        <v>14532244.909999998</v>
      </c>
      <c r="CA64" s="19">
        <f t="shared" si="129"/>
        <v>14230067.280000001</v>
      </c>
      <c r="CB64" s="19">
        <f t="shared" si="129"/>
        <v>59868226.470000006</v>
      </c>
      <c r="CC64" s="19">
        <f t="shared" si="129"/>
        <v>0</v>
      </c>
      <c r="CD64" s="19">
        <f t="shared" si="129"/>
        <v>2747294.7399999998</v>
      </c>
      <c r="CE64" s="19">
        <f t="shared" si="129"/>
        <v>3568700.0300000003</v>
      </c>
      <c r="CF64" s="19">
        <f t="shared" si="129"/>
        <v>2152011.1</v>
      </c>
      <c r="CG64" s="19">
        <f t="shared" si="129"/>
        <v>20859551.009999998</v>
      </c>
      <c r="CH64" s="19">
        <f t="shared" si="129"/>
        <v>416751.1199999999</v>
      </c>
      <c r="CI64" s="19">
        <f t="shared" si="129"/>
        <v>2029896.8299999996</v>
      </c>
      <c r="CJ64" s="154">
        <f t="shared" si="94"/>
        <v>1.276617365031249</v>
      </c>
      <c r="CK64" s="154">
        <f t="shared" si="95"/>
        <v>1.6583093042596295</v>
      </c>
      <c r="CL64" s="154">
        <f t="shared" si="96"/>
        <v>0.1317044043125835</v>
      </c>
      <c r="CM64" s="154">
        <f t="shared" si="97"/>
        <v>0.1710823031756138</v>
      </c>
      <c r="CN64" s="154">
        <f t="shared" si="98"/>
        <v>0.019978911329405453</v>
      </c>
      <c r="CO64" s="154">
        <f t="shared" si="99"/>
        <v>0.09731258496536546</v>
      </c>
      <c r="CP64" s="154">
        <f t="shared" si="100"/>
        <v>0.1258472040578086</v>
      </c>
      <c r="CQ64" s="154">
        <f t="shared" si="101"/>
        <v>0.0793761710851857</v>
      </c>
      <c r="CR64" s="19">
        <f t="shared" si="102"/>
        <v>2.008320973954202</v>
      </c>
      <c r="CS64" s="19">
        <f t="shared" si="103"/>
        <v>7167095.11999999</v>
      </c>
      <c r="CT64" s="19">
        <f t="shared" si="104"/>
        <v>23138689.469999995</v>
      </c>
      <c r="CU64" s="19">
        <f t="shared" si="105"/>
        <v>26185984.209999997</v>
      </c>
      <c r="CV64" s="19">
        <f t="shared" si="106"/>
        <v>3047294.740000002</v>
      </c>
      <c r="CW64" s="19">
        <f t="shared" si="107"/>
        <v>-300000</v>
      </c>
      <c r="CX64" s="19">
        <f t="shared" si="108"/>
        <v>2747294.740000002</v>
      </c>
      <c r="CY64" s="19">
        <f t="shared" si="109"/>
        <v>189727.72000000207</v>
      </c>
      <c r="CZ64" s="19">
        <f t="shared" si="110"/>
        <v>2152011.1000000006</v>
      </c>
      <c r="DA64" s="19">
        <f t="shared" si="111"/>
        <v>2557567.02</v>
      </c>
      <c r="DB64" s="19">
        <f t="shared" si="112"/>
        <v>595283.6400000015</v>
      </c>
      <c r="DC64" s="19">
        <f t="shared" si="113"/>
        <v>-5454536.32</v>
      </c>
      <c r="DD64" s="19">
        <f t="shared" si="114"/>
        <v>189727.7200000016</v>
      </c>
      <c r="DE64" s="19">
        <f t="shared" si="115"/>
        <v>7174096.9</v>
      </c>
      <c r="DF64" s="19">
        <f t="shared" si="116"/>
        <v>821.4435667621765</v>
      </c>
      <c r="DG64" s="19">
        <f t="shared" si="117"/>
        <v>47.765171346704854</v>
      </c>
      <c r="DH64" s="19">
        <f t="shared" si="118"/>
        <v>822.2460630372493</v>
      </c>
      <c r="DI64" s="19">
        <f t="shared" si="119"/>
        <v>246.64883667621783</v>
      </c>
      <c r="DJ64" s="19">
        <f t="shared" si="120"/>
        <v>68.22735128939846</v>
      </c>
      <c r="DK64" s="19">
        <f t="shared" si="121"/>
        <v>-7106757.640000002</v>
      </c>
    </row>
    <row r="65" spans="1:115" ht="12.75">
      <c r="A65" s="3" t="s">
        <v>248</v>
      </c>
      <c r="B65" s="62">
        <f>SUM(B60:B64)</f>
        <v>37966</v>
      </c>
      <c r="C65" s="62">
        <f aca="true" t="shared" si="130" ref="C65:BN65">SUM(C60:C64)</f>
        <v>120978291</v>
      </c>
      <c r="D65" s="62">
        <f>MEDIAN(D60:D64)</f>
        <v>2790.715714285714</v>
      </c>
      <c r="E65" s="62">
        <f>MEDIAN(E60:E64)</f>
        <v>87.58071428571428</v>
      </c>
      <c r="F65" s="62">
        <f>MEDIAN(F60:F64)</f>
        <v>6.285714285714286</v>
      </c>
      <c r="G65" s="19">
        <f t="shared" si="130"/>
        <v>28707392</v>
      </c>
      <c r="H65" s="19">
        <f t="shared" si="130"/>
        <v>29202952.980000004</v>
      </c>
      <c r="I65" s="19">
        <f t="shared" si="130"/>
        <v>3042325.3</v>
      </c>
      <c r="J65" s="19">
        <f t="shared" si="130"/>
        <v>2825131.35</v>
      </c>
      <c r="K65" s="19">
        <f t="shared" si="130"/>
        <v>12242069.310000002</v>
      </c>
      <c r="L65" s="19">
        <f t="shared" si="130"/>
        <v>1477808.6600000001</v>
      </c>
      <c r="M65" s="19">
        <f t="shared" si="130"/>
        <v>13719877.969999999</v>
      </c>
      <c r="N65" s="19">
        <f t="shared" si="130"/>
        <v>301414.5</v>
      </c>
      <c r="O65" s="19">
        <f t="shared" si="130"/>
        <v>4394001.149999999</v>
      </c>
      <c r="P65" s="19">
        <f t="shared" si="130"/>
        <v>11620270.41</v>
      </c>
      <c r="Q65" s="19">
        <f t="shared" si="130"/>
        <v>311078.65</v>
      </c>
      <c r="R65" s="19">
        <f t="shared" si="130"/>
        <v>2398462.71</v>
      </c>
      <c r="S65" s="19">
        <f t="shared" si="130"/>
        <v>183845.7</v>
      </c>
      <c r="T65" s="19">
        <f t="shared" si="130"/>
        <v>797353.1</v>
      </c>
      <c r="U65" s="19">
        <f t="shared" si="130"/>
        <v>150731.29</v>
      </c>
      <c r="V65" s="19">
        <f t="shared" si="130"/>
        <v>300000</v>
      </c>
      <c r="W65" s="19">
        <f t="shared" si="130"/>
        <v>3830392.7999999993</v>
      </c>
      <c r="X65" s="19">
        <f t="shared" si="130"/>
        <v>15927163.18</v>
      </c>
      <c r="Y65" s="19">
        <f t="shared" si="130"/>
        <v>113882000.28999999</v>
      </c>
      <c r="Z65" s="19">
        <f t="shared" si="130"/>
        <v>31291219.739999995</v>
      </c>
      <c r="AA65" s="19">
        <f t="shared" si="130"/>
        <v>2865220.76</v>
      </c>
      <c r="AB65" s="19">
        <f t="shared" si="130"/>
        <v>300985.25</v>
      </c>
      <c r="AC65" s="19">
        <f t="shared" si="130"/>
        <v>4893.9</v>
      </c>
      <c r="AD65" s="19">
        <f t="shared" si="130"/>
        <v>442246</v>
      </c>
      <c r="AE65" s="19">
        <f t="shared" si="130"/>
        <v>34904565.65</v>
      </c>
      <c r="AF65" s="19">
        <f t="shared" si="130"/>
        <v>706566.45</v>
      </c>
      <c r="AG65" s="19">
        <f t="shared" si="130"/>
        <v>9749751.700000001</v>
      </c>
      <c r="AH65" s="19">
        <f t="shared" si="130"/>
        <v>1546836</v>
      </c>
      <c r="AI65" s="19">
        <f t="shared" si="130"/>
        <v>34213745.400000006</v>
      </c>
      <c r="AJ65" s="19">
        <f t="shared" si="130"/>
        <v>3744243.95</v>
      </c>
      <c r="AK65" s="19">
        <f t="shared" si="130"/>
        <v>2024237.3599999999</v>
      </c>
      <c r="AL65" s="19">
        <f t="shared" si="130"/>
        <v>5547413.37</v>
      </c>
      <c r="AM65" s="19">
        <f t="shared" si="130"/>
        <v>489190.85</v>
      </c>
      <c r="AN65" s="19">
        <f t="shared" si="130"/>
        <v>531735.36</v>
      </c>
      <c r="AO65" s="19">
        <f t="shared" si="130"/>
        <v>127940.95</v>
      </c>
      <c r="AP65" s="19">
        <f t="shared" si="130"/>
        <v>4126610.4</v>
      </c>
      <c r="AQ65" s="19">
        <f t="shared" si="130"/>
        <v>2000</v>
      </c>
      <c r="AR65" s="19">
        <f t="shared" si="130"/>
        <v>0</v>
      </c>
      <c r="AS65" s="19">
        <f t="shared" si="130"/>
        <v>4788286.710000001</v>
      </c>
      <c r="AT65" s="19">
        <f t="shared" si="130"/>
        <v>16098188.280000001</v>
      </c>
      <c r="AU65" s="19">
        <f t="shared" si="130"/>
        <v>112266189.72</v>
      </c>
      <c r="AV65" s="19">
        <f t="shared" si="130"/>
        <v>713969.11</v>
      </c>
      <c r="AW65" s="19">
        <f t="shared" si="130"/>
        <v>2329779.68</v>
      </c>
      <c r="AX65" s="19">
        <f t="shared" si="130"/>
        <v>-5.0163748710474465E-09</v>
      </c>
      <c r="AY65" s="19">
        <f t="shared" si="130"/>
        <v>2359200.12</v>
      </c>
      <c r="AZ65" s="19">
        <f t="shared" si="130"/>
        <v>27468249.519999996</v>
      </c>
      <c r="BA65" s="19">
        <f t="shared" si="130"/>
        <v>649854.4</v>
      </c>
      <c r="BB65" s="19">
        <f t="shared" si="130"/>
        <v>112820.7</v>
      </c>
      <c r="BC65" s="19">
        <f t="shared" si="130"/>
        <v>1990770.05</v>
      </c>
      <c r="BD65" s="19">
        <f t="shared" si="130"/>
        <v>3960</v>
      </c>
      <c r="BE65" s="19">
        <f t="shared" si="130"/>
        <v>1279075.3499999999</v>
      </c>
      <c r="BF65" s="19">
        <f t="shared" si="130"/>
        <v>31504730.019999996</v>
      </c>
      <c r="BG65" s="19">
        <f t="shared" si="130"/>
        <v>103002.00000000001</v>
      </c>
      <c r="BH65" s="19">
        <f t="shared" si="130"/>
        <v>1616810.3</v>
      </c>
      <c r="BI65" s="19">
        <f t="shared" si="130"/>
        <v>0</v>
      </c>
      <c r="BJ65" s="19">
        <f t="shared" si="130"/>
        <v>339737.4</v>
      </c>
      <c r="BK65" s="19">
        <f t="shared" si="130"/>
        <v>19551</v>
      </c>
      <c r="BL65" s="19">
        <f t="shared" si="130"/>
        <v>619956.35</v>
      </c>
      <c r="BM65" s="19">
        <f t="shared" si="130"/>
        <v>10074057.400000002</v>
      </c>
      <c r="BN65" s="19">
        <f t="shared" si="130"/>
        <v>3960</v>
      </c>
      <c r="BO65" s="19">
        <f aca="true" t="shared" si="131" ref="BO65:CI65">SUM(BO60:BO64)</f>
        <v>12777074.45</v>
      </c>
      <c r="BP65" s="19">
        <f t="shared" si="131"/>
        <v>12658600.45</v>
      </c>
      <c r="BQ65" s="19">
        <f t="shared" si="131"/>
        <v>100000</v>
      </c>
      <c r="BR65" s="19">
        <f t="shared" si="131"/>
        <v>31486256.019999996</v>
      </c>
      <c r="BS65" s="19">
        <f t="shared" si="131"/>
        <v>0</v>
      </c>
      <c r="BT65" s="19">
        <f t="shared" si="131"/>
        <v>131041486.53999998</v>
      </c>
      <c r="BU65" s="19">
        <f t="shared" si="131"/>
        <v>87688450.31000002</v>
      </c>
      <c r="BV65" s="19">
        <f t="shared" si="131"/>
        <v>2810421.4999999995</v>
      </c>
      <c r="BW65" s="19">
        <f t="shared" si="131"/>
        <v>4153160.5</v>
      </c>
      <c r="BX65" s="19">
        <f t="shared" si="131"/>
        <v>225693518.85</v>
      </c>
      <c r="BY65" s="19">
        <f t="shared" si="131"/>
        <v>119582965.00999999</v>
      </c>
      <c r="BZ65" s="19">
        <f t="shared" si="131"/>
        <v>47810694.45</v>
      </c>
      <c r="CA65" s="19">
        <f t="shared" si="131"/>
        <v>58299859.39</v>
      </c>
      <c r="CB65" s="19">
        <f t="shared" si="131"/>
        <v>225693518.85</v>
      </c>
      <c r="CC65" s="19">
        <f t="shared" si="131"/>
        <v>0</v>
      </c>
      <c r="CD65" s="19">
        <f t="shared" si="131"/>
        <v>12104067.400000002</v>
      </c>
      <c r="CE65" s="19">
        <f t="shared" si="131"/>
        <v>11146173.490000002</v>
      </c>
      <c r="CF65" s="19">
        <f t="shared" si="131"/>
        <v>18827655.57</v>
      </c>
      <c r="CG65" s="19">
        <f t="shared" si="131"/>
        <v>90890523.88</v>
      </c>
      <c r="CH65" s="19">
        <f t="shared" si="131"/>
        <v>-2701390.2799999993</v>
      </c>
      <c r="CI65" s="19">
        <f t="shared" si="131"/>
        <v>9540679.03</v>
      </c>
      <c r="CJ65" s="154">
        <f t="shared" si="94"/>
        <v>0.6428876582640821</v>
      </c>
      <c r="CK65" s="154">
        <f t="shared" si="95"/>
        <v>0.5920106966350246</v>
      </c>
      <c r="CL65" s="154">
        <f t="shared" si="96"/>
        <v>0.1331719400801412</v>
      </c>
      <c r="CM65" s="154">
        <f t="shared" si="97"/>
        <v>0.12263295461599448</v>
      </c>
      <c r="CN65" s="154">
        <f t="shared" si="98"/>
        <v>-0.029721363291585413</v>
      </c>
      <c r="CO65" s="154">
        <f t="shared" si="99"/>
        <v>0.1049689078984325</v>
      </c>
      <c r="CP65" s="154">
        <f t="shared" si="100"/>
        <v>0.1352934044245148</v>
      </c>
      <c r="CQ65" s="154">
        <f t="shared" si="101"/>
        <v>0.12072055143437772</v>
      </c>
      <c r="CR65" s="19">
        <f t="shared" si="102"/>
        <v>1.0280228941600642</v>
      </c>
      <c r="CS65" s="19">
        <f t="shared" si="103"/>
        <v>11458521.529999986</v>
      </c>
      <c r="CT65" s="19">
        <f t="shared" si="104"/>
        <v>99862122.32</v>
      </c>
      <c r="CU65" s="19">
        <f t="shared" si="105"/>
        <v>112266189.72</v>
      </c>
      <c r="CV65" s="19">
        <f t="shared" si="106"/>
        <v>12404067.400000006</v>
      </c>
      <c r="CW65" s="19">
        <f t="shared" si="107"/>
        <v>-300000</v>
      </c>
      <c r="CX65" s="19">
        <f t="shared" si="108"/>
        <v>12104067.400000006</v>
      </c>
      <c r="CY65" s="19">
        <f t="shared" si="109"/>
        <v>-1615810.5699999966</v>
      </c>
      <c r="CZ65" s="19">
        <f t="shared" si="110"/>
        <v>18827655.569999997</v>
      </c>
      <c r="DA65" s="19">
        <f t="shared" si="111"/>
        <v>13719877.970000003</v>
      </c>
      <c r="DB65" s="19">
        <f t="shared" si="112"/>
        <v>-6723588.169999991</v>
      </c>
      <c r="DC65" s="19">
        <f t="shared" si="113"/>
        <v>-26378478.42</v>
      </c>
      <c r="DD65" s="19">
        <f t="shared" si="114"/>
        <v>-1615810.5699999966</v>
      </c>
      <c r="DE65" s="19">
        <f t="shared" si="115"/>
        <v>34457425.74999999</v>
      </c>
      <c r="DF65" s="19">
        <f t="shared" si="116"/>
        <v>301.8100808618234</v>
      </c>
      <c r="DG65" s="19">
        <f t="shared" si="117"/>
        <v>-71.15288099878838</v>
      </c>
      <c r="DH65" s="19">
        <f t="shared" si="118"/>
        <v>907.5864128430699</v>
      </c>
      <c r="DI65" s="19">
        <f t="shared" si="119"/>
        <v>495.90832771427057</v>
      </c>
      <c r="DJ65" s="19">
        <f t="shared" si="120"/>
        <v>-177.09498419638598</v>
      </c>
      <c r="DK65" s="19">
        <f t="shared" si="121"/>
        <v>-33541751.420000017</v>
      </c>
    </row>
  </sheetData>
  <printOptions/>
  <pageMargins left="0.7480314960629921" right="0.3937007874015748" top="0.7874015748031497" bottom="0.3937007874015748" header="0.3937007874015748" footer="0.2755905511811024"/>
  <pageSetup horizontalDpi="300" verticalDpi="300" orientation="landscape" paperSize="9" scale="95" r:id="rId1"/>
  <headerFooter alignWithMargins="0">
    <oddHeader>&amp;L&amp;"Arial,Fett"&amp;14Ortsgemeinden Kanton Glarus: Erhebung Finanzkennzahlen vom Dezember 2001&amp;RKennzahlen Jahr 1997</oddHeader>
    <oddFooter>&amp;L&amp;8BHP Bern&amp;R&amp;8&amp;F/&amp;A/&amp;Pvon &amp;N</oddFooter>
  </headerFooter>
  <colBreaks count="1" manualBreakCount="1">
    <brk id="2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/>
  <dimension ref="A1:DN65"/>
  <sheetViews>
    <sheetView workbookViewId="0" topLeftCell="A1">
      <pane xSplit="6" ySplit="2" topLeftCell="CC50" activePane="bottomRight" state="frozen"/>
      <selection pane="topLeft" activeCell="N5" sqref="N5"/>
      <selection pane="topRight" activeCell="N5" sqref="N5"/>
      <selection pane="bottomLeft" activeCell="N5" sqref="N5"/>
      <selection pane="bottomRight" activeCell="CD60" sqref="CD60:CD65"/>
    </sheetView>
  </sheetViews>
  <sheetFormatPr defaultColWidth="11.421875" defaultRowHeight="12.75"/>
  <cols>
    <col min="1" max="1" width="14.140625" style="3" customWidth="1"/>
    <col min="2" max="2" width="9.7109375" style="3" customWidth="1"/>
    <col min="3" max="3" width="13.140625" style="3" customWidth="1"/>
    <col min="4" max="5" width="9.7109375" style="3" customWidth="1"/>
    <col min="6" max="6" width="8.28125" style="3" customWidth="1"/>
    <col min="7" max="38" width="12.140625" style="0" customWidth="1"/>
    <col min="39" max="50" width="12.57421875" style="0" customWidth="1"/>
    <col min="51" max="70" width="11.28125" style="0" customWidth="1"/>
    <col min="71" max="80" width="12.28125" style="0" customWidth="1"/>
    <col min="81" max="81" width="13.8515625" style="0" customWidth="1"/>
    <col min="82" max="82" width="14.140625" style="0" customWidth="1"/>
    <col min="83" max="83" width="13.7109375" style="0" customWidth="1"/>
    <col min="84" max="84" width="12.57421875" style="0" customWidth="1"/>
    <col min="85" max="85" width="13.421875" style="0" customWidth="1"/>
    <col min="86" max="87" width="13.140625" style="0" customWidth="1"/>
    <col min="88" max="95" width="12.421875" style="0" customWidth="1"/>
    <col min="96" max="96" width="14.28125" style="0" customWidth="1"/>
    <col min="97" max="114" width="12.421875" style="0" customWidth="1"/>
    <col min="115" max="115" width="11.57421875" style="0" customWidth="1"/>
  </cols>
  <sheetData>
    <row r="1" spans="1:117" s="2" customFormat="1" ht="15.75" customHeight="1" thickBot="1">
      <c r="A1" s="48"/>
      <c r="B1" s="23" t="s">
        <v>201</v>
      </c>
      <c r="C1" s="23"/>
      <c r="D1" s="23"/>
      <c r="E1" s="23"/>
      <c r="F1" s="55"/>
      <c r="G1" s="21" t="s">
        <v>62</v>
      </c>
      <c r="H1" s="21"/>
      <c r="I1" s="21"/>
      <c r="J1" s="21"/>
      <c r="K1" s="21"/>
      <c r="L1" s="21"/>
      <c r="M1" s="21" t="s">
        <v>67</v>
      </c>
      <c r="N1" s="21"/>
      <c r="O1" s="21"/>
      <c r="P1" s="21"/>
      <c r="Q1" s="21"/>
      <c r="R1" s="21"/>
      <c r="S1" s="21" t="s">
        <v>67</v>
      </c>
      <c r="T1" s="21"/>
      <c r="U1" s="21"/>
      <c r="V1" s="21"/>
      <c r="W1" s="21"/>
      <c r="X1" s="21"/>
      <c r="Y1" s="21" t="s">
        <v>67</v>
      </c>
      <c r="Z1" s="21"/>
      <c r="AA1" s="21"/>
      <c r="AB1" s="21"/>
      <c r="AC1" s="21"/>
      <c r="AD1" s="21"/>
      <c r="AE1" s="21"/>
      <c r="AF1" s="21" t="s">
        <v>67</v>
      </c>
      <c r="AG1" s="21"/>
      <c r="AH1" s="21"/>
      <c r="AI1" s="21"/>
      <c r="AJ1" s="21"/>
      <c r="AK1" s="21"/>
      <c r="AL1" s="21" t="s">
        <v>67</v>
      </c>
      <c r="AM1" s="21"/>
      <c r="AN1" s="21"/>
      <c r="AO1" s="21"/>
      <c r="AP1" s="21"/>
      <c r="AQ1" s="21" t="s">
        <v>67</v>
      </c>
      <c r="AR1" s="21"/>
      <c r="AS1" s="21"/>
      <c r="AT1" s="21"/>
      <c r="AU1" s="21"/>
      <c r="AV1" s="21" t="s">
        <v>67</v>
      </c>
      <c r="AW1" s="21"/>
      <c r="AX1" s="21"/>
      <c r="AY1" s="21"/>
      <c r="AZ1" s="21" t="s">
        <v>63</v>
      </c>
      <c r="BA1" s="21"/>
      <c r="BB1" s="21"/>
      <c r="BC1" s="21"/>
      <c r="BD1" s="21"/>
      <c r="BE1" s="21"/>
      <c r="BF1" s="21" t="s">
        <v>138</v>
      </c>
      <c r="BG1" s="21"/>
      <c r="BH1" s="21"/>
      <c r="BI1" s="21"/>
      <c r="BJ1" s="21"/>
      <c r="BK1" s="21"/>
      <c r="BL1" s="21" t="s">
        <v>138</v>
      </c>
      <c r="BM1" s="21"/>
      <c r="BN1" s="21"/>
      <c r="BO1" s="21"/>
      <c r="BP1" s="21"/>
      <c r="BQ1" s="21" t="s">
        <v>138</v>
      </c>
      <c r="BS1" s="21"/>
      <c r="BT1" s="58" t="s">
        <v>64</v>
      </c>
      <c r="BU1" s="21"/>
      <c r="BV1" s="21"/>
      <c r="BW1" s="21"/>
      <c r="BX1" s="21"/>
      <c r="BY1" s="21"/>
      <c r="BZ1" s="21"/>
      <c r="CA1" s="21"/>
      <c r="CB1" s="21"/>
      <c r="CC1" s="21"/>
      <c r="CD1" s="58" t="s">
        <v>65</v>
      </c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</row>
    <row r="2" spans="1:117" s="1" customFormat="1" ht="89.25" customHeight="1">
      <c r="A2" s="49"/>
      <c r="B2" s="45" t="s">
        <v>66</v>
      </c>
      <c r="C2" s="20" t="s">
        <v>37</v>
      </c>
      <c r="D2" s="56" t="s">
        <v>68</v>
      </c>
      <c r="E2" s="20" t="s">
        <v>52</v>
      </c>
      <c r="F2" s="135" t="s">
        <v>212</v>
      </c>
      <c r="G2" s="130" t="s">
        <v>76</v>
      </c>
      <c r="H2" s="54" t="s">
        <v>77</v>
      </c>
      <c r="I2" s="54" t="s">
        <v>78</v>
      </c>
      <c r="J2" s="54" t="s">
        <v>79</v>
      </c>
      <c r="K2" s="54" t="s">
        <v>80</v>
      </c>
      <c r="L2" s="54" t="s">
        <v>81</v>
      </c>
      <c r="M2" s="54" t="s">
        <v>82</v>
      </c>
      <c r="N2" s="54" t="s">
        <v>83</v>
      </c>
      <c r="O2" s="54" t="s">
        <v>84</v>
      </c>
      <c r="P2" s="54" t="s">
        <v>85</v>
      </c>
      <c r="Q2" s="54" t="s">
        <v>86</v>
      </c>
      <c r="R2" s="54" t="s">
        <v>87</v>
      </c>
      <c r="S2" s="54" t="s">
        <v>88</v>
      </c>
      <c r="T2" s="54" t="s">
        <v>89</v>
      </c>
      <c r="U2" s="54" t="s">
        <v>90</v>
      </c>
      <c r="V2" s="54" t="s">
        <v>91</v>
      </c>
      <c r="W2" s="54" t="s">
        <v>92</v>
      </c>
      <c r="X2" s="54" t="s">
        <v>93</v>
      </c>
      <c r="Y2" s="54" t="s">
        <v>94</v>
      </c>
      <c r="Z2" s="54" t="s">
        <v>95</v>
      </c>
      <c r="AA2" s="54" t="s">
        <v>96</v>
      </c>
      <c r="AB2" s="54" t="s">
        <v>97</v>
      </c>
      <c r="AC2" s="54" t="s">
        <v>215</v>
      </c>
      <c r="AD2" s="54" t="s">
        <v>98</v>
      </c>
      <c r="AE2" s="54" t="s">
        <v>99</v>
      </c>
      <c r="AF2" s="54" t="s">
        <v>100</v>
      </c>
      <c r="AG2" s="54" t="s">
        <v>101</v>
      </c>
      <c r="AH2" s="54" t="s">
        <v>102</v>
      </c>
      <c r="AI2" s="54" t="s">
        <v>103</v>
      </c>
      <c r="AJ2" s="54" t="s">
        <v>104</v>
      </c>
      <c r="AK2" s="54" t="s">
        <v>105</v>
      </c>
      <c r="AL2" s="54" t="s">
        <v>106</v>
      </c>
      <c r="AM2" s="54" t="s">
        <v>107</v>
      </c>
      <c r="AN2" s="36" t="s">
        <v>108</v>
      </c>
      <c r="AO2" s="36" t="s">
        <v>109</v>
      </c>
      <c r="AP2" s="36" t="s">
        <v>110</v>
      </c>
      <c r="AQ2" s="36" t="s">
        <v>111</v>
      </c>
      <c r="AR2" s="36" t="s">
        <v>112</v>
      </c>
      <c r="AS2" s="36" t="s">
        <v>113</v>
      </c>
      <c r="AT2" s="36" t="s">
        <v>114</v>
      </c>
      <c r="AU2" s="36" t="s">
        <v>115</v>
      </c>
      <c r="AV2" s="36" t="s">
        <v>116</v>
      </c>
      <c r="AW2" s="36" t="s">
        <v>117</v>
      </c>
      <c r="AX2" s="36" t="s">
        <v>118</v>
      </c>
      <c r="AY2" s="54" t="s">
        <v>139</v>
      </c>
      <c r="AZ2" s="54" t="s">
        <v>119</v>
      </c>
      <c r="BA2" s="54" t="s">
        <v>120</v>
      </c>
      <c r="BB2" s="54" t="s">
        <v>121</v>
      </c>
      <c r="BC2" s="54" t="s">
        <v>122</v>
      </c>
      <c r="BD2" s="54" t="s">
        <v>123</v>
      </c>
      <c r="BE2" s="54" t="s">
        <v>124</v>
      </c>
      <c r="BF2" s="54" t="s">
        <v>125</v>
      </c>
      <c r="BG2" s="54" t="s">
        <v>126</v>
      </c>
      <c r="BH2" s="54" t="s">
        <v>127</v>
      </c>
      <c r="BI2" s="54" t="s">
        <v>128</v>
      </c>
      <c r="BJ2" s="54" t="s">
        <v>129</v>
      </c>
      <c r="BK2" s="54" t="s">
        <v>130</v>
      </c>
      <c r="BL2" s="54" t="s">
        <v>132</v>
      </c>
      <c r="BM2" s="54" t="s">
        <v>131</v>
      </c>
      <c r="BN2" s="54" t="s">
        <v>133</v>
      </c>
      <c r="BO2" s="54" t="s">
        <v>134</v>
      </c>
      <c r="BP2" s="54" t="s">
        <v>135</v>
      </c>
      <c r="BQ2" s="54" t="s">
        <v>136</v>
      </c>
      <c r="BR2" s="54" t="s">
        <v>137</v>
      </c>
      <c r="BS2" s="54" t="s">
        <v>118</v>
      </c>
      <c r="BT2" s="36" t="s">
        <v>140</v>
      </c>
      <c r="BU2" s="36" t="s">
        <v>141</v>
      </c>
      <c r="BV2" s="36" t="s">
        <v>146</v>
      </c>
      <c r="BW2" s="36" t="s">
        <v>142</v>
      </c>
      <c r="BX2" s="36" t="s">
        <v>143</v>
      </c>
      <c r="BY2" s="36" t="s">
        <v>144</v>
      </c>
      <c r="BZ2" s="36" t="s">
        <v>145</v>
      </c>
      <c r="CA2" s="36" t="s">
        <v>147</v>
      </c>
      <c r="CB2" s="36" t="s">
        <v>148</v>
      </c>
      <c r="CC2" s="36" t="s">
        <v>118</v>
      </c>
      <c r="CD2" s="131" t="s">
        <v>149</v>
      </c>
      <c r="CE2" s="131" t="s">
        <v>150</v>
      </c>
      <c r="CF2" s="131" t="s">
        <v>60</v>
      </c>
      <c r="CG2" s="131" t="s">
        <v>151</v>
      </c>
      <c r="CH2" s="131" t="s">
        <v>152</v>
      </c>
      <c r="CI2" s="131" t="s">
        <v>153</v>
      </c>
      <c r="CJ2" s="131" t="s">
        <v>46</v>
      </c>
      <c r="CK2" s="131" t="s">
        <v>249</v>
      </c>
      <c r="CL2" s="131" t="s">
        <v>45</v>
      </c>
      <c r="CM2" s="131" t="s">
        <v>69</v>
      </c>
      <c r="CN2" s="131" t="s">
        <v>43</v>
      </c>
      <c r="CO2" s="131" t="s">
        <v>44</v>
      </c>
      <c r="CP2" s="131" t="s">
        <v>154</v>
      </c>
      <c r="CQ2" s="131" t="s">
        <v>156</v>
      </c>
      <c r="CR2" s="131" t="s">
        <v>155</v>
      </c>
      <c r="CS2" s="131" t="s">
        <v>161</v>
      </c>
      <c r="CT2" s="131" t="s">
        <v>164</v>
      </c>
      <c r="CU2" s="131" t="s">
        <v>165</v>
      </c>
      <c r="CV2" s="131" t="s">
        <v>163</v>
      </c>
      <c r="CW2" s="131" t="s">
        <v>167</v>
      </c>
      <c r="CX2" s="131" t="s">
        <v>149</v>
      </c>
      <c r="CY2" s="131" t="s">
        <v>168</v>
      </c>
      <c r="CZ2" s="131" t="s">
        <v>173</v>
      </c>
      <c r="DA2" s="131" t="s">
        <v>178</v>
      </c>
      <c r="DB2" s="131" t="s">
        <v>179</v>
      </c>
      <c r="DC2" s="131" t="s">
        <v>181</v>
      </c>
      <c r="DD2" s="131" t="s">
        <v>184</v>
      </c>
      <c r="DE2" s="131" t="s">
        <v>190</v>
      </c>
      <c r="DF2" s="131" t="s">
        <v>198</v>
      </c>
      <c r="DG2" s="131" t="s">
        <v>194</v>
      </c>
      <c r="DH2" s="131" t="s">
        <v>195</v>
      </c>
      <c r="DI2" s="131" t="s">
        <v>196</v>
      </c>
      <c r="DJ2" s="131" t="s">
        <v>199</v>
      </c>
      <c r="DK2" s="131" t="s">
        <v>250</v>
      </c>
      <c r="DL2" s="131"/>
      <c r="DM2" s="132"/>
    </row>
    <row r="3" spans="1:117" s="5" customFormat="1" ht="12.75" customHeight="1">
      <c r="A3" s="50" t="s">
        <v>38</v>
      </c>
      <c r="B3" s="41">
        <v>176</v>
      </c>
      <c r="C3" s="6">
        <v>360586</v>
      </c>
      <c r="D3" s="33">
        <v>2048.79</v>
      </c>
      <c r="E3" s="33">
        <v>57.32</v>
      </c>
      <c r="F3" s="127">
        <v>5</v>
      </c>
      <c r="G3" s="133">
        <v>146093.9</v>
      </c>
      <c r="H3" s="43">
        <v>114731.1</v>
      </c>
      <c r="I3" s="43">
        <v>834</v>
      </c>
      <c r="J3" s="43">
        <v>1513.1</v>
      </c>
      <c r="K3" s="43">
        <v>23900</v>
      </c>
      <c r="L3" s="43">
        <v>0</v>
      </c>
      <c r="M3" s="43">
        <f aca="true" t="shared" si="0" ref="M3:M31">SUM(K3:L3)</f>
        <v>23900</v>
      </c>
      <c r="N3" s="43">
        <v>0</v>
      </c>
      <c r="O3" s="43">
        <v>140298.75</v>
      </c>
      <c r="P3" s="43">
        <v>115767.2</v>
      </c>
      <c r="Q3" s="43">
        <v>1038.15</v>
      </c>
      <c r="R3" s="43">
        <v>32629.65</v>
      </c>
      <c r="S3" s="43">
        <v>0</v>
      </c>
      <c r="T3" s="43">
        <v>0</v>
      </c>
      <c r="U3" s="43">
        <v>0</v>
      </c>
      <c r="V3" s="43">
        <v>0</v>
      </c>
      <c r="W3" s="43">
        <f aca="true" t="shared" si="1" ref="W3:W14">SUM(R3:V3)</f>
        <v>32629.65</v>
      </c>
      <c r="X3" s="43">
        <v>153323.65</v>
      </c>
      <c r="Y3" s="43">
        <f aca="true" t="shared" si="2" ref="Y3:Y14">SUM(G3:X3)-M3-W3</f>
        <v>730129.5</v>
      </c>
      <c r="Z3" s="43">
        <v>248466.6</v>
      </c>
      <c r="AA3" s="43">
        <v>654.7</v>
      </c>
      <c r="AB3" s="43">
        <v>0</v>
      </c>
      <c r="AC3" s="43">
        <v>11885.5</v>
      </c>
      <c r="AD3" s="43">
        <v>7894</v>
      </c>
      <c r="AE3" s="43">
        <f aca="true" t="shared" si="3" ref="AE3:AE14">SUM(Z3:AD3)</f>
        <v>268900.80000000005</v>
      </c>
      <c r="AF3" s="43">
        <v>0</v>
      </c>
      <c r="AG3" s="43">
        <v>45718.2</v>
      </c>
      <c r="AH3" s="43">
        <v>0</v>
      </c>
      <c r="AI3" s="43">
        <v>86517.45</v>
      </c>
      <c r="AJ3" s="43">
        <v>271786.9</v>
      </c>
      <c r="AK3" s="43">
        <v>5668.7</v>
      </c>
      <c r="AL3" s="43">
        <v>44206.75</v>
      </c>
      <c r="AM3" s="43">
        <v>1092.8</v>
      </c>
      <c r="AN3" s="4">
        <v>0</v>
      </c>
      <c r="AO3" s="4">
        <v>14766.1</v>
      </c>
      <c r="AP3" s="4">
        <v>0</v>
      </c>
      <c r="AQ3" s="4">
        <v>0</v>
      </c>
      <c r="AR3" s="4">
        <v>0</v>
      </c>
      <c r="AS3" s="4">
        <f aca="true" t="shared" si="4" ref="AS3:AS14">SUM(AN3:AR3)</f>
        <v>14766.1</v>
      </c>
      <c r="AT3" s="4">
        <v>166573.05</v>
      </c>
      <c r="AU3" s="4">
        <f aca="true" t="shared" si="5" ref="AU3:AU14">SUM(Z3:AT3)-AE3-AH3-AS3</f>
        <v>905230.7499999999</v>
      </c>
      <c r="AV3" s="4">
        <v>175101.25</v>
      </c>
      <c r="AW3" s="4">
        <v>0</v>
      </c>
      <c r="AX3" s="144">
        <f aca="true" t="shared" si="6" ref="AX3:AX14">Y3-AU3+AV3-AW3</f>
        <v>1.1641532182693481E-10</v>
      </c>
      <c r="AY3" s="43">
        <v>32203.3</v>
      </c>
      <c r="AZ3" s="43">
        <v>19868.5</v>
      </c>
      <c r="BA3" s="43">
        <v>0</v>
      </c>
      <c r="BB3" s="43">
        <v>0</v>
      </c>
      <c r="BC3" s="43">
        <v>0</v>
      </c>
      <c r="BD3" s="43">
        <v>0</v>
      </c>
      <c r="BE3" s="43">
        <v>0</v>
      </c>
      <c r="BF3" s="43">
        <f aca="true" t="shared" si="7" ref="BF3:BF14">SUM(AZ3:BE3)</f>
        <v>19868.5</v>
      </c>
      <c r="BG3" s="43">
        <v>0</v>
      </c>
      <c r="BH3" s="43">
        <v>0</v>
      </c>
      <c r="BI3" s="43">
        <v>0</v>
      </c>
      <c r="BJ3" s="43">
        <v>0</v>
      </c>
      <c r="BK3" s="43">
        <v>0</v>
      </c>
      <c r="BL3" s="43">
        <v>0</v>
      </c>
      <c r="BM3" s="43">
        <v>38919.2</v>
      </c>
      <c r="BN3" s="43">
        <v>0</v>
      </c>
      <c r="BO3" s="43">
        <f aca="true" t="shared" si="8" ref="BO3:BO14">SUM(BG3:BN3)</f>
        <v>38919.2</v>
      </c>
      <c r="BP3" s="43">
        <v>38919.2</v>
      </c>
      <c r="BQ3" s="43">
        <v>0</v>
      </c>
      <c r="BR3" s="43">
        <v>19868.5</v>
      </c>
      <c r="BS3" s="153">
        <f aca="true" t="shared" si="9" ref="BS3:BS14">+BF3-BO3+BP3+BQ3-BR3</f>
        <v>0</v>
      </c>
      <c r="BT3" s="4">
        <v>1851416.7</v>
      </c>
      <c r="BU3" s="4">
        <v>214376</v>
      </c>
      <c r="BV3" s="4">
        <v>0</v>
      </c>
      <c r="BW3" s="4">
        <v>0</v>
      </c>
      <c r="BX3" s="4">
        <f aca="true" t="shared" si="10" ref="BX3:BX14">SUM(BT3:BW3)</f>
        <v>2065792.7</v>
      </c>
      <c r="BY3" s="4">
        <v>426484.7</v>
      </c>
      <c r="BZ3" s="4">
        <v>229150.15</v>
      </c>
      <c r="CA3" s="4">
        <v>1410157.85</v>
      </c>
      <c r="CB3" s="4">
        <f aca="true" t="shared" si="11" ref="CB3:CB14">SUM(BY3:CA3)</f>
        <v>2065792.7000000002</v>
      </c>
      <c r="CC3" s="144">
        <f aca="true" t="shared" si="12" ref="CC3:CC14">BX3-CB3</f>
        <v>0</v>
      </c>
      <c r="CD3" s="74">
        <f aca="true" t="shared" si="13" ref="CD3:CD14">K3+L3+AV3-AW3</f>
        <v>199001.25</v>
      </c>
      <c r="CE3" s="76">
        <f aca="true" t="shared" si="14" ref="CE3:CE14">CD3+W3-AS3</f>
        <v>216864.8</v>
      </c>
      <c r="CF3" s="76">
        <f aca="true" t="shared" si="15" ref="CF3:CF14">BR3-BP3</f>
        <v>-19050.699999999997</v>
      </c>
      <c r="CG3" s="76">
        <f aca="true" t="shared" si="16" ref="CG3:CG31">AU3-AM3-AT3-AS3</f>
        <v>722798.7999999999</v>
      </c>
      <c r="CH3" s="76">
        <f aca="true" t="shared" si="17" ref="CH3:CH14">I3-AG3+AY3+AH3+BQ3</f>
        <v>-12680.899999999998</v>
      </c>
      <c r="CI3" s="37">
        <f aca="true" t="shared" si="18" ref="CI3:CI14">CH3+K3</f>
        <v>11219.100000000002</v>
      </c>
      <c r="CJ3" s="59">
        <f>IF(CF3=0,"-",(CD3/CF3))</f>
        <v>-10.445876004556265</v>
      </c>
      <c r="CK3" s="59">
        <f>IF(CF3=0,"-",(CE3/CF3))</f>
        <v>-11.383560709055311</v>
      </c>
      <c r="CL3" s="141">
        <f>IF(CG3=0,"-",(CD3/CG3*1))</f>
        <v>0.2753203934483566</v>
      </c>
      <c r="CM3" s="141">
        <f>IF(CE3=0,"-",(CE3/CG3))</f>
        <v>0.30003480913360675</v>
      </c>
      <c r="CN3" s="141">
        <f>IF(CG3=0,"-",(CH3/CG3))</f>
        <v>-0.017544163050630408</v>
      </c>
      <c r="CO3" s="141">
        <f>IF(CG3=0,"-",(CI3/CG3))</f>
        <v>0.015521746854034627</v>
      </c>
      <c r="CP3" s="141">
        <f>IF(BU3+K3+L3=0,"-",((K3+L3)/(BU3+K3+L3)))</f>
        <v>0.10030384931759807</v>
      </c>
      <c r="CQ3" s="141">
        <f>IF(BU3+K3+L3=0,"-",((K3)/(BU3+K3+L3)))</f>
        <v>0.10030384931759807</v>
      </c>
      <c r="CR3" s="142">
        <f>IF(CE3=0,"-",(CS3/CE3))</f>
        <v>6.570600669172683</v>
      </c>
      <c r="CS3" s="76">
        <f>BT3-BY3</f>
        <v>1424932</v>
      </c>
      <c r="CT3" s="80">
        <f aca="true" t="shared" si="19" ref="CT3:CT14">Y3-K3-L3-V3</f>
        <v>706229.5</v>
      </c>
      <c r="CU3" s="80">
        <f aca="true" t="shared" si="20" ref="CU3:CU14">AU3-AR3</f>
        <v>905230.7499999999</v>
      </c>
      <c r="CV3" s="80">
        <f aca="true" t="shared" si="21" ref="CV3:CV14">CU3-CT3</f>
        <v>199001.24999999988</v>
      </c>
      <c r="CW3" s="80">
        <f aca="true" t="shared" si="22" ref="CW3:CW14">-V3+AR3</f>
        <v>0</v>
      </c>
      <c r="CX3" s="80">
        <f aca="true" t="shared" si="23" ref="CX3:CX14">CV3+CW3</f>
        <v>199001.24999999988</v>
      </c>
      <c r="CY3" s="80">
        <f aca="true" t="shared" si="24" ref="CY3:CY14">CX3-K3-L3</f>
        <v>175101.24999999988</v>
      </c>
      <c r="CZ3" s="80">
        <f aca="true" t="shared" si="25" ref="CZ3:CZ14">BR3-BP3</f>
        <v>-19050.699999999997</v>
      </c>
      <c r="DA3" s="80">
        <f aca="true" t="shared" si="26" ref="DA3:DA14">K3+L3</f>
        <v>23900</v>
      </c>
      <c r="DB3" s="80">
        <f aca="true" t="shared" si="27" ref="DB3:DB14">-CZ3+DA3+CY3</f>
        <v>218051.9499999999</v>
      </c>
      <c r="DC3" s="80">
        <f aca="true" t="shared" si="28" ref="DC3:DC14">-BP3-DA3</f>
        <v>-62819.2</v>
      </c>
      <c r="DD3" s="80">
        <f aca="true" t="shared" si="29" ref="DD3:DD14">DB3+DC3+BR3</f>
        <v>175101.24999999988</v>
      </c>
      <c r="DE3" s="80">
        <f aca="true" t="shared" si="30" ref="DE3:DE14">Z3+AA3+AB3</f>
        <v>249121.30000000002</v>
      </c>
      <c r="DF3" s="80">
        <f aca="true" t="shared" si="31" ref="DF3:DF14">CS3/B3</f>
        <v>8096.204545454545</v>
      </c>
      <c r="DG3" s="80">
        <f aca="true" t="shared" si="32" ref="DG3:DG14">CH3/B3</f>
        <v>-72.05056818181816</v>
      </c>
      <c r="DH3" s="80">
        <f aca="true" t="shared" si="33" ref="DH3:DH14">DE3/B3</f>
        <v>1415.461931818182</v>
      </c>
      <c r="DI3" s="81">
        <f aca="true" t="shared" si="34" ref="DI3:DI14">CZ3/B3</f>
        <v>-108.24261363636361</v>
      </c>
      <c r="DJ3" s="76">
        <f aca="true" t="shared" si="35" ref="DJ3:DJ14">DB3/B3</f>
        <v>1238.9315340909086</v>
      </c>
      <c r="DK3" s="147">
        <f>CA3-BW3-BU3</f>
        <v>1195781.85</v>
      </c>
      <c r="DL3" s="64"/>
      <c r="DM3" s="65"/>
    </row>
    <row r="4" spans="1:117" ht="12.75">
      <c r="A4" s="51" t="s">
        <v>0</v>
      </c>
      <c r="B4" s="46">
        <v>1971</v>
      </c>
      <c r="C4" s="38">
        <v>6295352</v>
      </c>
      <c r="D4" s="39">
        <v>3193.99</v>
      </c>
      <c r="E4" s="149">
        <v>89.37</v>
      </c>
      <c r="F4" s="128">
        <v>15</v>
      </c>
      <c r="G4" s="134">
        <v>2918444.98</v>
      </c>
      <c r="H4" s="42">
        <v>4237635.3</v>
      </c>
      <c r="I4" s="42">
        <v>182140</v>
      </c>
      <c r="J4" s="42">
        <v>0</v>
      </c>
      <c r="K4" s="42">
        <v>625360.54</v>
      </c>
      <c r="L4" s="42">
        <v>0</v>
      </c>
      <c r="M4" s="43">
        <f t="shared" si="0"/>
        <v>625360.54</v>
      </c>
      <c r="N4" s="42">
        <v>0</v>
      </c>
      <c r="O4" s="42">
        <v>770082.65</v>
      </c>
      <c r="P4" s="42">
        <v>2147576.09</v>
      </c>
      <c r="Q4" s="42">
        <v>589.7</v>
      </c>
      <c r="R4" s="42">
        <v>10497.45</v>
      </c>
      <c r="S4" s="42">
        <v>26443.8</v>
      </c>
      <c r="T4" s="42">
        <v>0</v>
      </c>
      <c r="U4" s="42">
        <v>0</v>
      </c>
      <c r="V4" s="42">
        <v>0</v>
      </c>
      <c r="W4" s="43">
        <f t="shared" si="1"/>
        <v>36941.25</v>
      </c>
      <c r="X4" s="42">
        <v>920597.79</v>
      </c>
      <c r="Y4" s="43">
        <f t="shared" si="2"/>
        <v>11839368.3</v>
      </c>
      <c r="Z4" s="42">
        <v>2155289.46</v>
      </c>
      <c r="AA4" s="42">
        <v>303804.24</v>
      </c>
      <c r="AB4" s="42">
        <v>69480.75</v>
      </c>
      <c r="AC4" s="42">
        <v>133103.85</v>
      </c>
      <c r="AD4" s="42">
        <v>15868.3</v>
      </c>
      <c r="AE4" s="43">
        <f t="shared" si="3"/>
        <v>2677546.6</v>
      </c>
      <c r="AF4" s="42">
        <v>90</v>
      </c>
      <c r="AG4" s="42">
        <v>187382.75</v>
      </c>
      <c r="AH4" s="42">
        <v>4100</v>
      </c>
      <c r="AI4" s="42">
        <v>5256942.5</v>
      </c>
      <c r="AJ4" s="42">
        <v>812915.45</v>
      </c>
      <c r="AK4" s="42">
        <v>21404.9</v>
      </c>
      <c r="AL4" s="42">
        <v>1078459.75</v>
      </c>
      <c r="AM4" s="42">
        <v>0</v>
      </c>
      <c r="AN4" s="38">
        <v>206489.48</v>
      </c>
      <c r="AO4" s="38">
        <v>36761.68</v>
      </c>
      <c r="AP4" s="38">
        <v>137532.83</v>
      </c>
      <c r="AQ4" s="38">
        <v>0</v>
      </c>
      <c r="AR4" s="38">
        <v>0</v>
      </c>
      <c r="AS4" s="4">
        <f t="shared" si="4"/>
        <v>380783.99</v>
      </c>
      <c r="AT4" s="38">
        <v>927965.99</v>
      </c>
      <c r="AU4" s="4">
        <f t="shared" si="5"/>
        <v>11343491.93</v>
      </c>
      <c r="AV4" s="38">
        <v>0</v>
      </c>
      <c r="AW4" s="38">
        <v>495876.37</v>
      </c>
      <c r="AX4" s="144">
        <f t="shared" si="6"/>
        <v>1.0477378964424133E-09</v>
      </c>
      <c r="AY4" s="42">
        <v>163888</v>
      </c>
      <c r="AZ4" s="42">
        <v>2164003.49</v>
      </c>
      <c r="BA4" s="42">
        <v>0</v>
      </c>
      <c r="BB4" s="42">
        <v>73657.7</v>
      </c>
      <c r="BC4" s="42">
        <v>85127.25</v>
      </c>
      <c r="BD4" s="42">
        <v>0</v>
      </c>
      <c r="BE4" s="42">
        <v>22623.7</v>
      </c>
      <c r="BF4" s="43">
        <f t="shared" si="7"/>
        <v>2345412.1400000006</v>
      </c>
      <c r="BG4" s="42">
        <v>0</v>
      </c>
      <c r="BH4" s="42">
        <v>1002062.75</v>
      </c>
      <c r="BI4" s="42">
        <v>0</v>
      </c>
      <c r="BJ4" s="42">
        <v>0</v>
      </c>
      <c r="BK4" s="42">
        <v>0</v>
      </c>
      <c r="BL4" s="42">
        <v>0</v>
      </c>
      <c r="BM4" s="42">
        <v>167065</v>
      </c>
      <c r="BN4" s="42">
        <v>0</v>
      </c>
      <c r="BO4" s="43">
        <f t="shared" si="8"/>
        <v>1169127.75</v>
      </c>
      <c r="BP4" s="42">
        <v>1169127.75</v>
      </c>
      <c r="BQ4" s="42">
        <v>0</v>
      </c>
      <c r="BR4" s="42">
        <v>2345412.14</v>
      </c>
      <c r="BS4" s="43">
        <f t="shared" si="9"/>
        <v>0</v>
      </c>
      <c r="BT4" s="38">
        <v>18434560.96</v>
      </c>
      <c r="BU4" s="38">
        <v>6702762.9</v>
      </c>
      <c r="BV4" s="38">
        <v>419364.32</v>
      </c>
      <c r="BW4" s="38">
        <v>0</v>
      </c>
      <c r="BX4" s="4">
        <f t="shared" si="10"/>
        <v>25556688.18</v>
      </c>
      <c r="BY4" s="38">
        <v>11046842.25</v>
      </c>
      <c r="BZ4" s="38">
        <v>1832885.16</v>
      </c>
      <c r="CA4" s="38">
        <v>12676960.77</v>
      </c>
      <c r="CB4" s="4">
        <f t="shared" si="11"/>
        <v>25556688.18</v>
      </c>
      <c r="CC4" s="144">
        <f t="shared" si="12"/>
        <v>0</v>
      </c>
      <c r="CD4" s="74">
        <f t="shared" si="13"/>
        <v>129484.17000000004</v>
      </c>
      <c r="CE4" s="76">
        <f t="shared" si="14"/>
        <v>-214358.56999999995</v>
      </c>
      <c r="CF4" s="76">
        <f t="shared" si="15"/>
        <v>1176284.3900000001</v>
      </c>
      <c r="CG4" s="76">
        <f t="shared" si="16"/>
        <v>10034741.95</v>
      </c>
      <c r="CH4" s="76">
        <f t="shared" si="17"/>
        <v>162745.25</v>
      </c>
      <c r="CI4" s="37">
        <f t="shared" si="18"/>
        <v>788105.79</v>
      </c>
      <c r="CJ4" s="59">
        <f aca="true" t="shared" si="36" ref="CJ4:CJ31">IF(CF4=0,"-",(CD4/CF4))</f>
        <v>0.11007896653291474</v>
      </c>
      <c r="CK4" s="59">
        <f aca="true" t="shared" si="37" ref="CK4:CK31">IF(CF4=0,"-",(CE4/CF4))</f>
        <v>-0.18223362634269075</v>
      </c>
      <c r="CL4" s="141">
        <f aca="true" t="shared" si="38" ref="CL4:CL31">IF(CG4=0,"-",(CD4/CG4*1))</f>
        <v>0.012903587421099557</v>
      </c>
      <c r="CM4" s="141">
        <f aca="true" t="shared" si="39" ref="CM4:CM31">IF(CE4=0,"-",(CE4/CG4))</f>
        <v>-0.02136164248847475</v>
      </c>
      <c r="CN4" s="141">
        <f aca="true" t="shared" si="40" ref="CN4:CN31">IF(CG4=0,"-",(CH4/CG4))</f>
        <v>0.016218179880549893</v>
      </c>
      <c r="CO4" s="141">
        <f aca="true" t="shared" si="41" ref="CO4:CO31">IF(CG4=0,"-",(CI4/CG4))</f>
        <v>0.07853772363324202</v>
      </c>
      <c r="CP4" s="141">
        <f aca="true" t="shared" si="42" ref="CP4:CP31">IF(BU4+K4+L4=0,"-",((K4+L4)/(BU4+K4+L4)))</f>
        <v>0.08533706413657247</v>
      </c>
      <c r="CQ4" s="141">
        <f aca="true" t="shared" si="43" ref="CQ4:CQ31">IF(BU4+K4+L4=0,"-",((K4)/(BU4+K4+L4)))</f>
        <v>0.08533706413657247</v>
      </c>
      <c r="CR4" s="142">
        <f aca="true" t="shared" si="44" ref="CR4:CR31">IF(CE4=0,"-",(CS4/CE4))</f>
        <v>-34.46430301340414</v>
      </c>
      <c r="CS4" s="76">
        <f aca="true" t="shared" si="45" ref="CS4:CS31">BT4-BY4</f>
        <v>7387718.710000001</v>
      </c>
      <c r="CT4" s="80">
        <f t="shared" si="19"/>
        <v>11214007.760000002</v>
      </c>
      <c r="CU4" s="80">
        <f t="shared" si="20"/>
        <v>11343491.93</v>
      </c>
      <c r="CV4" s="80">
        <f t="shared" si="21"/>
        <v>129484.16999999806</v>
      </c>
      <c r="CW4" s="80">
        <f t="shared" si="22"/>
        <v>0</v>
      </c>
      <c r="CX4" s="80">
        <f t="shared" si="23"/>
        <v>129484.16999999806</v>
      </c>
      <c r="CY4" s="80">
        <f t="shared" si="24"/>
        <v>-495876.370000002</v>
      </c>
      <c r="CZ4" s="80">
        <f t="shared" si="25"/>
        <v>1176284.3900000001</v>
      </c>
      <c r="DA4" s="80">
        <f t="shared" si="26"/>
        <v>625360.54</v>
      </c>
      <c r="DB4" s="80">
        <f t="shared" si="27"/>
        <v>-1046800.2200000021</v>
      </c>
      <c r="DC4" s="80">
        <f t="shared" si="28"/>
        <v>-1794488.29</v>
      </c>
      <c r="DD4" s="80">
        <f t="shared" si="29"/>
        <v>-495876.370000002</v>
      </c>
      <c r="DE4" s="80">
        <f t="shared" si="30"/>
        <v>2528574.45</v>
      </c>
      <c r="DF4" s="80">
        <f t="shared" si="31"/>
        <v>3748.208376458651</v>
      </c>
      <c r="DG4" s="80">
        <f t="shared" si="32"/>
        <v>82.56988838153222</v>
      </c>
      <c r="DH4" s="80">
        <f t="shared" si="33"/>
        <v>1282.8891171993912</v>
      </c>
      <c r="DI4" s="81">
        <f t="shared" si="34"/>
        <v>596.7957331303908</v>
      </c>
      <c r="DJ4" s="76">
        <f t="shared" si="35"/>
        <v>-531.1010755961452</v>
      </c>
      <c r="DK4" s="147">
        <f>CA4-BW4-BU4</f>
        <v>5974197.869999999</v>
      </c>
      <c r="DL4" s="67"/>
      <c r="DM4" s="68"/>
    </row>
    <row r="5" spans="1:117" ht="12.75">
      <c r="A5" s="52" t="s">
        <v>32</v>
      </c>
      <c r="B5" s="41">
        <v>406</v>
      </c>
      <c r="C5" s="4">
        <v>1369240</v>
      </c>
      <c r="D5" s="34">
        <v>3372.51</v>
      </c>
      <c r="E5" s="34">
        <v>94.36</v>
      </c>
      <c r="F5" s="8">
        <v>9</v>
      </c>
      <c r="G5" s="133">
        <f>442216.15-337.4</f>
        <v>441878.75</v>
      </c>
      <c r="H5" s="43">
        <f>420027.35-6600</f>
        <v>413427.35</v>
      </c>
      <c r="I5" s="43">
        <f>437923.45-128285.15</f>
        <v>309638.30000000005</v>
      </c>
      <c r="J5" s="43">
        <v>130000</v>
      </c>
      <c r="K5" s="43">
        <v>204692</v>
      </c>
      <c r="L5" s="43">
        <v>0</v>
      </c>
      <c r="M5" s="43">
        <f t="shared" si="0"/>
        <v>204692</v>
      </c>
      <c r="N5" s="43">
        <v>0</v>
      </c>
      <c r="O5" s="43">
        <v>73725.1</v>
      </c>
      <c r="P5" s="43">
        <v>148130.35</v>
      </c>
      <c r="Q5" s="43">
        <v>-8536.6</v>
      </c>
      <c r="R5" s="43">
        <v>57731.4</v>
      </c>
      <c r="S5" s="43">
        <v>0</v>
      </c>
      <c r="T5" s="43">
        <v>200000</v>
      </c>
      <c r="U5" s="43">
        <v>0</v>
      </c>
      <c r="V5" s="43">
        <v>0</v>
      </c>
      <c r="W5" s="43">
        <f t="shared" si="1"/>
        <v>257731.4</v>
      </c>
      <c r="X5" s="43">
        <v>239711</v>
      </c>
      <c r="Y5" s="43">
        <f t="shared" si="2"/>
        <v>2210397.65</v>
      </c>
      <c r="Z5" s="43">
        <f>735637.2-228727.7</f>
        <v>506909.49999999994</v>
      </c>
      <c r="AA5" s="43">
        <v>20939.1</v>
      </c>
      <c r="AB5" s="43">
        <v>15027.25</v>
      </c>
      <c r="AC5" s="43">
        <v>0</v>
      </c>
      <c r="AD5" s="43">
        <v>189165.75</v>
      </c>
      <c r="AE5" s="43">
        <f t="shared" si="3"/>
        <v>732041.6</v>
      </c>
      <c r="AF5" s="43">
        <v>1085</v>
      </c>
      <c r="AG5" s="43">
        <v>146537.68</v>
      </c>
      <c r="AH5" s="43">
        <v>0</v>
      </c>
      <c r="AI5" s="43">
        <v>684122.55</v>
      </c>
      <c r="AJ5" s="43">
        <v>4808.4</v>
      </c>
      <c r="AK5" s="43">
        <v>7326.6</v>
      </c>
      <c r="AL5" s="43">
        <v>15720.45</v>
      </c>
      <c r="AM5" s="43">
        <v>26524.8</v>
      </c>
      <c r="AN5" s="4">
        <v>8019.75</v>
      </c>
      <c r="AO5" s="4">
        <v>0</v>
      </c>
      <c r="AP5" s="4">
        <v>0</v>
      </c>
      <c r="AQ5" s="4">
        <v>0</v>
      </c>
      <c r="AR5" s="4">
        <v>0</v>
      </c>
      <c r="AS5" s="4">
        <f t="shared" si="4"/>
        <v>8019.75</v>
      </c>
      <c r="AT5" s="4">
        <v>239711</v>
      </c>
      <c r="AU5" s="4">
        <f t="shared" si="5"/>
        <v>1865897.8299999996</v>
      </c>
      <c r="AV5" s="4">
        <v>0</v>
      </c>
      <c r="AW5" s="4">
        <f>344499.82</f>
        <v>344499.82</v>
      </c>
      <c r="AX5" s="150">
        <f t="shared" si="6"/>
        <v>0</v>
      </c>
      <c r="AY5" s="43">
        <v>12800.9</v>
      </c>
      <c r="AZ5" s="43">
        <v>369839.87</v>
      </c>
      <c r="BA5" s="43">
        <v>0</v>
      </c>
      <c r="BB5" s="43">
        <v>0</v>
      </c>
      <c r="BC5" s="43">
        <v>0</v>
      </c>
      <c r="BD5" s="43">
        <v>0</v>
      </c>
      <c r="BE5" s="43">
        <v>0</v>
      </c>
      <c r="BF5" s="43">
        <f t="shared" si="7"/>
        <v>369839.87</v>
      </c>
      <c r="BG5" s="43">
        <v>0</v>
      </c>
      <c r="BH5" s="43">
        <v>146681.25</v>
      </c>
      <c r="BI5" s="43">
        <v>0</v>
      </c>
      <c r="BJ5" s="43">
        <v>0</v>
      </c>
      <c r="BK5" s="43">
        <v>0</v>
      </c>
      <c r="BL5" s="43">
        <v>0</v>
      </c>
      <c r="BM5" s="43">
        <v>0</v>
      </c>
      <c r="BN5" s="43">
        <v>0</v>
      </c>
      <c r="BO5" s="43">
        <f t="shared" si="8"/>
        <v>146681.25</v>
      </c>
      <c r="BP5" s="43">
        <v>146681.25</v>
      </c>
      <c r="BQ5" s="43">
        <v>0</v>
      </c>
      <c r="BR5" s="43">
        <v>369839.87</v>
      </c>
      <c r="BS5" s="43">
        <f t="shared" si="9"/>
        <v>0</v>
      </c>
      <c r="BT5" s="4">
        <v>2831424.83</v>
      </c>
      <c r="BU5" s="4">
        <v>1993373.2</v>
      </c>
      <c r="BV5" s="4">
        <v>0</v>
      </c>
      <c r="BW5" s="4">
        <v>1792930.29</v>
      </c>
      <c r="BX5" s="4">
        <f t="shared" si="10"/>
        <v>6617728.32</v>
      </c>
      <c r="BY5" s="4">
        <f>6506797.52</f>
        <v>6506797.52</v>
      </c>
      <c r="BZ5" s="4">
        <v>110930.8</v>
      </c>
      <c r="CA5" s="4">
        <v>0</v>
      </c>
      <c r="CB5" s="4">
        <f t="shared" si="11"/>
        <v>6617728.319999999</v>
      </c>
      <c r="CC5" s="151">
        <f t="shared" si="12"/>
        <v>0</v>
      </c>
      <c r="CD5" s="74">
        <f t="shared" si="13"/>
        <v>-139807.82</v>
      </c>
      <c r="CE5" s="76">
        <f t="shared" si="14"/>
        <v>109903.82999999999</v>
      </c>
      <c r="CF5" s="76">
        <f t="shared" si="15"/>
        <v>223158.62</v>
      </c>
      <c r="CG5" s="76">
        <f t="shared" si="16"/>
        <v>1591642.2799999996</v>
      </c>
      <c r="CH5" s="76">
        <f t="shared" si="17"/>
        <v>175901.52000000005</v>
      </c>
      <c r="CI5" s="37">
        <f t="shared" si="18"/>
        <v>380593.52</v>
      </c>
      <c r="CJ5" s="59">
        <f t="shared" si="36"/>
        <v>-0.6264952704941446</v>
      </c>
      <c r="CK5" s="59">
        <f t="shared" si="37"/>
        <v>0.49249197723126265</v>
      </c>
      <c r="CL5" s="141">
        <f t="shared" si="38"/>
        <v>-0.08783871963994325</v>
      </c>
      <c r="CM5" s="141">
        <f t="shared" si="39"/>
        <v>0.06905058465775364</v>
      </c>
      <c r="CN5" s="141">
        <f t="shared" si="40"/>
        <v>0.1105157372421648</v>
      </c>
      <c r="CO5" s="141">
        <f t="shared" si="41"/>
        <v>0.23912001131309488</v>
      </c>
      <c r="CP5" s="141">
        <f t="shared" si="42"/>
        <v>0.09312371625737034</v>
      </c>
      <c r="CQ5" s="141">
        <f t="shared" si="43"/>
        <v>0.09312371625737034</v>
      </c>
      <c r="CR5" s="142">
        <f t="shared" si="44"/>
        <v>-33.44171618040973</v>
      </c>
      <c r="CS5" s="76">
        <f t="shared" si="45"/>
        <v>-3675372.6899999995</v>
      </c>
      <c r="CT5" s="80">
        <f t="shared" si="19"/>
        <v>2005705.65</v>
      </c>
      <c r="CU5" s="80">
        <f t="shared" si="20"/>
        <v>1865897.8299999996</v>
      </c>
      <c r="CV5" s="80">
        <f t="shared" si="21"/>
        <v>-139807.8200000003</v>
      </c>
      <c r="CW5" s="80">
        <f t="shared" si="22"/>
        <v>0</v>
      </c>
      <c r="CX5" s="80">
        <f t="shared" si="23"/>
        <v>-139807.8200000003</v>
      </c>
      <c r="CY5" s="80">
        <f t="shared" si="24"/>
        <v>-344499.8200000003</v>
      </c>
      <c r="CZ5" s="80">
        <f t="shared" si="25"/>
        <v>223158.62</v>
      </c>
      <c r="DA5" s="80">
        <f t="shared" si="26"/>
        <v>204692</v>
      </c>
      <c r="DB5" s="80">
        <f t="shared" si="27"/>
        <v>-362966.4400000003</v>
      </c>
      <c r="DC5" s="80">
        <f t="shared" si="28"/>
        <v>-351373.25</v>
      </c>
      <c r="DD5" s="80">
        <f t="shared" si="29"/>
        <v>-344499.8200000003</v>
      </c>
      <c r="DE5" s="80">
        <f t="shared" si="30"/>
        <v>542875.85</v>
      </c>
      <c r="DF5" s="80">
        <f t="shared" si="31"/>
        <v>-9052.642093596058</v>
      </c>
      <c r="DG5" s="80">
        <f t="shared" si="32"/>
        <v>433.25497536945824</v>
      </c>
      <c r="DH5" s="80">
        <f t="shared" si="33"/>
        <v>1337.1326354679802</v>
      </c>
      <c r="DI5" s="81">
        <f t="shared" si="34"/>
        <v>549.6517733990148</v>
      </c>
      <c r="DJ5" s="76">
        <f t="shared" si="35"/>
        <v>-894.0060098522175</v>
      </c>
      <c r="DK5" s="147">
        <f aca="true" t="shared" si="46" ref="DK5:DK31">CA5-BW5-BU5</f>
        <v>-3786303.49</v>
      </c>
      <c r="DL5" s="64"/>
      <c r="DM5" s="65"/>
    </row>
    <row r="6" spans="1:117" ht="12.75">
      <c r="A6" s="51" t="s">
        <v>1</v>
      </c>
      <c r="B6" s="46">
        <v>210</v>
      </c>
      <c r="C6" s="38">
        <v>719115</v>
      </c>
      <c r="D6" s="39">
        <v>3424.36</v>
      </c>
      <c r="E6" s="39">
        <v>95.81</v>
      </c>
      <c r="F6" s="128">
        <v>10</v>
      </c>
      <c r="G6" s="134">
        <f>1150+1440+1803+40.85+13862.5+10110+1938.7+313.9+1016+75813.7+2562+7381.35+3708.3+1967.2+873+1288.7+125.45+29.2+235+62452+6103.3+3294.95+1682.6+40+1722+6000+68673+6478.35+2964.6+478.35+4782+331.95+300.6+961+3652+319.55+58.95+1715.9+888.3+86.5+280+27.25+6.35+120+11.7+2.7+140+360+35.05+8.15+240+23.35+5.45+240+23.35+5.45+580+56.45+13.15+885.4+86.2</f>
        <v>301794.74999999994</v>
      </c>
      <c r="H6" s="42">
        <f>371.2+1166.2+144.6+136.8+600+231.8+128.2+250+5850.7+8503.2+224.9+5175.95+14225.6+1563.25+1490+2896.4+143.4+115+100+2829.35+274.1+170+1171+1124.55+184.6+173.4+1616.8+2458.3+786.05+2615.4+50+2496.5+300+30+545.45-4.9-277.4+75+170.7+1853.45+1802.2+365.25+62.4+3334.85+583.95+1127.65+90+328.2+1828.95+1217.85-325.15+284.4+100+225+375.5+290+1597.45+3038.9+17677.3+101+98+140+270+565+7232.6+4642.45+2412.7+111.2+1190.75+1004.8+304.4+906.55+391.7+2199.7+708.95+1107+357.7+587.85+212.3+157+4769.6+210+81.45+615.05+917.6+1723.45+4366.05+1193.2+324.8+2759.45+651+1049.55+5974.1+15.5+2225.5+100+84858.7+40+235.4+313.1+568.35+5092.4+402.8+613.95+696.8+619.55</f>
        <v>241083.24999999994</v>
      </c>
      <c r="I6" s="42">
        <f>11.55+7071.9</f>
        <v>7083.45</v>
      </c>
      <c r="J6" s="42">
        <v>0</v>
      </c>
      <c r="K6" s="42">
        <f>57862.05</f>
        <v>57862.05</v>
      </c>
      <c r="L6" s="42">
        <v>0</v>
      </c>
      <c r="M6" s="43">
        <f t="shared" si="0"/>
        <v>57862.05</v>
      </c>
      <c r="N6" s="42">
        <f>100</f>
        <v>100</v>
      </c>
      <c r="O6" s="42">
        <f>12134.1+213.35+3375.9+102+11996.5+360+2850+30569.3+33621.5+37067.3+8042.05+2672.65+7500+100+187.85+5733.4+340.9+3645+6216.5+14014.5</f>
        <v>180742.8</v>
      </c>
      <c r="P6" s="42">
        <f>2503.05+100+200+350+271.1+100+994+250+4839.8+26754.15+9828.55+284.4+2411.65+19657.15+2680.15+34827.4+18509.85+14587.45+19574.6+3845+21926.6+396+5985+2690+711+1663+182.6+7425+219.5+474+121729.65+55746.6</f>
        <v>381717.25</v>
      </c>
      <c r="Q6" s="42">
        <f>866.75</f>
        <v>866.75</v>
      </c>
      <c r="R6" s="42">
        <f>5875.1+2619.8+950</f>
        <v>9444.900000000001</v>
      </c>
      <c r="S6" s="42">
        <v>0</v>
      </c>
      <c r="T6" s="42">
        <v>0</v>
      </c>
      <c r="U6" s="42">
        <v>0</v>
      </c>
      <c r="V6" s="42">
        <v>0</v>
      </c>
      <c r="W6" s="43">
        <f t="shared" si="1"/>
        <v>9444.900000000001</v>
      </c>
      <c r="X6" s="42">
        <f>48813.7+7679.25+500+506+5258+14586.2+10000+261.7+6805.55+52.35+3535.4+450+5381.1+1314+8656.05+6211.35+5000+4500+1250+9622.35+12309.25+1150.9+3108.4+65.45+9040+305.35+65.2+16198+1395.8+514.7+636.85+7170.95+1540+10686.65+5679.2+322.8+191.9+479.8+2660.65+2364.15+30.15</f>
        <v>216299.15</v>
      </c>
      <c r="Y6" s="43">
        <f t="shared" si="2"/>
        <v>1396994.3499999996</v>
      </c>
      <c r="Z6" s="42">
        <f>87701+56775.05+255.9+28409.95</f>
        <v>173141.9</v>
      </c>
      <c r="AA6" s="42">
        <v>0</v>
      </c>
      <c r="AB6" s="42">
        <v>0</v>
      </c>
      <c r="AC6" s="42">
        <f>6077.8+8103.75</f>
        <v>14181.55</v>
      </c>
      <c r="AD6" s="42">
        <f>450</f>
        <v>450</v>
      </c>
      <c r="AE6" s="43">
        <f t="shared" si="3"/>
        <v>187773.44999999998</v>
      </c>
      <c r="AF6" s="42">
        <v>0</v>
      </c>
      <c r="AG6" s="42">
        <f>1180+7700+7200+11650+2000+900+1439.85+7458.55+6000+8854.7+2568+25200</f>
        <v>82151.1</v>
      </c>
      <c r="AH6" s="42">
        <v>6000</v>
      </c>
      <c r="AI6" s="42">
        <f>195.35+200+737.25+680+95+121.05+2402.5+4089+6805.55+500+491.2+1260+22200.75+34027.55+6095.85+1160.4+35+2690+56016.6+432.45+4020+866.75</f>
        <v>145122.25000000003</v>
      </c>
      <c r="AJ6" s="42">
        <f>28849.4+158730.55+19232.9+39643.9+19232.9+2793.15+13775.2</f>
        <v>282258</v>
      </c>
      <c r="AK6" s="42">
        <f>12.9+1020+5200+31367.75+30569.3+1450</f>
        <v>69619.95</v>
      </c>
      <c r="AL6" s="42">
        <f>5000+37255.1+1111.6+121729.65+18651+6216.5+42043.5+12057.85+55746.6+14014.5+12112.85+45202</f>
        <v>371141.14999999997</v>
      </c>
      <c r="AM6" s="42">
        <v>0</v>
      </c>
      <c r="AN6" s="38">
        <f>950+6801.7</f>
        <v>7751.7</v>
      </c>
      <c r="AO6" s="38">
        <v>0</v>
      </c>
      <c r="AP6" s="38">
        <v>0</v>
      </c>
      <c r="AQ6" s="38">
        <v>0</v>
      </c>
      <c r="AR6" s="38">
        <v>0</v>
      </c>
      <c r="AS6" s="4">
        <f t="shared" si="4"/>
        <v>7751.7</v>
      </c>
      <c r="AT6" s="38">
        <f>600+400+75813.7+1260+73532.85+454+30.15+130.65+57862.05</f>
        <v>210083.39999999997</v>
      </c>
      <c r="AU6" s="4">
        <f t="shared" si="5"/>
        <v>1355900.9999999998</v>
      </c>
      <c r="AV6" s="38">
        <v>0</v>
      </c>
      <c r="AW6" s="38">
        <v>41093.35</v>
      </c>
      <c r="AX6" s="144">
        <f t="shared" si="6"/>
        <v>-1.382431946694851E-10</v>
      </c>
      <c r="AY6" s="42">
        <f>885.4+86.2+402.8+613.95+696.8+619.55</f>
        <v>3304.7</v>
      </c>
      <c r="AZ6" s="42">
        <f>38349.25+11440.9+47006.2+26580.65</f>
        <v>123377</v>
      </c>
      <c r="BA6" s="42">
        <v>0</v>
      </c>
      <c r="BB6" s="42">
        <v>0</v>
      </c>
      <c r="BC6" s="42">
        <v>0</v>
      </c>
      <c r="BD6" s="42">
        <v>0</v>
      </c>
      <c r="BE6" s="42">
        <v>0</v>
      </c>
      <c r="BF6" s="43">
        <f t="shared" si="7"/>
        <v>123377</v>
      </c>
      <c r="BG6" s="42">
        <v>0</v>
      </c>
      <c r="BH6" s="42">
        <v>0</v>
      </c>
      <c r="BI6" s="42">
        <v>0</v>
      </c>
      <c r="BJ6" s="42">
        <v>0</v>
      </c>
      <c r="BK6" s="42">
        <v>0</v>
      </c>
      <c r="BL6" s="42">
        <v>0</v>
      </c>
      <c r="BM6" s="42">
        <f>35000+35000+10000+30700</f>
        <v>110700</v>
      </c>
      <c r="BN6" s="42">
        <v>0</v>
      </c>
      <c r="BO6" s="43">
        <f t="shared" si="8"/>
        <v>110700</v>
      </c>
      <c r="BP6" s="42">
        <v>110700</v>
      </c>
      <c r="BQ6" s="42">
        <v>0</v>
      </c>
      <c r="BR6" s="42">
        <v>123377</v>
      </c>
      <c r="BS6" s="143">
        <f t="shared" si="9"/>
        <v>0</v>
      </c>
      <c r="BT6" s="38">
        <v>1650267.01</v>
      </c>
      <c r="BU6" s="38">
        <v>516630.65</v>
      </c>
      <c r="BV6" s="38">
        <v>13723.5</v>
      </c>
      <c r="BW6" s="38">
        <v>0</v>
      </c>
      <c r="BX6" s="4">
        <f t="shared" si="10"/>
        <v>2180621.16</v>
      </c>
      <c r="BY6" s="38">
        <v>611507.1</v>
      </c>
      <c r="BZ6" s="38">
        <v>575559.55</v>
      </c>
      <c r="CA6" s="38">
        <v>993554.51</v>
      </c>
      <c r="CB6" s="4">
        <f t="shared" si="11"/>
        <v>2180621.16</v>
      </c>
      <c r="CC6" s="144">
        <f t="shared" si="12"/>
        <v>0</v>
      </c>
      <c r="CD6" s="74">
        <f t="shared" si="13"/>
        <v>16768.700000000004</v>
      </c>
      <c r="CE6" s="76">
        <f t="shared" si="14"/>
        <v>18461.900000000005</v>
      </c>
      <c r="CF6" s="76">
        <f t="shared" si="15"/>
        <v>12677</v>
      </c>
      <c r="CG6" s="76">
        <f t="shared" si="16"/>
        <v>1138065.9</v>
      </c>
      <c r="CH6" s="76">
        <f t="shared" si="17"/>
        <v>-65762.95000000001</v>
      </c>
      <c r="CI6" s="37">
        <f t="shared" si="18"/>
        <v>-7900.900000000009</v>
      </c>
      <c r="CJ6" s="59">
        <f t="shared" si="36"/>
        <v>1.3227656385580189</v>
      </c>
      <c r="CK6" s="59">
        <f t="shared" si="37"/>
        <v>1.4563303620730461</v>
      </c>
      <c r="CL6" s="141">
        <f t="shared" si="38"/>
        <v>0.014734384010627157</v>
      </c>
      <c r="CM6" s="141">
        <f t="shared" si="39"/>
        <v>0.016222171317144294</v>
      </c>
      <c r="CN6" s="141">
        <f t="shared" si="40"/>
        <v>-0.05778483477977858</v>
      </c>
      <c r="CO6" s="141">
        <f t="shared" si="41"/>
        <v>-0.006942392351796157</v>
      </c>
      <c r="CP6" s="141">
        <f t="shared" si="42"/>
        <v>0.10071851217604678</v>
      </c>
      <c r="CQ6" s="141">
        <f t="shared" si="43"/>
        <v>0.10071851217604678</v>
      </c>
      <c r="CR6" s="142">
        <f t="shared" si="44"/>
        <v>56.26505993424294</v>
      </c>
      <c r="CS6" s="76">
        <f t="shared" si="45"/>
        <v>1038759.91</v>
      </c>
      <c r="CT6" s="80">
        <f t="shared" si="19"/>
        <v>1339132.2999999996</v>
      </c>
      <c r="CU6" s="80">
        <f t="shared" si="20"/>
        <v>1355900.9999999998</v>
      </c>
      <c r="CV6" s="80">
        <f t="shared" si="21"/>
        <v>16768.700000000186</v>
      </c>
      <c r="CW6" s="80">
        <f t="shared" si="22"/>
        <v>0</v>
      </c>
      <c r="CX6" s="80">
        <f t="shared" si="23"/>
        <v>16768.700000000186</v>
      </c>
      <c r="CY6" s="80">
        <f t="shared" si="24"/>
        <v>-41093.34999999982</v>
      </c>
      <c r="CZ6" s="80">
        <f t="shared" si="25"/>
        <v>12677</v>
      </c>
      <c r="DA6" s="80">
        <f t="shared" si="26"/>
        <v>57862.05</v>
      </c>
      <c r="DB6" s="80">
        <f t="shared" si="27"/>
        <v>4091.7000000001863</v>
      </c>
      <c r="DC6" s="80">
        <f t="shared" si="28"/>
        <v>-168562.05</v>
      </c>
      <c r="DD6" s="80">
        <f t="shared" si="29"/>
        <v>-41093.3499999998</v>
      </c>
      <c r="DE6" s="80">
        <f t="shared" si="30"/>
        <v>173141.9</v>
      </c>
      <c r="DF6" s="80">
        <f t="shared" si="31"/>
        <v>4946.475761904762</v>
      </c>
      <c r="DG6" s="80">
        <f t="shared" si="32"/>
        <v>-313.1569047619048</v>
      </c>
      <c r="DH6" s="80">
        <f t="shared" si="33"/>
        <v>824.4852380952381</v>
      </c>
      <c r="DI6" s="81">
        <f t="shared" si="34"/>
        <v>60.36666666666667</v>
      </c>
      <c r="DJ6" s="76">
        <f t="shared" si="35"/>
        <v>19.4842857142866</v>
      </c>
      <c r="DK6" s="147">
        <f t="shared" si="46"/>
        <v>476923.86</v>
      </c>
      <c r="DL6" s="67"/>
      <c r="DM6" s="68"/>
    </row>
    <row r="7" spans="1:117" ht="12.75">
      <c r="A7" s="52" t="s">
        <v>2</v>
      </c>
      <c r="B7" s="41">
        <v>745</v>
      </c>
      <c r="C7" s="4">
        <v>1623908</v>
      </c>
      <c r="D7" s="34">
        <v>2179.74</v>
      </c>
      <c r="E7" s="34">
        <v>60.99</v>
      </c>
      <c r="F7" s="8">
        <v>8</v>
      </c>
      <c r="G7" s="133">
        <v>862835.7</v>
      </c>
      <c r="H7" s="43">
        <v>1351425.25</v>
      </c>
      <c r="I7" s="43">
        <v>3648.5</v>
      </c>
      <c r="J7" s="43">
        <v>227705.85</v>
      </c>
      <c r="K7" s="43">
        <v>1969.45</v>
      </c>
      <c r="L7" s="43">
        <v>16600</v>
      </c>
      <c r="M7" s="43">
        <f t="shared" si="0"/>
        <v>18569.45</v>
      </c>
      <c r="N7" s="43">
        <v>0</v>
      </c>
      <c r="O7" s="43">
        <v>135591.45</v>
      </c>
      <c r="P7" s="43">
        <v>291038.9</v>
      </c>
      <c r="Q7" s="43"/>
      <c r="R7" s="43">
        <v>30982</v>
      </c>
      <c r="S7" s="43">
        <v>0</v>
      </c>
      <c r="T7" s="43">
        <v>0</v>
      </c>
      <c r="U7" s="43">
        <v>0</v>
      </c>
      <c r="V7" s="43">
        <v>0</v>
      </c>
      <c r="W7" s="43">
        <f t="shared" si="1"/>
        <v>30982</v>
      </c>
      <c r="X7" s="43">
        <v>285204.9</v>
      </c>
      <c r="Y7" s="43">
        <f t="shared" si="2"/>
        <v>3207002.0000000005</v>
      </c>
      <c r="Z7" s="43">
        <v>648629.1</v>
      </c>
      <c r="AA7" s="43">
        <v>60448.7</v>
      </c>
      <c r="AB7" s="43">
        <v>1261</v>
      </c>
      <c r="AC7" s="43">
        <v>0</v>
      </c>
      <c r="AD7" s="43">
        <v>0</v>
      </c>
      <c r="AE7" s="43">
        <f t="shared" si="3"/>
        <v>710338.7999999999</v>
      </c>
      <c r="AF7" s="43">
        <v>114954</v>
      </c>
      <c r="AG7" s="43">
        <v>247957.3</v>
      </c>
      <c r="AH7" s="43">
        <v>0</v>
      </c>
      <c r="AI7" s="43">
        <v>802611.3</v>
      </c>
      <c r="AJ7" s="43">
        <v>9965.15</v>
      </c>
      <c r="AK7" s="43">
        <v>29070.5</v>
      </c>
      <c r="AL7" s="43">
        <v>877693.25</v>
      </c>
      <c r="AM7" s="43">
        <v>0</v>
      </c>
      <c r="AN7" s="4">
        <v>0</v>
      </c>
      <c r="AO7" s="4">
        <v>0</v>
      </c>
      <c r="AP7" s="4">
        <v>0</v>
      </c>
      <c r="AQ7" s="4">
        <v>1000</v>
      </c>
      <c r="AR7" s="4">
        <v>150000</v>
      </c>
      <c r="AS7" s="4">
        <f t="shared" si="4"/>
        <v>151000</v>
      </c>
      <c r="AT7" s="4">
        <v>278608.7</v>
      </c>
      <c r="AU7" s="4">
        <f t="shared" si="5"/>
        <v>3222199.0000000005</v>
      </c>
      <c r="AV7" s="4">
        <v>15197</v>
      </c>
      <c r="AW7" s="4">
        <v>0</v>
      </c>
      <c r="AX7" s="152">
        <f t="shared" si="6"/>
        <v>0</v>
      </c>
      <c r="AY7" s="43">
        <v>0</v>
      </c>
      <c r="AZ7" s="43">
        <v>18569.45</v>
      </c>
      <c r="BA7" s="43">
        <v>0</v>
      </c>
      <c r="BB7" s="43">
        <v>0</v>
      </c>
      <c r="BC7" s="43">
        <v>0</v>
      </c>
      <c r="BD7" s="43">
        <v>0</v>
      </c>
      <c r="BE7" s="43">
        <v>0</v>
      </c>
      <c r="BF7" s="43">
        <f t="shared" si="7"/>
        <v>18569.45</v>
      </c>
      <c r="BG7" s="43">
        <v>0</v>
      </c>
      <c r="BH7" s="43">
        <v>0</v>
      </c>
      <c r="BI7" s="43">
        <v>0</v>
      </c>
      <c r="BJ7" s="43">
        <v>0</v>
      </c>
      <c r="BK7" s="43">
        <v>0</v>
      </c>
      <c r="BL7" s="43">
        <v>0</v>
      </c>
      <c r="BM7" s="43">
        <v>0</v>
      </c>
      <c r="BN7" s="43">
        <v>0</v>
      </c>
      <c r="BO7" s="43">
        <f t="shared" si="8"/>
        <v>0</v>
      </c>
      <c r="BP7" s="43">
        <v>0</v>
      </c>
      <c r="BQ7" s="43">
        <v>0</v>
      </c>
      <c r="BR7" s="43">
        <v>18569.45</v>
      </c>
      <c r="BS7" s="143">
        <f t="shared" si="9"/>
        <v>0</v>
      </c>
      <c r="BT7" s="4">
        <v>3336728.02</v>
      </c>
      <c r="BU7" s="4">
        <v>105495.2</v>
      </c>
      <c r="BV7" s="4">
        <v>0</v>
      </c>
      <c r="BW7" s="4">
        <v>0</v>
      </c>
      <c r="BX7" s="4">
        <f t="shared" si="10"/>
        <v>3442223.22</v>
      </c>
      <c r="BY7" s="4">
        <v>735644.05</v>
      </c>
      <c r="BZ7" s="4">
        <v>1515213.65</v>
      </c>
      <c r="CA7" s="4">
        <v>1191365.52</v>
      </c>
      <c r="CB7" s="4">
        <f t="shared" si="11"/>
        <v>3442223.22</v>
      </c>
      <c r="CC7" s="144">
        <f t="shared" si="12"/>
        <v>0</v>
      </c>
      <c r="CD7" s="74">
        <f t="shared" si="13"/>
        <v>33766.45</v>
      </c>
      <c r="CE7" s="76">
        <f t="shared" si="14"/>
        <v>-86251.55</v>
      </c>
      <c r="CF7" s="76">
        <f t="shared" si="15"/>
        <v>18569.45</v>
      </c>
      <c r="CG7" s="76">
        <f t="shared" si="16"/>
        <v>2792590.3000000003</v>
      </c>
      <c r="CH7" s="76">
        <f t="shared" si="17"/>
        <v>-244308.8</v>
      </c>
      <c r="CI7" s="37">
        <f t="shared" si="18"/>
        <v>-242339.34999999998</v>
      </c>
      <c r="CJ7" s="59">
        <f t="shared" si="36"/>
        <v>1.8183871897121344</v>
      </c>
      <c r="CK7" s="59">
        <f t="shared" si="37"/>
        <v>-4.644809081582922</v>
      </c>
      <c r="CL7" s="141">
        <f t="shared" si="38"/>
        <v>0.012091444276663137</v>
      </c>
      <c r="CM7" s="141">
        <f t="shared" si="39"/>
        <v>-0.03088585891027409</v>
      </c>
      <c r="CN7" s="141">
        <f t="shared" si="40"/>
        <v>-0.08748465537533377</v>
      </c>
      <c r="CO7" s="141">
        <f t="shared" si="41"/>
        <v>-0.0867794140801821</v>
      </c>
      <c r="CP7" s="141">
        <f t="shared" si="42"/>
        <v>0.14967559252373663</v>
      </c>
      <c r="CQ7" s="141">
        <f t="shared" si="43"/>
        <v>0.01587438484693263</v>
      </c>
      <c r="CR7" s="142">
        <f t="shared" si="44"/>
        <v>-30.156953353302054</v>
      </c>
      <c r="CS7" s="76">
        <f t="shared" si="45"/>
        <v>2601083.9699999997</v>
      </c>
      <c r="CT7" s="80">
        <f t="shared" si="19"/>
        <v>3188432.5500000003</v>
      </c>
      <c r="CU7" s="80">
        <f t="shared" si="20"/>
        <v>3072199.0000000005</v>
      </c>
      <c r="CV7" s="80">
        <f t="shared" si="21"/>
        <v>-116233.54999999981</v>
      </c>
      <c r="CW7" s="80">
        <f t="shared" si="22"/>
        <v>150000</v>
      </c>
      <c r="CX7" s="80">
        <f t="shared" si="23"/>
        <v>33766.450000000186</v>
      </c>
      <c r="CY7" s="80">
        <f t="shared" si="24"/>
        <v>15197.000000000186</v>
      </c>
      <c r="CZ7" s="80">
        <f t="shared" si="25"/>
        <v>18569.45</v>
      </c>
      <c r="DA7" s="80">
        <f t="shared" si="26"/>
        <v>18569.45</v>
      </c>
      <c r="DB7" s="80">
        <f t="shared" si="27"/>
        <v>15197.000000000186</v>
      </c>
      <c r="DC7" s="80">
        <f t="shared" si="28"/>
        <v>-18569.45</v>
      </c>
      <c r="DD7" s="80">
        <f t="shared" si="29"/>
        <v>15197.000000000186</v>
      </c>
      <c r="DE7" s="80">
        <f t="shared" si="30"/>
        <v>710338.7999999999</v>
      </c>
      <c r="DF7" s="80">
        <f t="shared" si="31"/>
        <v>3491.3878791946304</v>
      </c>
      <c r="DG7" s="80">
        <f t="shared" si="32"/>
        <v>-327.9312751677852</v>
      </c>
      <c r="DH7" s="80">
        <f t="shared" si="33"/>
        <v>953.474899328859</v>
      </c>
      <c r="DI7" s="81">
        <f t="shared" si="34"/>
        <v>24.92543624161074</v>
      </c>
      <c r="DJ7" s="76">
        <f t="shared" si="35"/>
        <v>20.398657718121054</v>
      </c>
      <c r="DK7" s="147">
        <f t="shared" si="46"/>
        <v>1085870.32</v>
      </c>
      <c r="DL7" s="64"/>
      <c r="DM7" s="65"/>
    </row>
    <row r="8" spans="1:117" ht="12.75">
      <c r="A8" s="51" t="s">
        <v>3</v>
      </c>
      <c r="B8" s="46">
        <v>644</v>
      </c>
      <c r="C8" s="38">
        <v>1755067</v>
      </c>
      <c r="D8" s="39">
        <v>2725.26</v>
      </c>
      <c r="E8" s="39">
        <v>76.25</v>
      </c>
      <c r="F8" s="128">
        <v>8</v>
      </c>
      <c r="G8" s="134">
        <v>717338</v>
      </c>
      <c r="H8" s="42">
        <v>480943.55</v>
      </c>
      <c r="I8" s="42">
        <v>9200</v>
      </c>
      <c r="J8" s="42">
        <v>0</v>
      </c>
      <c r="K8" s="42">
        <v>61427.1</v>
      </c>
      <c r="L8" s="42">
        <v>56100</v>
      </c>
      <c r="M8" s="43">
        <f t="shared" si="0"/>
        <v>117527.1</v>
      </c>
      <c r="N8" s="42">
        <v>0</v>
      </c>
      <c r="O8" s="42">
        <v>105980.85</v>
      </c>
      <c r="P8" s="42">
        <v>169371.2</v>
      </c>
      <c r="Q8" s="42">
        <v>0</v>
      </c>
      <c r="R8" s="42">
        <v>32171</v>
      </c>
      <c r="S8" s="42">
        <v>0</v>
      </c>
      <c r="T8" s="42">
        <v>0</v>
      </c>
      <c r="U8" s="42">
        <v>0</v>
      </c>
      <c r="V8" s="42">
        <v>0</v>
      </c>
      <c r="W8" s="43">
        <f t="shared" si="1"/>
        <v>32171</v>
      </c>
      <c r="X8" s="42">
        <v>634907.4</v>
      </c>
      <c r="Y8" s="43">
        <f t="shared" si="2"/>
        <v>2267439.1</v>
      </c>
      <c r="Z8" s="42">
        <v>656611.35</v>
      </c>
      <c r="AA8" s="42">
        <v>19672.7</v>
      </c>
      <c r="AB8" s="42">
        <v>13168.25</v>
      </c>
      <c r="AC8" s="42">
        <v>0</v>
      </c>
      <c r="AD8" s="42">
        <v>5500</v>
      </c>
      <c r="AE8" s="43">
        <f t="shared" si="3"/>
        <v>694952.2999999999</v>
      </c>
      <c r="AF8" s="42">
        <v>0</v>
      </c>
      <c r="AG8" s="42">
        <v>102936.25</v>
      </c>
      <c r="AH8" s="42">
        <v>0</v>
      </c>
      <c r="AI8" s="42">
        <v>506311</v>
      </c>
      <c r="AJ8" s="42">
        <v>8590.2</v>
      </c>
      <c r="AK8" s="42">
        <v>3908.5</v>
      </c>
      <c r="AL8" s="42">
        <v>418549</v>
      </c>
      <c r="AM8" s="42">
        <v>0</v>
      </c>
      <c r="AN8" s="38">
        <v>3964.75</v>
      </c>
      <c r="AO8" s="38">
        <v>0</v>
      </c>
      <c r="AP8" s="38">
        <v>0</v>
      </c>
      <c r="AQ8" s="38">
        <v>0</v>
      </c>
      <c r="AR8" s="38">
        <v>0</v>
      </c>
      <c r="AS8" s="4">
        <f t="shared" si="4"/>
        <v>3964.75</v>
      </c>
      <c r="AT8" s="38">
        <v>634907.4</v>
      </c>
      <c r="AU8" s="4">
        <f t="shared" si="5"/>
        <v>2374119.4</v>
      </c>
      <c r="AV8" s="38">
        <v>106680.3</v>
      </c>
      <c r="AW8" s="38">
        <v>0</v>
      </c>
      <c r="AX8" s="144">
        <f t="shared" si="6"/>
        <v>1.8917489796876907E-10</v>
      </c>
      <c r="AY8" s="42">
        <v>9895</v>
      </c>
      <c r="AZ8" s="42">
        <v>531476.1</v>
      </c>
      <c r="BA8" s="42">
        <v>0</v>
      </c>
      <c r="BB8" s="42">
        <v>0</v>
      </c>
      <c r="BC8" s="42">
        <v>0</v>
      </c>
      <c r="BD8" s="42">
        <v>0</v>
      </c>
      <c r="BE8" s="42">
        <v>0</v>
      </c>
      <c r="BF8" s="43">
        <f t="shared" si="7"/>
        <v>531476.1</v>
      </c>
      <c r="BG8" s="42">
        <v>0</v>
      </c>
      <c r="BH8" s="42">
        <v>12080</v>
      </c>
      <c r="BI8" s="42">
        <v>0</v>
      </c>
      <c r="BJ8" s="42">
        <v>0</v>
      </c>
      <c r="BK8" s="42">
        <v>0</v>
      </c>
      <c r="BL8" s="42">
        <v>0</v>
      </c>
      <c r="BM8" s="42">
        <v>450268</v>
      </c>
      <c r="BN8" s="42">
        <v>0</v>
      </c>
      <c r="BO8" s="43">
        <f t="shared" si="8"/>
        <v>462348</v>
      </c>
      <c r="BP8" s="42">
        <v>462348</v>
      </c>
      <c r="BQ8" s="42">
        <v>0</v>
      </c>
      <c r="BR8" s="42">
        <v>531476.1</v>
      </c>
      <c r="BS8" s="143">
        <f t="shared" si="9"/>
        <v>0</v>
      </c>
      <c r="BT8" s="38">
        <v>1268475.7</v>
      </c>
      <c r="BU8" s="38">
        <v>397410</v>
      </c>
      <c r="BV8" s="38">
        <v>7307.55</v>
      </c>
      <c r="BW8" s="38">
        <v>0</v>
      </c>
      <c r="BX8" s="4">
        <f t="shared" si="10"/>
        <v>1673193.25</v>
      </c>
      <c r="BY8" s="38">
        <v>446534.65</v>
      </c>
      <c r="BZ8" s="38">
        <v>1206684.55</v>
      </c>
      <c r="CA8" s="38">
        <v>19974.05</v>
      </c>
      <c r="CB8" s="4">
        <f t="shared" si="11"/>
        <v>1673193.2500000002</v>
      </c>
      <c r="CC8" s="144">
        <f t="shared" si="12"/>
        <v>0</v>
      </c>
      <c r="CD8" s="74">
        <f t="shared" si="13"/>
        <v>224207.40000000002</v>
      </c>
      <c r="CE8" s="76">
        <f t="shared" si="14"/>
        <v>252413.65000000002</v>
      </c>
      <c r="CF8" s="76">
        <f t="shared" si="15"/>
        <v>69128.09999999998</v>
      </c>
      <c r="CG8" s="76">
        <f t="shared" si="16"/>
        <v>1735247.25</v>
      </c>
      <c r="CH8" s="76">
        <f t="shared" si="17"/>
        <v>-83841.25</v>
      </c>
      <c r="CI8" s="37">
        <f t="shared" si="18"/>
        <v>-22414.15</v>
      </c>
      <c r="CJ8" s="59">
        <f t="shared" si="36"/>
        <v>3.243361238049362</v>
      </c>
      <c r="CK8" s="59">
        <f t="shared" si="37"/>
        <v>3.6513899557488214</v>
      </c>
      <c r="CL8" s="141">
        <f t="shared" si="38"/>
        <v>0.12920775411112165</v>
      </c>
      <c r="CM8" s="141">
        <f t="shared" si="39"/>
        <v>0.14546264228339795</v>
      </c>
      <c r="CN8" s="141">
        <f t="shared" si="40"/>
        <v>-0.04831660156787455</v>
      </c>
      <c r="CO8" s="141">
        <f t="shared" si="41"/>
        <v>-0.012916977681422633</v>
      </c>
      <c r="CP8" s="141">
        <f t="shared" si="42"/>
        <v>0.2282358369595044</v>
      </c>
      <c r="CQ8" s="141">
        <f t="shared" si="43"/>
        <v>0.11929049198436081</v>
      </c>
      <c r="CR8" s="142">
        <f t="shared" si="44"/>
        <v>3.2563256781081367</v>
      </c>
      <c r="CS8" s="76">
        <f t="shared" si="45"/>
        <v>821941.0499999999</v>
      </c>
      <c r="CT8" s="80">
        <f t="shared" si="19"/>
        <v>2149912</v>
      </c>
      <c r="CU8" s="80">
        <f t="shared" si="20"/>
        <v>2374119.4</v>
      </c>
      <c r="CV8" s="80">
        <f t="shared" si="21"/>
        <v>224207.3999999999</v>
      </c>
      <c r="CW8" s="80">
        <f t="shared" si="22"/>
        <v>0</v>
      </c>
      <c r="CX8" s="80">
        <f t="shared" si="23"/>
        <v>224207.3999999999</v>
      </c>
      <c r="CY8" s="80">
        <f t="shared" si="24"/>
        <v>106680.2999999999</v>
      </c>
      <c r="CZ8" s="80">
        <f t="shared" si="25"/>
        <v>69128.09999999998</v>
      </c>
      <c r="DA8" s="80">
        <f t="shared" si="26"/>
        <v>117527.1</v>
      </c>
      <c r="DB8" s="80">
        <f t="shared" si="27"/>
        <v>155079.29999999993</v>
      </c>
      <c r="DC8" s="80">
        <f t="shared" si="28"/>
        <v>-579875.1</v>
      </c>
      <c r="DD8" s="80">
        <f t="shared" si="29"/>
        <v>106680.29999999993</v>
      </c>
      <c r="DE8" s="80">
        <f t="shared" si="30"/>
        <v>689452.2999999999</v>
      </c>
      <c r="DF8" s="80">
        <f t="shared" si="31"/>
        <v>1276.3059782608696</v>
      </c>
      <c r="DG8" s="80">
        <f t="shared" si="32"/>
        <v>-130.18827639751552</v>
      </c>
      <c r="DH8" s="80">
        <f t="shared" si="33"/>
        <v>1070.578105590062</v>
      </c>
      <c r="DI8" s="81">
        <f t="shared" si="34"/>
        <v>107.34177018633537</v>
      </c>
      <c r="DJ8" s="76">
        <f t="shared" si="35"/>
        <v>240.8063664596272</v>
      </c>
      <c r="DK8" s="147">
        <f t="shared" si="46"/>
        <v>-377435.95</v>
      </c>
      <c r="DL8" s="67"/>
      <c r="DM8" s="68"/>
    </row>
    <row r="9" spans="1:117" ht="12.75">
      <c r="A9" s="52" t="s">
        <v>4</v>
      </c>
      <c r="B9" s="41">
        <v>2717</v>
      </c>
      <c r="C9" s="4">
        <v>10661220</v>
      </c>
      <c r="D9" s="34">
        <v>3923.89</v>
      </c>
      <c r="E9" s="34">
        <v>109.79</v>
      </c>
      <c r="F9" s="8">
        <v>3</v>
      </c>
      <c r="G9" s="133">
        <v>1889264.4</v>
      </c>
      <c r="H9" s="43">
        <v>1343566.25</v>
      </c>
      <c r="I9" s="43">
        <v>150858.6</v>
      </c>
      <c r="J9" s="43">
        <v>2136408.85</v>
      </c>
      <c r="K9" s="43">
        <v>274333.8</v>
      </c>
      <c r="L9" s="43">
        <v>0</v>
      </c>
      <c r="M9" s="43">
        <f t="shared" si="0"/>
        <v>274333.8</v>
      </c>
      <c r="N9" s="43">
        <v>0</v>
      </c>
      <c r="O9" s="43">
        <v>181472.6</v>
      </c>
      <c r="P9" s="43">
        <v>606600.1</v>
      </c>
      <c r="Q9" s="43">
        <v>0</v>
      </c>
      <c r="R9" s="43">
        <v>272821.05</v>
      </c>
      <c r="S9" s="43">
        <v>0</v>
      </c>
      <c r="T9" s="43">
        <v>89217.4</v>
      </c>
      <c r="U9" s="43">
        <v>0</v>
      </c>
      <c r="V9" s="43">
        <v>0</v>
      </c>
      <c r="W9" s="43">
        <f t="shared" si="1"/>
        <v>362038.44999999995</v>
      </c>
      <c r="X9" s="43">
        <v>1035423.2</v>
      </c>
      <c r="Y9" s="43">
        <f t="shared" si="2"/>
        <v>7979966.249999998</v>
      </c>
      <c r="Z9" s="43">
        <v>2597044.75</v>
      </c>
      <c r="AA9" s="43">
        <v>0</v>
      </c>
      <c r="AB9" s="43">
        <v>10412</v>
      </c>
      <c r="AC9" s="43">
        <v>0</v>
      </c>
      <c r="AD9" s="43">
        <v>9430</v>
      </c>
      <c r="AE9" s="43">
        <f t="shared" si="3"/>
        <v>2616886.75</v>
      </c>
      <c r="AF9" s="43">
        <v>22779.45</v>
      </c>
      <c r="AG9" s="43">
        <v>1584077.25</v>
      </c>
      <c r="AH9" s="43">
        <v>890000</v>
      </c>
      <c r="AI9" s="43">
        <v>1312337.2</v>
      </c>
      <c r="AJ9" s="43">
        <v>33093.25</v>
      </c>
      <c r="AK9" s="43">
        <v>86549.65</v>
      </c>
      <c r="AL9" s="43">
        <v>160136.5</v>
      </c>
      <c r="AM9" s="43">
        <v>0</v>
      </c>
      <c r="AN9" s="4">
        <v>0</v>
      </c>
      <c r="AO9" s="4">
        <v>50000</v>
      </c>
      <c r="AP9" s="4">
        <v>0</v>
      </c>
      <c r="AQ9" s="4">
        <v>0</v>
      </c>
      <c r="AR9" s="4">
        <v>0</v>
      </c>
      <c r="AS9" s="4">
        <f t="shared" si="4"/>
        <v>50000</v>
      </c>
      <c r="AT9" s="4">
        <v>1035423.2</v>
      </c>
      <c r="AU9" s="4">
        <f t="shared" si="5"/>
        <v>6901283.25</v>
      </c>
      <c r="AV9" s="4">
        <v>0</v>
      </c>
      <c r="AW9" s="4">
        <v>1078683</v>
      </c>
      <c r="AX9" s="144">
        <f t="shared" si="6"/>
        <v>-1.862645149230957E-09</v>
      </c>
      <c r="AY9" s="43">
        <v>467598.9</v>
      </c>
      <c r="AZ9" s="43">
        <v>745723.85</v>
      </c>
      <c r="BA9" s="43">
        <v>0</v>
      </c>
      <c r="BB9" s="43">
        <v>7829</v>
      </c>
      <c r="BC9" s="43">
        <v>0</v>
      </c>
      <c r="BD9" s="43">
        <v>0</v>
      </c>
      <c r="BE9" s="43">
        <v>43004.15</v>
      </c>
      <c r="BF9" s="43">
        <f t="shared" si="7"/>
        <v>796557</v>
      </c>
      <c r="BG9" s="43">
        <v>0</v>
      </c>
      <c r="BH9" s="43">
        <v>17804.65</v>
      </c>
      <c r="BI9" s="43">
        <v>0</v>
      </c>
      <c r="BJ9" s="43">
        <v>4467.75</v>
      </c>
      <c r="BK9" s="43">
        <v>0</v>
      </c>
      <c r="BL9" s="43">
        <v>122495.05</v>
      </c>
      <c r="BM9" s="43">
        <v>39784.55</v>
      </c>
      <c r="BN9" s="43">
        <v>0</v>
      </c>
      <c r="BO9" s="43">
        <f t="shared" si="8"/>
        <v>184552</v>
      </c>
      <c r="BP9" s="43">
        <v>54227.95</v>
      </c>
      <c r="BQ9" s="43">
        <v>0</v>
      </c>
      <c r="BR9" s="43">
        <v>666232.95</v>
      </c>
      <c r="BS9" s="143">
        <f t="shared" si="9"/>
        <v>0</v>
      </c>
      <c r="BT9" s="4">
        <v>14181887.15</v>
      </c>
      <c r="BU9" s="4">
        <v>3001938.05</v>
      </c>
      <c r="BV9" s="4">
        <v>1586544.8</v>
      </c>
      <c r="BW9" s="4">
        <v>0</v>
      </c>
      <c r="BX9" s="4">
        <f t="shared" si="10"/>
        <v>18770370</v>
      </c>
      <c r="BY9" s="4">
        <v>9423629.1</v>
      </c>
      <c r="BZ9" s="4">
        <v>3172904</v>
      </c>
      <c r="CA9" s="4">
        <v>6173836.9</v>
      </c>
      <c r="CB9" s="4">
        <f t="shared" si="11"/>
        <v>18770370</v>
      </c>
      <c r="CC9" s="144">
        <f t="shared" si="12"/>
        <v>0</v>
      </c>
      <c r="CD9" s="74">
        <f t="shared" si="13"/>
        <v>-804349.2</v>
      </c>
      <c r="CE9" s="76">
        <f t="shared" si="14"/>
        <v>-492310.75</v>
      </c>
      <c r="CF9" s="76">
        <f t="shared" si="15"/>
        <v>612005</v>
      </c>
      <c r="CG9" s="76">
        <f t="shared" si="16"/>
        <v>5815860.05</v>
      </c>
      <c r="CH9" s="76">
        <f t="shared" si="17"/>
        <v>-75619.74999999988</v>
      </c>
      <c r="CI9" s="37">
        <f t="shared" si="18"/>
        <v>198714.0500000001</v>
      </c>
      <c r="CJ9" s="59">
        <f t="shared" si="36"/>
        <v>-1.314285340806039</v>
      </c>
      <c r="CK9" s="59">
        <f t="shared" si="37"/>
        <v>-0.8044227579840034</v>
      </c>
      <c r="CL9" s="141">
        <f t="shared" si="38"/>
        <v>-0.13830270898626593</v>
      </c>
      <c r="CM9" s="141">
        <f t="shared" si="39"/>
        <v>-0.08464968994568568</v>
      </c>
      <c r="CN9" s="141">
        <f t="shared" si="40"/>
        <v>-0.013002333163089075</v>
      </c>
      <c r="CO9" s="141">
        <f t="shared" si="41"/>
        <v>0.034167612062810916</v>
      </c>
      <c r="CP9" s="141">
        <f t="shared" si="42"/>
        <v>0.08373352779013134</v>
      </c>
      <c r="CQ9" s="141">
        <f t="shared" si="43"/>
        <v>0.08373352779013134</v>
      </c>
      <c r="CR9" s="142">
        <f t="shared" si="44"/>
        <v>-9.665151634409773</v>
      </c>
      <c r="CS9" s="76">
        <f t="shared" si="45"/>
        <v>4758258.050000001</v>
      </c>
      <c r="CT9" s="80">
        <f t="shared" si="19"/>
        <v>7705632.449999998</v>
      </c>
      <c r="CU9" s="80">
        <f t="shared" si="20"/>
        <v>6901283.25</v>
      </c>
      <c r="CV9" s="80">
        <f t="shared" si="21"/>
        <v>-804349.1999999983</v>
      </c>
      <c r="CW9" s="80">
        <f t="shared" si="22"/>
        <v>0</v>
      </c>
      <c r="CX9" s="80">
        <f t="shared" si="23"/>
        <v>-804349.1999999983</v>
      </c>
      <c r="CY9" s="80">
        <f t="shared" si="24"/>
        <v>-1078682.9999999984</v>
      </c>
      <c r="CZ9" s="80">
        <f t="shared" si="25"/>
        <v>612005</v>
      </c>
      <c r="DA9" s="80">
        <f t="shared" si="26"/>
        <v>274333.8</v>
      </c>
      <c r="DB9" s="80">
        <f t="shared" si="27"/>
        <v>-1416354.1999999983</v>
      </c>
      <c r="DC9" s="80">
        <f t="shared" si="28"/>
        <v>-328561.75</v>
      </c>
      <c r="DD9" s="80">
        <f t="shared" si="29"/>
        <v>-1078682.9999999984</v>
      </c>
      <c r="DE9" s="80">
        <f t="shared" si="30"/>
        <v>2607456.75</v>
      </c>
      <c r="DF9" s="80">
        <f t="shared" si="31"/>
        <v>1751.291148325359</v>
      </c>
      <c r="DG9" s="80">
        <f t="shared" si="32"/>
        <v>-27.832075818917883</v>
      </c>
      <c r="DH9" s="80">
        <f t="shared" si="33"/>
        <v>959.6822782480677</v>
      </c>
      <c r="DI9" s="81">
        <f t="shared" si="34"/>
        <v>225.25027603974974</v>
      </c>
      <c r="DJ9" s="76">
        <f t="shared" si="35"/>
        <v>-521.293411851306</v>
      </c>
      <c r="DK9" s="147">
        <f t="shared" si="46"/>
        <v>3171898.8500000006</v>
      </c>
      <c r="DL9" s="64"/>
      <c r="DM9" s="65"/>
    </row>
    <row r="10" spans="1:117" ht="12.75">
      <c r="A10" s="51" t="s">
        <v>5</v>
      </c>
      <c r="B10" s="46">
        <v>532</v>
      </c>
      <c r="C10" s="38">
        <v>1489699</v>
      </c>
      <c r="D10" s="39">
        <v>2800.19</v>
      </c>
      <c r="E10" s="39">
        <v>78.35</v>
      </c>
      <c r="F10" s="128">
        <v>8</v>
      </c>
      <c r="G10" s="134">
        <v>435783</v>
      </c>
      <c r="H10" s="42">
        <v>275724.85</v>
      </c>
      <c r="I10" s="42">
        <v>13603.45</v>
      </c>
      <c r="J10" s="42">
        <v>4509.5</v>
      </c>
      <c r="K10" s="42">
        <v>23502</v>
      </c>
      <c r="L10" s="42">
        <v>0</v>
      </c>
      <c r="M10" s="43">
        <f t="shared" si="0"/>
        <v>23502</v>
      </c>
      <c r="N10" s="42">
        <v>0</v>
      </c>
      <c r="O10" s="42">
        <v>132110.75</v>
      </c>
      <c r="P10" s="42">
        <v>237655.05</v>
      </c>
      <c r="Q10" s="42">
        <v>10936.9</v>
      </c>
      <c r="R10" s="42">
        <v>16980.6</v>
      </c>
      <c r="S10" s="42">
        <v>59695</v>
      </c>
      <c r="T10" s="42">
        <v>100000</v>
      </c>
      <c r="U10" s="42">
        <v>0</v>
      </c>
      <c r="V10" s="42">
        <v>0</v>
      </c>
      <c r="W10" s="43">
        <f t="shared" si="1"/>
        <v>176675.6</v>
      </c>
      <c r="X10" s="42">
        <v>174258.9</v>
      </c>
      <c r="Y10" s="43">
        <f t="shared" si="2"/>
        <v>1484759.9999999998</v>
      </c>
      <c r="Z10" s="42">
        <v>488798.25</v>
      </c>
      <c r="AA10" s="42">
        <v>25658.1</v>
      </c>
      <c r="AB10" s="42">
        <v>0</v>
      </c>
      <c r="AC10" s="42">
        <v>0</v>
      </c>
      <c r="AD10" s="42">
        <v>49757.05</v>
      </c>
      <c r="AE10" s="43">
        <f t="shared" si="3"/>
        <v>564213.4</v>
      </c>
      <c r="AF10" s="42">
        <v>979.2</v>
      </c>
      <c r="AG10" s="42">
        <v>24367.05</v>
      </c>
      <c r="AH10" s="42">
        <v>0</v>
      </c>
      <c r="AI10" s="42">
        <v>557547.15</v>
      </c>
      <c r="AJ10" s="42">
        <v>6387.65</v>
      </c>
      <c r="AK10" s="42">
        <v>11102.95</v>
      </c>
      <c r="AL10" s="42">
        <v>76428.35</v>
      </c>
      <c r="AM10" s="42">
        <v>10936.9</v>
      </c>
      <c r="AN10" s="38">
        <v>33208.35</v>
      </c>
      <c r="AO10" s="38">
        <v>12777.65</v>
      </c>
      <c r="AP10" s="38">
        <v>53826.65</v>
      </c>
      <c r="AQ10" s="38">
        <v>0</v>
      </c>
      <c r="AR10" s="38">
        <v>0</v>
      </c>
      <c r="AS10" s="4">
        <f t="shared" si="4"/>
        <v>99812.65</v>
      </c>
      <c r="AT10" s="38">
        <v>174258.9</v>
      </c>
      <c r="AU10" s="4">
        <f t="shared" si="5"/>
        <v>1526034.2000000002</v>
      </c>
      <c r="AV10" s="38">
        <v>41274.2</v>
      </c>
      <c r="AW10" s="38">
        <v>0</v>
      </c>
      <c r="AX10" s="144">
        <f t="shared" si="6"/>
        <v>-4.220055416226387E-10</v>
      </c>
      <c r="AY10" s="42">
        <v>5169.85</v>
      </c>
      <c r="AZ10" s="42">
        <v>14844.7</v>
      </c>
      <c r="BA10" s="42">
        <v>0</v>
      </c>
      <c r="BB10" s="42">
        <v>0</v>
      </c>
      <c r="BC10" s="42">
        <v>0</v>
      </c>
      <c r="BD10" s="42">
        <v>32086.3</v>
      </c>
      <c r="BE10" s="42">
        <v>0</v>
      </c>
      <c r="BF10" s="43">
        <f t="shared" si="7"/>
        <v>46931</v>
      </c>
      <c r="BG10" s="42">
        <v>0</v>
      </c>
      <c r="BH10" s="42">
        <v>3820</v>
      </c>
      <c r="BI10" s="42">
        <v>0</v>
      </c>
      <c r="BJ10" s="42">
        <v>0</v>
      </c>
      <c r="BK10" s="42">
        <v>0</v>
      </c>
      <c r="BL10" s="42">
        <v>0</v>
      </c>
      <c r="BM10" s="42">
        <v>0</v>
      </c>
      <c r="BN10" s="42">
        <v>0</v>
      </c>
      <c r="BO10" s="43">
        <f t="shared" si="8"/>
        <v>3820</v>
      </c>
      <c r="BP10" s="42">
        <v>3820</v>
      </c>
      <c r="BQ10" s="42">
        <v>0</v>
      </c>
      <c r="BR10" s="42">
        <v>46931</v>
      </c>
      <c r="BS10" s="143">
        <f t="shared" si="9"/>
        <v>0</v>
      </c>
      <c r="BT10" s="38">
        <v>2435910.4</v>
      </c>
      <c r="BU10" s="38">
        <v>239959.7</v>
      </c>
      <c r="BV10" s="38">
        <v>6889.4</v>
      </c>
      <c r="BW10" s="38">
        <v>0</v>
      </c>
      <c r="BX10" s="4">
        <f t="shared" si="10"/>
        <v>2682759.5</v>
      </c>
      <c r="BY10" s="38">
        <v>444693.1</v>
      </c>
      <c r="BZ10" s="38">
        <v>1513694.5</v>
      </c>
      <c r="CA10" s="38">
        <v>724371.9</v>
      </c>
      <c r="CB10" s="4">
        <f t="shared" si="11"/>
        <v>2682759.5</v>
      </c>
      <c r="CC10" s="144">
        <f t="shared" si="12"/>
        <v>0</v>
      </c>
      <c r="CD10" s="74">
        <f t="shared" si="13"/>
        <v>64776.2</v>
      </c>
      <c r="CE10" s="76">
        <f t="shared" si="14"/>
        <v>141639.15</v>
      </c>
      <c r="CF10" s="76">
        <f t="shared" si="15"/>
        <v>43111</v>
      </c>
      <c r="CG10" s="76">
        <f t="shared" si="16"/>
        <v>1241025.7500000005</v>
      </c>
      <c r="CH10" s="76">
        <f t="shared" si="17"/>
        <v>-5593.749999999998</v>
      </c>
      <c r="CI10" s="37">
        <f t="shared" si="18"/>
        <v>17908.25</v>
      </c>
      <c r="CJ10" s="59">
        <f t="shared" si="36"/>
        <v>1.5025445941870983</v>
      </c>
      <c r="CK10" s="59">
        <f t="shared" si="37"/>
        <v>3.285452668692445</v>
      </c>
      <c r="CL10" s="141">
        <f t="shared" si="38"/>
        <v>0.05219569376380786</v>
      </c>
      <c r="CM10" s="141">
        <f t="shared" si="39"/>
        <v>0.11413071001951405</v>
      </c>
      <c r="CN10" s="141">
        <f t="shared" si="40"/>
        <v>-0.004507360141399158</v>
      </c>
      <c r="CO10" s="141">
        <f t="shared" si="41"/>
        <v>0.0144302001791663</v>
      </c>
      <c r="CP10" s="141">
        <f t="shared" si="42"/>
        <v>0.08920461683804515</v>
      </c>
      <c r="CQ10" s="141">
        <f t="shared" si="43"/>
        <v>0.08920461683804515</v>
      </c>
      <c r="CR10" s="142">
        <f t="shared" si="44"/>
        <v>14.058382163406092</v>
      </c>
      <c r="CS10" s="76">
        <f t="shared" si="45"/>
        <v>1991217.2999999998</v>
      </c>
      <c r="CT10" s="80">
        <f t="shared" si="19"/>
        <v>1461257.9999999998</v>
      </c>
      <c r="CU10" s="80">
        <f t="shared" si="20"/>
        <v>1526034.2000000002</v>
      </c>
      <c r="CV10" s="80">
        <f t="shared" si="21"/>
        <v>64776.20000000042</v>
      </c>
      <c r="CW10" s="80">
        <f t="shared" si="22"/>
        <v>0</v>
      </c>
      <c r="CX10" s="80">
        <f t="shared" si="23"/>
        <v>64776.20000000042</v>
      </c>
      <c r="CY10" s="80">
        <f t="shared" si="24"/>
        <v>41274.20000000042</v>
      </c>
      <c r="CZ10" s="80">
        <f t="shared" si="25"/>
        <v>43111</v>
      </c>
      <c r="DA10" s="80">
        <f t="shared" si="26"/>
        <v>23502</v>
      </c>
      <c r="DB10" s="80">
        <f t="shared" si="27"/>
        <v>21665.20000000042</v>
      </c>
      <c r="DC10" s="80">
        <f t="shared" si="28"/>
        <v>-27322</v>
      </c>
      <c r="DD10" s="80">
        <f t="shared" si="29"/>
        <v>41274.20000000042</v>
      </c>
      <c r="DE10" s="80">
        <f t="shared" si="30"/>
        <v>514456.35</v>
      </c>
      <c r="DF10" s="80">
        <f t="shared" si="31"/>
        <v>3742.889661654135</v>
      </c>
      <c r="DG10" s="80">
        <f t="shared" si="32"/>
        <v>-10.514567669172928</v>
      </c>
      <c r="DH10" s="80">
        <f t="shared" si="33"/>
        <v>967.0232142857143</v>
      </c>
      <c r="DI10" s="81">
        <f t="shared" si="34"/>
        <v>81.03571428571429</v>
      </c>
      <c r="DJ10" s="76">
        <f t="shared" si="35"/>
        <v>40.72406015037673</v>
      </c>
      <c r="DK10" s="147">
        <f t="shared" si="46"/>
        <v>484412.2</v>
      </c>
      <c r="DL10" s="67"/>
      <c r="DM10" s="68"/>
    </row>
    <row r="11" spans="1:117" ht="12.75">
      <c r="A11" s="52" t="s">
        <v>6</v>
      </c>
      <c r="B11" s="41">
        <v>5645</v>
      </c>
      <c r="C11" s="4">
        <v>23826845</v>
      </c>
      <c r="D11" s="34">
        <v>4220.88</v>
      </c>
      <c r="E11" s="34">
        <v>118.1</v>
      </c>
      <c r="F11" s="8">
        <v>4</v>
      </c>
      <c r="G11" s="133">
        <v>4255767.65</v>
      </c>
      <c r="H11" s="43">
        <v>2352778.29</v>
      </c>
      <c r="I11" s="43">
        <v>792903.1</v>
      </c>
      <c r="J11" s="43">
        <v>278378.75</v>
      </c>
      <c r="K11" s="43">
        <v>2018222.7</v>
      </c>
      <c r="L11" s="43">
        <v>0</v>
      </c>
      <c r="M11" s="43">
        <f t="shared" si="0"/>
        <v>2018222.7</v>
      </c>
      <c r="N11" s="43">
        <v>0</v>
      </c>
      <c r="O11" s="43">
        <v>645646.67</v>
      </c>
      <c r="P11" s="43">
        <v>1646205.75</v>
      </c>
      <c r="Q11" s="43">
        <v>60062.8</v>
      </c>
      <c r="R11" s="43">
        <v>165284.66</v>
      </c>
      <c r="S11" s="43">
        <v>0</v>
      </c>
      <c r="T11" s="43">
        <v>0</v>
      </c>
      <c r="U11" s="43">
        <v>0</v>
      </c>
      <c r="V11" s="43">
        <v>0</v>
      </c>
      <c r="W11" s="43">
        <f t="shared" si="1"/>
        <v>165284.66</v>
      </c>
      <c r="X11" s="43">
        <v>2892866.85</v>
      </c>
      <c r="Y11" s="43">
        <f t="shared" si="2"/>
        <v>15108117.220000003</v>
      </c>
      <c r="Z11" s="43">
        <v>5127058.36</v>
      </c>
      <c r="AA11" s="43">
        <v>419648.1</v>
      </c>
      <c r="AB11" s="43">
        <v>239471.75</v>
      </c>
      <c r="AC11" s="43">
        <v>0</v>
      </c>
      <c r="AD11" s="43">
        <v>24133</v>
      </c>
      <c r="AE11" s="43">
        <f t="shared" si="3"/>
        <v>5810311.21</v>
      </c>
      <c r="AF11" s="43">
        <v>30105</v>
      </c>
      <c r="AG11" s="43">
        <v>750264.15</v>
      </c>
      <c r="AH11" s="43">
        <v>0</v>
      </c>
      <c r="AI11" s="43">
        <v>3565152.53</v>
      </c>
      <c r="AJ11" s="43">
        <v>72754.85</v>
      </c>
      <c r="AK11" s="43">
        <v>406531.18</v>
      </c>
      <c r="AL11" s="43">
        <v>616493.85</v>
      </c>
      <c r="AM11" s="43">
        <v>0</v>
      </c>
      <c r="AN11" s="4">
        <v>37541.79</v>
      </c>
      <c r="AO11" s="4">
        <v>0</v>
      </c>
      <c r="AP11" s="4">
        <v>0</v>
      </c>
      <c r="AQ11" s="4">
        <v>0</v>
      </c>
      <c r="AR11" s="4">
        <v>339000</v>
      </c>
      <c r="AS11" s="4">
        <f t="shared" si="4"/>
        <v>376541.79</v>
      </c>
      <c r="AT11" s="4">
        <v>2892866.85</v>
      </c>
      <c r="AU11" s="4">
        <f t="shared" si="5"/>
        <v>14521021.41</v>
      </c>
      <c r="AV11" s="4">
        <v>0</v>
      </c>
      <c r="AW11" s="4">
        <v>587095.81</v>
      </c>
      <c r="AX11" s="144">
        <f t="shared" si="6"/>
        <v>2.3283064365386963E-09</v>
      </c>
      <c r="AY11" s="43">
        <v>364131.7</v>
      </c>
      <c r="AZ11" s="43">
        <v>6887870.96</v>
      </c>
      <c r="BA11" s="43">
        <v>0</v>
      </c>
      <c r="BB11" s="43">
        <v>0</v>
      </c>
      <c r="BC11" s="43">
        <v>0</v>
      </c>
      <c r="BD11" s="43">
        <v>0</v>
      </c>
      <c r="BE11" s="43">
        <v>82399.61</v>
      </c>
      <c r="BF11" s="43">
        <f t="shared" si="7"/>
        <v>6970270.57</v>
      </c>
      <c r="BG11" s="43">
        <v>0</v>
      </c>
      <c r="BH11" s="43">
        <v>0</v>
      </c>
      <c r="BI11" s="43">
        <v>0</v>
      </c>
      <c r="BJ11" s="43">
        <v>0</v>
      </c>
      <c r="BK11" s="43">
        <v>0</v>
      </c>
      <c r="BL11" s="43">
        <v>0</v>
      </c>
      <c r="BM11" s="43">
        <v>2654850.1</v>
      </c>
      <c r="BN11" s="43">
        <v>0</v>
      </c>
      <c r="BO11" s="43">
        <f t="shared" si="8"/>
        <v>2654850.1</v>
      </c>
      <c r="BP11" s="43">
        <v>2654850.1</v>
      </c>
      <c r="BQ11" s="43">
        <v>0</v>
      </c>
      <c r="BR11" s="43">
        <v>6970270.57</v>
      </c>
      <c r="BS11" s="143">
        <f t="shared" si="9"/>
        <v>0</v>
      </c>
      <c r="BT11" s="4">
        <v>12127938.32</v>
      </c>
      <c r="BU11" s="4">
        <v>32639716.52</v>
      </c>
      <c r="BV11" s="4">
        <v>37541.79</v>
      </c>
      <c r="BW11" s="4">
        <v>0</v>
      </c>
      <c r="BX11" s="4">
        <f t="shared" si="10"/>
        <v>44805196.63</v>
      </c>
      <c r="BY11" s="4">
        <v>39034875.99</v>
      </c>
      <c r="BZ11" s="4">
        <v>1731004.51</v>
      </c>
      <c r="CA11" s="4">
        <v>4039316.13</v>
      </c>
      <c r="CB11" s="4">
        <f t="shared" si="11"/>
        <v>44805196.63</v>
      </c>
      <c r="CC11" s="144">
        <f t="shared" si="12"/>
        <v>0</v>
      </c>
      <c r="CD11" s="74">
        <f t="shared" si="13"/>
        <v>1431126.89</v>
      </c>
      <c r="CE11" s="76">
        <f t="shared" si="14"/>
        <v>1219869.7599999998</v>
      </c>
      <c r="CF11" s="76">
        <f t="shared" si="15"/>
        <v>4315420.470000001</v>
      </c>
      <c r="CG11" s="76">
        <f t="shared" si="16"/>
        <v>11251612.770000001</v>
      </c>
      <c r="CH11" s="76">
        <f t="shared" si="17"/>
        <v>406770.64999999997</v>
      </c>
      <c r="CI11" s="37">
        <f t="shared" si="18"/>
        <v>2424993.35</v>
      </c>
      <c r="CJ11" s="59">
        <f t="shared" si="36"/>
        <v>0.33163092680051165</v>
      </c>
      <c r="CK11" s="59">
        <f t="shared" si="37"/>
        <v>0.2826769183861242</v>
      </c>
      <c r="CL11" s="141">
        <f t="shared" si="38"/>
        <v>0.1271930450553534</v>
      </c>
      <c r="CM11" s="141">
        <f t="shared" si="39"/>
        <v>0.10841732513693676</v>
      </c>
      <c r="CN11" s="141">
        <f t="shared" si="40"/>
        <v>0.03615220842691691</v>
      </c>
      <c r="CO11" s="141">
        <f t="shared" si="41"/>
        <v>0.21552406748886008</v>
      </c>
      <c r="CP11" s="141">
        <f t="shared" si="42"/>
        <v>0.05823262275315399</v>
      </c>
      <c r="CQ11" s="141">
        <f t="shared" si="43"/>
        <v>0.05823262275315399</v>
      </c>
      <c r="CR11" s="142">
        <f t="shared" si="44"/>
        <v>-22.057221641431628</v>
      </c>
      <c r="CS11" s="76">
        <f t="shared" si="45"/>
        <v>-26906937.67</v>
      </c>
      <c r="CT11" s="80">
        <f t="shared" si="19"/>
        <v>13089894.520000003</v>
      </c>
      <c r="CU11" s="80">
        <f t="shared" si="20"/>
        <v>14182021.41</v>
      </c>
      <c r="CV11" s="80">
        <f t="shared" si="21"/>
        <v>1092126.8899999969</v>
      </c>
      <c r="CW11" s="80">
        <f t="shared" si="22"/>
        <v>339000</v>
      </c>
      <c r="CX11" s="80">
        <f t="shared" si="23"/>
        <v>1431126.8899999969</v>
      </c>
      <c r="CY11" s="80">
        <f t="shared" si="24"/>
        <v>-587095.8100000031</v>
      </c>
      <c r="CZ11" s="80">
        <f t="shared" si="25"/>
        <v>4315420.470000001</v>
      </c>
      <c r="DA11" s="80">
        <f t="shared" si="26"/>
        <v>2018222.7</v>
      </c>
      <c r="DB11" s="80">
        <f t="shared" si="27"/>
        <v>-2884293.580000004</v>
      </c>
      <c r="DC11" s="80">
        <f t="shared" si="28"/>
        <v>-4673072.8</v>
      </c>
      <c r="DD11" s="80">
        <f t="shared" si="29"/>
        <v>-587095.8100000033</v>
      </c>
      <c r="DE11" s="80">
        <f t="shared" si="30"/>
        <v>5786178.21</v>
      </c>
      <c r="DF11" s="80">
        <f t="shared" si="31"/>
        <v>-4766.50800177148</v>
      </c>
      <c r="DG11" s="80">
        <f t="shared" si="32"/>
        <v>72.05857395925597</v>
      </c>
      <c r="DH11" s="80">
        <f t="shared" si="33"/>
        <v>1025.009426040744</v>
      </c>
      <c r="DI11" s="81">
        <f t="shared" si="34"/>
        <v>764.4677537643934</v>
      </c>
      <c r="DJ11" s="76">
        <f t="shared" si="35"/>
        <v>-510.9466040744028</v>
      </c>
      <c r="DK11" s="147">
        <f t="shared" si="46"/>
        <v>-28600400.39</v>
      </c>
      <c r="DL11" s="64"/>
      <c r="DM11" s="65"/>
    </row>
    <row r="12" spans="1:117" ht="12.75">
      <c r="A12" s="51" t="s">
        <v>7</v>
      </c>
      <c r="B12" s="46">
        <v>627</v>
      </c>
      <c r="C12" s="38">
        <v>1753323</v>
      </c>
      <c r="D12" s="39">
        <v>2796.37</v>
      </c>
      <c r="E12" s="39">
        <v>78.24</v>
      </c>
      <c r="F12" s="128">
        <v>8</v>
      </c>
      <c r="G12" s="134">
        <v>427615.85</v>
      </c>
      <c r="H12" s="42">
        <v>310478.95</v>
      </c>
      <c r="I12" s="42">
        <v>12483.9</v>
      </c>
      <c r="J12" s="42">
        <v>0</v>
      </c>
      <c r="K12" s="42">
        <v>83200</v>
      </c>
      <c r="L12" s="42">
        <v>49202.85</v>
      </c>
      <c r="M12" s="43">
        <f t="shared" si="0"/>
        <v>132402.85</v>
      </c>
      <c r="N12" s="42">
        <v>0</v>
      </c>
      <c r="O12" s="42">
        <v>123193.3</v>
      </c>
      <c r="P12" s="42">
        <v>209173.9</v>
      </c>
      <c r="Q12" s="42">
        <v>0</v>
      </c>
      <c r="R12" s="42">
        <v>8344.7</v>
      </c>
      <c r="S12" s="42">
        <v>0</v>
      </c>
      <c r="T12" s="42">
        <v>0</v>
      </c>
      <c r="U12" s="42">
        <v>0</v>
      </c>
      <c r="V12" s="42">
        <v>0</v>
      </c>
      <c r="W12" s="43">
        <f t="shared" si="1"/>
        <v>8344.7</v>
      </c>
      <c r="X12" s="42">
        <v>231519.25</v>
      </c>
      <c r="Y12" s="43">
        <f t="shared" si="2"/>
        <v>1455212.6999999997</v>
      </c>
      <c r="Z12" s="42">
        <v>123522.35</v>
      </c>
      <c r="AA12" s="42">
        <v>0</v>
      </c>
      <c r="AB12" s="42">
        <v>0</v>
      </c>
      <c r="AC12" s="42">
        <v>0</v>
      </c>
      <c r="AD12" s="42">
        <v>3960</v>
      </c>
      <c r="AE12" s="43">
        <f t="shared" si="3"/>
        <v>127482.35</v>
      </c>
      <c r="AF12" s="42">
        <v>0</v>
      </c>
      <c r="AG12" s="42">
        <v>74681.05</v>
      </c>
      <c r="AH12" s="42">
        <v>0</v>
      </c>
      <c r="AI12" s="42">
        <v>371268.45</v>
      </c>
      <c r="AJ12" s="42">
        <v>530236.15</v>
      </c>
      <c r="AK12" s="42">
        <v>2515</v>
      </c>
      <c r="AL12" s="42">
        <v>120289.95</v>
      </c>
      <c r="AM12" s="42">
        <v>0</v>
      </c>
      <c r="AN12" s="38">
        <v>20512.7</v>
      </c>
      <c r="AO12" s="38">
        <v>11000</v>
      </c>
      <c r="AP12" s="38">
        <v>0</v>
      </c>
      <c r="AQ12" s="38">
        <v>0</v>
      </c>
      <c r="AR12" s="38">
        <v>0</v>
      </c>
      <c r="AS12" s="4">
        <f t="shared" si="4"/>
        <v>31512.7</v>
      </c>
      <c r="AT12" s="38">
        <v>236013.45</v>
      </c>
      <c r="AU12" s="4">
        <f t="shared" si="5"/>
        <v>1493999.0999999999</v>
      </c>
      <c r="AV12" s="38">
        <v>38786.4</v>
      </c>
      <c r="AW12" s="38">
        <v>0</v>
      </c>
      <c r="AX12" s="144">
        <f t="shared" si="6"/>
        <v>-1.382431946694851E-10</v>
      </c>
      <c r="AY12" s="42">
        <v>0</v>
      </c>
      <c r="AZ12" s="42">
        <v>573347.6</v>
      </c>
      <c r="BA12" s="42">
        <v>0</v>
      </c>
      <c r="BB12" s="42">
        <v>0</v>
      </c>
      <c r="BC12" s="42">
        <v>0</v>
      </c>
      <c r="BD12" s="42">
        <v>0</v>
      </c>
      <c r="BE12" s="42">
        <v>0</v>
      </c>
      <c r="BF12" s="43">
        <f t="shared" si="7"/>
        <v>573347.6</v>
      </c>
      <c r="BG12" s="42">
        <v>0</v>
      </c>
      <c r="BH12" s="42">
        <v>0</v>
      </c>
      <c r="BI12" s="42">
        <v>0</v>
      </c>
      <c r="BJ12" s="42">
        <v>0</v>
      </c>
      <c r="BK12" s="42">
        <v>0</v>
      </c>
      <c r="BL12" s="42">
        <v>0</v>
      </c>
      <c r="BM12" s="42">
        <v>201643.8</v>
      </c>
      <c r="BN12" s="42">
        <v>0</v>
      </c>
      <c r="BO12" s="43">
        <f t="shared" si="8"/>
        <v>201643.8</v>
      </c>
      <c r="BP12" s="42">
        <v>201643.8</v>
      </c>
      <c r="BQ12" s="42">
        <v>0</v>
      </c>
      <c r="BR12" s="42">
        <v>573347.6</v>
      </c>
      <c r="BS12" s="143">
        <f t="shared" si="9"/>
        <v>0</v>
      </c>
      <c r="BT12" s="38">
        <v>2157544.67</v>
      </c>
      <c r="BU12" s="38">
        <v>983539.25</v>
      </c>
      <c r="BV12" s="38">
        <v>1610.75</v>
      </c>
      <c r="BW12" s="38">
        <v>0</v>
      </c>
      <c r="BX12" s="4">
        <f t="shared" si="10"/>
        <v>3142694.67</v>
      </c>
      <c r="BY12" s="38">
        <v>2861766.85</v>
      </c>
      <c r="BZ12" s="38">
        <v>233339.9</v>
      </c>
      <c r="CA12" s="38">
        <v>47587.92</v>
      </c>
      <c r="CB12" s="4">
        <f t="shared" si="11"/>
        <v>3142694.67</v>
      </c>
      <c r="CC12" s="144">
        <f t="shared" si="12"/>
        <v>0</v>
      </c>
      <c r="CD12" s="74">
        <f t="shared" si="13"/>
        <v>171189.25</v>
      </c>
      <c r="CE12" s="76">
        <f t="shared" si="14"/>
        <v>148021.25</v>
      </c>
      <c r="CF12" s="76">
        <f t="shared" si="15"/>
        <v>371703.8</v>
      </c>
      <c r="CG12" s="76">
        <f t="shared" si="16"/>
        <v>1226472.95</v>
      </c>
      <c r="CH12" s="76">
        <f t="shared" si="17"/>
        <v>-62197.15</v>
      </c>
      <c r="CI12" s="37">
        <f t="shared" si="18"/>
        <v>21002.85</v>
      </c>
      <c r="CJ12" s="59">
        <f t="shared" si="36"/>
        <v>0.4605528649424623</v>
      </c>
      <c r="CK12" s="59">
        <f t="shared" si="37"/>
        <v>0.3982236662632989</v>
      </c>
      <c r="CL12" s="141">
        <f t="shared" si="38"/>
        <v>0.13957849620735624</v>
      </c>
      <c r="CM12" s="141">
        <f t="shared" si="39"/>
        <v>0.12068855656376279</v>
      </c>
      <c r="CN12" s="141">
        <f t="shared" si="40"/>
        <v>-0.05071220690191333</v>
      </c>
      <c r="CO12" s="141">
        <f t="shared" si="41"/>
        <v>0.017124592923146</v>
      </c>
      <c r="CP12" s="141">
        <f t="shared" si="42"/>
        <v>0.11864670219001505</v>
      </c>
      <c r="CQ12" s="141">
        <f t="shared" si="43"/>
        <v>0.07455583941138164</v>
      </c>
      <c r="CR12" s="142">
        <f t="shared" si="44"/>
        <v>-4.757574875229064</v>
      </c>
      <c r="CS12" s="76">
        <f t="shared" si="45"/>
        <v>-704222.1800000002</v>
      </c>
      <c r="CT12" s="80">
        <f t="shared" si="19"/>
        <v>1322809.8499999996</v>
      </c>
      <c r="CU12" s="80">
        <f t="shared" si="20"/>
        <v>1493999.0999999999</v>
      </c>
      <c r="CV12" s="80">
        <f t="shared" si="21"/>
        <v>171189.25000000023</v>
      </c>
      <c r="CW12" s="80">
        <f t="shared" si="22"/>
        <v>0</v>
      </c>
      <c r="CX12" s="80">
        <f t="shared" si="23"/>
        <v>171189.25000000023</v>
      </c>
      <c r="CY12" s="80">
        <f t="shared" si="24"/>
        <v>38786.400000000234</v>
      </c>
      <c r="CZ12" s="80">
        <f t="shared" si="25"/>
        <v>371703.8</v>
      </c>
      <c r="DA12" s="80">
        <f t="shared" si="26"/>
        <v>132402.85</v>
      </c>
      <c r="DB12" s="80">
        <f t="shared" si="27"/>
        <v>-200514.54999999976</v>
      </c>
      <c r="DC12" s="80">
        <f t="shared" si="28"/>
        <v>-334046.65</v>
      </c>
      <c r="DD12" s="80">
        <f t="shared" si="29"/>
        <v>38786.400000000256</v>
      </c>
      <c r="DE12" s="80">
        <f t="shared" si="30"/>
        <v>123522.35</v>
      </c>
      <c r="DF12" s="80">
        <f t="shared" si="31"/>
        <v>-1123.1613716108457</v>
      </c>
      <c r="DG12" s="80">
        <f t="shared" si="32"/>
        <v>-99.19800637958532</v>
      </c>
      <c r="DH12" s="80">
        <f t="shared" si="33"/>
        <v>197.00534290271133</v>
      </c>
      <c r="DI12" s="81">
        <f t="shared" si="34"/>
        <v>592.8290271132377</v>
      </c>
      <c r="DJ12" s="76">
        <f t="shared" si="35"/>
        <v>-319.799920255183</v>
      </c>
      <c r="DK12" s="147">
        <f t="shared" si="46"/>
        <v>-935951.33</v>
      </c>
      <c r="DL12" s="67"/>
      <c r="DM12" s="68"/>
    </row>
    <row r="13" spans="1:117" ht="12.75">
      <c r="A13" s="52" t="s">
        <v>8</v>
      </c>
      <c r="B13" s="41">
        <v>345</v>
      </c>
      <c r="C13" s="4">
        <v>839918</v>
      </c>
      <c r="D13" s="34">
        <v>2434.55</v>
      </c>
      <c r="E13" s="34">
        <v>68.12</v>
      </c>
      <c r="F13" s="8">
        <v>8</v>
      </c>
      <c r="G13" s="133">
        <f>2150+32384.65+77246.5+3197.1+10596.9+81333.2+9195.25+200</f>
        <v>216303.59999999998</v>
      </c>
      <c r="H13" s="43">
        <f>3263.8+4527.9+2382.1+1556.85+100+3102.3+12309.85+400+2473.6+5181.4+1103.8+2727.9+459.25+1456.2+1756.85+617.4+2024.9+2518.1+625.35+57.6+2266.6+1495.7+147.02+2889+125+966.4+6182.45+63.5+3500.45+142.2+2359.55+1615.45+1592.4+3038.95+1950+1215.5+2057.75+1024.45+242.1+839.1+599.3+100+4567.4+1980+470.7+885.35+1236.4+667.65+4876.9+277.55+2246.45+275+335+107+627+46216.05+1383.85+1469.45+185.2+2038.1+304.5</f>
        <v>153207.57</v>
      </c>
      <c r="I13" s="43">
        <f>4008.8+7768.75</f>
        <v>11777.55</v>
      </c>
      <c r="J13" s="43">
        <f>41519.7</f>
        <v>41519.7</v>
      </c>
      <c r="K13" s="43">
        <v>8500</v>
      </c>
      <c r="L13" s="43">
        <v>0</v>
      </c>
      <c r="M13" s="43">
        <f t="shared" si="0"/>
        <v>8500</v>
      </c>
      <c r="N13" s="43">
        <v>0</v>
      </c>
      <c r="O13" s="43">
        <f>12000+300+7500+198+9000+26232.75+218.25+9263.55+749.5</f>
        <v>65462.05</v>
      </c>
      <c r="P13" s="43">
        <f>902.55+638+66114+2063+226+5303.25+38494.35+14141.5-474.5+6315+900+12000+73+500+13495+41.8+2529+1577.15+1038.5</f>
        <v>165877.59999999998</v>
      </c>
      <c r="Q13" s="43">
        <v>0</v>
      </c>
      <c r="R13" s="43">
        <f>10000</f>
        <v>10000</v>
      </c>
      <c r="S13" s="43">
        <v>0</v>
      </c>
      <c r="T13" s="43">
        <v>0</v>
      </c>
      <c r="U13" s="43">
        <v>0</v>
      </c>
      <c r="V13" s="43">
        <v>0</v>
      </c>
      <c r="W13" s="43">
        <f t="shared" si="1"/>
        <v>10000</v>
      </c>
      <c r="X13" s="43">
        <f>957.09+2159.59+17835.13+848.38+3224.03+170.41+13816.46+940.61+5000+8500+3901.98+265.65+8854.67+613.15+122.7+8.35+2625.86+178.77+2552.24+173.75+9805.51+626.53+12533.01+763.56</f>
        <v>96477.43</v>
      </c>
      <c r="Y13" s="143">
        <f t="shared" si="2"/>
        <v>769125.5</v>
      </c>
      <c r="Z13" s="43">
        <f>36478.35</f>
        <v>36478.35</v>
      </c>
      <c r="AA13" s="43">
        <v>26342.55</v>
      </c>
      <c r="AB13" s="43">
        <f>2134.5</f>
        <v>2134.5</v>
      </c>
      <c r="AC13" s="43">
        <v>0</v>
      </c>
      <c r="AD13" s="43">
        <f>2508.5+5189.5</f>
        <v>7698</v>
      </c>
      <c r="AE13" s="43">
        <f t="shared" si="3"/>
        <v>72653.4</v>
      </c>
      <c r="AF13" s="43">
        <v>0</v>
      </c>
      <c r="AG13" s="43">
        <f>7800+8730+3439.2+164.4+5071.9+5000+18840</f>
        <v>49045.5</v>
      </c>
      <c r="AH13" s="43">
        <f>18840</f>
        <v>18840</v>
      </c>
      <c r="AI13" s="43">
        <f>2400+4885+464.45+995.35+410.7+21722.95+4300+40598.8+9724.25+5129.05+20996.7+500</f>
        <v>112127.25</v>
      </c>
      <c r="AJ13" s="43">
        <f>229458.35+4000+21986.6</f>
        <v>255444.95</v>
      </c>
      <c r="AK13" s="43">
        <f>900+1450</f>
        <v>2350</v>
      </c>
      <c r="AL13" s="43">
        <f>3097.54+12000+8256.65+8762</f>
        <v>32116.190000000002</v>
      </c>
      <c r="AM13" s="43">
        <v>0</v>
      </c>
      <c r="AN13" s="4">
        <f>5000+2000+916.4+6531.1</f>
        <v>14447.5</v>
      </c>
      <c r="AO13" s="4">
        <v>0</v>
      </c>
      <c r="AP13" s="4">
        <v>0</v>
      </c>
      <c r="AQ13" s="4">
        <v>0</v>
      </c>
      <c r="AR13" s="4">
        <v>0</v>
      </c>
      <c r="AS13" s="4">
        <f t="shared" si="4"/>
        <v>14447.5</v>
      </c>
      <c r="AT13" s="4">
        <f>82083.22+4832.9+8500</f>
        <v>95416.12</v>
      </c>
      <c r="AU13" s="4">
        <f t="shared" si="5"/>
        <v>633600.9099999999</v>
      </c>
      <c r="AV13" s="4">
        <v>0</v>
      </c>
      <c r="AW13" s="4">
        <f>135524.59</f>
        <v>135524.59</v>
      </c>
      <c r="AX13" s="144">
        <f t="shared" si="6"/>
        <v>0</v>
      </c>
      <c r="AY13" s="43">
        <v>0</v>
      </c>
      <c r="AZ13" s="43">
        <f>699+614.9+500+318001</f>
        <v>319814.9</v>
      </c>
      <c r="BA13" s="43">
        <v>0</v>
      </c>
      <c r="BB13" s="43">
        <v>0</v>
      </c>
      <c r="BC13" s="43">
        <v>0</v>
      </c>
      <c r="BD13" s="43">
        <v>0</v>
      </c>
      <c r="BE13" s="43">
        <f>47661.75</f>
        <v>47661.75</v>
      </c>
      <c r="BF13" s="43">
        <f t="shared" si="7"/>
        <v>367476.65</v>
      </c>
      <c r="BG13" s="43">
        <v>0</v>
      </c>
      <c r="BH13" s="43">
        <v>0</v>
      </c>
      <c r="BI13" s="43">
        <v>0</v>
      </c>
      <c r="BJ13" s="43">
        <f>354000</f>
        <v>354000</v>
      </c>
      <c r="BK13" s="43">
        <v>0</v>
      </c>
      <c r="BL13" s="43">
        <f>47661.75</f>
        <v>47661.75</v>
      </c>
      <c r="BM13" s="43">
        <v>0</v>
      </c>
      <c r="BN13" s="43">
        <v>0</v>
      </c>
      <c r="BO13" s="43">
        <f t="shared" si="8"/>
        <v>401661.75</v>
      </c>
      <c r="BP13" s="43">
        <f>401661.75</f>
        <v>401661.75</v>
      </c>
      <c r="BQ13" s="43">
        <v>0</v>
      </c>
      <c r="BR13" s="43">
        <v>367476.65</v>
      </c>
      <c r="BS13" s="143">
        <f t="shared" si="9"/>
        <v>0</v>
      </c>
      <c r="BT13" s="4">
        <v>1326075.84</v>
      </c>
      <c r="BU13" s="4">
        <v>77008</v>
      </c>
      <c r="BV13" s="4">
        <v>0</v>
      </c>
      <c r="BW13" s="4">
        <v>0</v>
      </c>
      <c r="BX13" s="4">
        <f t="shared" si="10"/>
        <v>1403083.84</v>
      </c>
      <c r="BY13" s="4">
        <v>581432.12</v>
      </c>
      <c r="BZ13" s="4">
        <v>486833.76</v>
      </c>
      <c r="CA13" s="4">
        <f>472156.45-137338.49</f>
        <v>334817.96</v>
      </c>
      <c r="CB13" s="4">
        <f t="shared" si="11"/>
        <v>1403083.8399999999</v>
      </c>
      <c r="CC13" s="144">
        <f t="shared" si="12"/>
        <v>0</v>
      </c>
      <c r="CD13" s="74">
        <f t="shared" si="13"/>
        <v>-127024.59</v>
      </c>
      <c r="CE13" s="76">
        <f t="shared" si="14"/>
        <v>-131472.09</v>
      </c>
      <c r="CF13" s="76">
        <f t="shared" si="15"/>
        <v>-34185.09999999998</v>
      </c>
      <c r="CG13" s="76">
        <f t="shared" si="16"/>
        <v>523737.2899999999</v>
      </c>
      <c r="CH13" s="76">
        <f t="shared" si="17"/>
        <v>-18427.949999999997</v>
      </c>
      <c r="CI13" s="37">
        <f t="shared" si="18"/>
        <v>-9927.949999999997</v>
      </c>
      <c r="CJ13" s="59">
        <f t="shared" si="36"/>
        <v>3.7157881650192652</v>
      </c>
      <c r="CK13" s="59">
        <f t="shared" si="37"/>
        <v>3.845888705898186</v>
      </c>
      <c r="CL13" s="141">
        <f t="shared" si="38"/>
        <v>-0.2425349357881315</v>
      </c>
      <c r="CM13" s="141">
        <f t="shared" si="39"/>
        <v>-0.25102678864054156</v>
      </c>
      <c r="CN13" s="141">
        <f t="shared" si="40"/>
        <v>-0.03518548392840235</v>
      </c>
      <c r="CO13" s="141">
        <f t="shared" si="41"/>
        <v>-0.018955973136837362</v>
      </c>
      <c r="CP13" s="141">
        <f t="shared" si="42"/>
        <v>0.09940590354118913</v>
      </c>
      <c r="CQ13" s="141">
        <f t="shared" si="43"/>
        <v>0.09940590354118913</v>
      </c>
      <c r="CR13" s="142">
        <f t="shared" si="44"/>
        <v>-5.663892009323044</v>
      </c>
      <c r="CS13" s="76">
        <f t="shared" si="45"/>
        <v>744643.7200000001</v>
      </c>
      <c r="CT13" s="80">
        <f t="shared" si="19"/>
        <v>760625.5</v>
      </c>
      <c r="CU13" s="80">
        <f t="shared" si="20"/>
        <v>633600.9099999999</v>
      </c>
      <c r="CV13" s="80">
        <f t="shared" si="21"/>
        <v>-127024.59000000008</v>
      </c>
      <c r="CW13" s="80">
        <f t="shared" si="22"/>
        <v>0</v>
      </c>
      <c r="CX13" s="80">
        <f t="shared" si="23"/>
        <v>-127024.59000000008</v>
      </c>
      <c r="CY13" s="80">
        <f t="shared" si="24"/>
        <v>-135524.59000000008</v>
      </c>
      <c r="CZ13" s="80">
        <f t="shared" si="25"/>
        <v>-34185.09999999998</v>
      </c>
      <c r="DA13" s="80">
        <f t="shared" si="26"/>
        <v>8500</v>
      </c>
      <c r="DB13" s="80">
        <f t="shared" si="27"/>
        <v>-92839.4900000001</v>
      </c>
      <c r="DC13" s="80">
        <f t="shared" si="28"/>
        <v>-410161.75</v>
      </c>
      <c r="DD13" s="80">
        <f t="shared" si="29"/>
        <v>-135524.59000000008</v>
      </c>
      <c r="DE13" s="80">
        <f t="shared" si="30"/>
        <v>64955.399999999994</v>
      </c>
      <c r="DF13" s="80">
        <f t="shared" si="31"/>
        <v>2158.387594202899</v>
      </c>
      <c r="DG13" s="80">
        <f t="shared" si="32"/>
        <v>-53.414347826086946</v>
      </c>
      <c r="DH13" s="80">
        <f t="shared" si="33"/>
        <v>188.27652173913043</v>
      </c>
      <c r="DI13" s="81">
        <f t="shared" si="34"/>
        <v>-99.08724637681152</v>
      </c>
      <c r="DJ13" s="76">
        <f t="shared" si="35"/>
        <v>-269.09997101449306</v>
      </c>
      <c r="DK13" s="147">
        <f t="shared" si="46"/>
        <v>257809.96000000002</v>
      </c>
      <c r="DL13" s="64"/>
      <c r="DM13" s="65"/>
    </row>
    <row r="14" spans="1:117" ht="12.75">
      <c r="A14" s="51" t="s">
        <v>33</v>
      </c>
      <c r="B14" s="46">
        <v>181</v>
      </c>
      <c r="C14" s="38">
        <v>480365</v>
      </c>
      <c r="D14" s="39">
        <v>2653.95</v>
      </c>
      <c r="E14" s="39">
        <v>74.26</v>
      </c>
      <c r="F14" s="128">
        <v>6</v>
      </c>
      <c r="G14" s="134">
        <f>1180+1290+812+120.75-51.15+33.85+5880+7232+1074.55-455.6+22.3+770+21192+2943.9-1248.85+180.2+585+155+1112.45+165.65-70.05+46.4+480+2946+399.8-169.6+8.3+40+3395+1322.5+1317.7+413.5+240+1924.65+285.55-121.25+80.3+80+81.9+12.25-5.15+3.4+2010+298.65-126.6+6.2+2395.55+4569.5+1034.6-438.8+290.5+435+3633.4+501.8-212.9+140.9+420+80+812.25+120.75-51.25+33.9+520+2416.05+359-152.3+100.8+140+40+221+200+1569.75+232.5-98.9+65.5+40+2492+370.45-156.95+103.95+1610.75+239.05-101.35+67.2</f>
        <v>81937.2</v>
      </c>
      <c r="H14" s="42">
        <f>645.6+91.9+872+79.85+1415.8+1315.3+1022.95+703.2+259.05+670.4+499.1+346.4+557.25+230+1226.65+461.15+1324+1408.95+5742.45+2040+81.3+1086.65+381.3+472.4+269.1+45.5+588+154.4+216.8+549.6+45.1+184+200+110+17.5+20+1022+10000+522+14678.35+1694.7+115+1060.75+858.4+6688.75+411.9+2586.5+200+135+2080.3+76.05+511.7+498+145+110+851.4+806.6+446.25+446.15+91.55+706.05+12412.2+9288.55-3959+117.4+64.55+148.3+64.8+723.05+7306.9+1897.9+1246+1999.2+27+334.55+403.5+50+158.65</f>
        <v>104359.59999999998</v>
      </c>
      <c r="I14" s="42">
        <f>22690.1</f>
        <v>22690.1</v>
      </c>
      <c r="J14" s="42">
        <f>20400</f>
        <v>20400</v>
      </c>
      <c r="K14" s="42">
        <v>0</v>
      </c>
      <c r="L14" s="42">
        <v>0</v>
      </c>
      <c r="M14" s="43">
        <f t="shared" si="0"/>
        <v>0</v>
      </c>
      <c r="N14" s="42">
        <v>0</v>
      </c>
      <c r="O14" s="42">
        <f>2964.35+165.55+681.7+102+5016.65+1720+23185.05-3577.95+7000+1240+3550.45-1727.75+264.7</f>
        <v>40584.75</v>
      </c>
      <c r="P14" s="42">
        <f>1100+416+18101.25+100+320+2062.1+20771.15+7630.6+220.8+413.85+3310+93.35+136+573+36+744.45+479</f>
        <v>56507.549999999996</v>
      </c>
      <c r="Q14" s="42">
        <v>0</v>
      </c>
      <c r="R14" s="42">
        <v>0</v>
      </c>
      <c r="S14" s="42">
        <f>1736</f>
        <v>1736</v>
      </c>
      <c r="T14" s="42">
        <v>0</v>
      </c>
      <c r="U14" s="42">
        <v>0</v>
      </c>
      <c r="V14" s="42">
        <v>0</v>
      </c>
      <c r="W14" s="43">
        <f t="shared" si="1"/>
        <v>1736</v>
      </c>
      <c r="X14" s="42">
        <f>140+682.5+35+630+6570+700+437.5+455+420+437.5</f>
        <v>10507.5</v>
      </c>
      <c r="Y14" s="143">
        <f t="shared" si="2"/>
        <v>338722.7</v>
      </c>
      <c r="Z14" s="42">
        <f>112881.15+19677.15+28401.9</f>
        <v>160960.19999999998</v>
      </c>
      <c r="AA14" s="42">
        <v>0</v>
      </c>
      <c r="AB14" s="42">
        <f>6453</f>
        <v>6453</v>
      </c>
      <c r="AC14" s="42">
        <v>0</v>
      </c>
      <c r="AD14" s="42">
        <f>1190+2255</f>
        <v>3445</v>
      </c>
      <c r="AE14" s="43">
        <f t="shared" si="3"/>
        <v>170858.19999999998</v>
      </c>
      <c r="AF14" s="42">
        <f>45</f>
        <v>45</v>
      </c>
      <c r="AG14" s="42">
        <f>177.4+13793.5+3961+4740+1240+15+40004.85</f>
        <v>63931.75</v>
      </c>
      <c r="AH14" s="42">
        <v>0</v>
      </c>
      <c r="AI14" s="42">
        <f>88.5+50+50+3093.95+180+175.95+13706.5+23625.8+4246.7+243.4+141.5+18233.15</f>
        <v>63835.45</v>
      </c>
      <c r="AJ14" s="42">
        <f>2168.5+4207.7</f>
        <v>6376.2</v>
      </c>
      <c r="AK14" s="42">
        <f>420+1200-100</f>
        <v>1520</v>
      </c>
      <c r="AL14" s="42">
        <f>6727.2+1726+1770</f>
        <v>10223.2</v>
      </c>
      <c r="AM14" s="42">
        <v>0</v>
      </c>
      <c r="AN14" s="38">
        <f>5040.3+3401.3</f>
        <v>8441.6</v>
      </c>
      <c r="AO14" s="38">
        <v>0</v>
      </c>
      <c r="AP14" s="38">
        <v>0</v>
      </c>
      <c r="AQ14" s="38">
        <v>0</v>
      </c>
      <c r="AR14" s="38">
        <v>0</v>
      </c>
      <c r="AS14" s="4">
        <f t="shared" si="4"/>
        <v>8441.6</v>
      </c>
      <c r="AT14" s="38">
        <f>537.5+10507.5+2231</f>
        <v>13276</v>
      </c>
      <c r="AU14" s="144">
        <f t="shared" si="5"/>
        <v>338507.4</v>
      </c>
      <c r="AV14" s="38">
        <v>0</v>
      </c>
      <c r="AW14" s="38">
        <v>215.3</v>
      </c>
      <c r="AX14" s="144">
        <f t="shared" si="6"/>
        <v>-1.1652900866465643E-11</v>
      </c>
      <c r="AY14" s="42">
        <f>2966.65</f>
        <v>2966.65</v>
      </c>
      <c r="AZ14" s="42">
        <f>3999+90443-78917.65</f>
        <v>15524.350000000006</v>
      </c>
      <c r="BA14" s="42">
        <v>0</v>
      </c>
      <c r="BB14" s="42">
        <v>0</v>
      </c>
      <c r="BC14" s="42">
        <v>0</v>
      </c>
      <c r="BD14" s="42">
        <v>0</v>
      </c>
      <c r="BE14" s="42">
        <v>0</v>
      </c>
      <c r="BF14" s="43">
        <f t="shared" si="7"/>
        <v>15524.350000000006</v>
      </c>
      <c r="BG14" s="42">
        <f>58000+37000</f>
        <v>95000</v>
      </c>
      <c r="BH14" s="42">
        <v>0</v>
      </c>
      <c r="BI14" s="42">
        <v>0</v>
      </c>
      <c r="BJ14" s="42">
        <v>0</v>
      </c>
      <c r="BK14" s="42">
        <v>0</v>
      </c>
      <c r="BL14" s="42">
        <v>0</v>
      </c>
      <c r="BM14" s="42">
        <v>0</v>
      </c>
      <c r="BN14" s="42">
        <v>0</v>
      </c>
      <c r="BO14" s="43">
        <f t="shared" si="8"/>
        <v>95000</v>
      </c>
      <c r="BP14" s="42">
        <f>95000</f>
        <v>95000</v>
      </c>
      <c r="BQ14" s="42">
        <v>0</v>
      </c>
      <c r="BR14" s="42">
        <f>15524.35</f>
        <v>15524.35</v>
      </c>
      <c r="BS14" s="143">
        <f t="shared" si="9"/>
        <v>0</v>
      </c>
      <c r="BT14" s="38">
        <v>1280455.05</v>
      </c>
      <c r="BU14" s="38">
        <v>11</v>
      </c>
      <c r="BV14" s="38">
        <v>0</v>
      </c>
      <c r="BW14" s="38">
        <v>0</v>
      </c>
      <c r="BX14" s="4">
        <f t="shared" si="10"/>
        <v>1280466.05</v>
      </c>
      <c r="BY14" s="38">
        <v>274509.45</v>
      </c>
      <c r="BZ14" s="38">
        <v>900808.25</v>
      </c>
      <c r="CA14" s="38">
        <v>105148.35</v>
      </c>
      <c r="CB14" s="4">
        <f t="shared" si="11"/>
        <v>1280466.05</v>
      </c>
      <c r="CC14" s="4">
        <f t="shared" si="12"/>
        <v>0</v>
      </c>
      <c r="CD14" s="74">
        <f t="shared" si="13"/>
        <v>-215.3</v>
      </c>
      <c r="CE14" s="76">
        <f t="shared" si="14"/>
        <v>-6920.900000000001</v>
      </c>
      <c r="CF14" s="76">
        <f t="shared" si="15"/>
        <v>-79475.65</v>
      </c>
      <c r="CG14" s="76">
        <f t="shared" si="16"/>
        <v>316789.80000000005</v>
      </c>
      <c r="CH14" s="76">
        <f t="shared" si="17"/>
        <v>-38275</v>
      </c>
      <c r="CI14" s="37">
        <f t="shared" si="18"/>
        <v>-38275</v>
      </c>
      <c r="CJ14" s="59">
        <f t="shared" si="36"/>
        <v>0.002709005840153557</v>
      </c>
      <c r="CK14" s="59">
        <f t="shared" si="37"/>
        <v>0.08708201820305969</v>
      </c>
      <c r="CL14" s="141">
        <f t="shared" si="38"/>
        <v>-0.000679630467900166</v>
      </c>
      <c r="CM14" s="141">
        <f t="shared" si="39"/>
        <v>-0.021846978659035107</v>
      </c>
      <c r="CN14" s="141">
        <f t="shared" si="40"/>
        <v>-0.12082144058931188</v>
      </c>
      <c r="CO14" s="141">
        <f t="shared" si="41"/>
        <v>-0.12082144058931188</v>
      </c>
      <c r="CP14" s="141">
        <f t="shared" si="42"/>
        <v>0</v>
      </c>
      <c r="CQ14" s="141">
        <f t="shared" si="43"/>
        <v>0</v>
      </c>
      <c r="CR14" s="142">
        <f t="shared" si="44"/>
        <v>-145.34895750552673</v>
      </c>
      <c r="CS14" s="76">
        <f t="shared" si="45"/>
        <v>1005945.6000000001</v>
      </c>
      <c r="CT14" s="80">
        <f t="shared" si="19"/>
        <v>338722.7</v>
      </c>
      <c r="CU14" s="80">
        <f t="shared" si="20"/>
        <v>338507.4</v>
      </c>
      <c r="CV14" s="80">
        <f t="shared" si="21"/>
        <v>-215.29999999998836</v>
      </c>
      <c r="CW14" s="80">
        <f t="shared" si="22"/>
        <v>0</v>
      </c>
      <c r="CX14" s="80">
        <f t="shared" si="23"/>
        <v>-215.29999999998836</v>
      </c>
      <c r="CY14" s="80">
        <f t="shared" si="24"/>
        <v>-215.29999999998836</v>
      </c>
      <c r="CZ14" s="80">
        <f t="shared" si="25"/>
        <v>-79475.65</v>
      </c>
      <c r="DA14" s="80">
        <f t="shared" si="26"/>
        <v>0</v>
      </c>
      <c r="DB14" s="80">
        <f t="shared" si="27"/>
        <v>79260.35</v>
      </c>
      <c r="DC14" s="80">
        <f t="shared" si="28"/>
        <v>-95000</v>
      </c>
      <c r="DD14" s="80">
        <f t="shared" si="29"/>
        <v>-215.29999999999382</v>
      </c>
      <c r="DE14" s="80">
        <f t="shared" si="30"/>
        <v>167413.19999999998</v>
      </c>
      <c r="DF14" s="80">
        <f t="shared" si="31"/>
        <v>5557.710497237569</v>
      </c>
      <c r="DG14" s="80">
        <f t="shared" si="32"/>
        <v>-211.46408839779005</v>
      </c>
      <c r="DH14" s="80">
        <f t="shared" si="33"/>
        <v>924.9348066298342</v>
      </c>
      <c r="DI14" s="81">
        <f t="shared" si="34"/>
        <v>-439.09198895027623</v>
      </c>
      <c r="DJ14" s="76">
        <f t="shared" si="35"/>
        <v>437.90248618784534</v>
      </c>
      <c r="DK14" s="147">
        <f t="shared" si="46"/>
        <v>105137.35</v>
      </c>
      <c r="DL14" s="67"/>
      <c r="DM14" s="68"/>
    </row>
    <row r="15" spans="1:117" ht="12.75">
      <c r="A15" s="52" t="s">
        <v>9</v>
      </c>
      <c r="B15" s="41">
        <v>1145</v>
      </c>
      <c r="C15" s="4">
        <v>3292694</v>
      </c>
      <c r="D15" s="34">
        <v>2875.72</v>
      </c>
      <c r="E15" s="34">
        <v>80.46</v>
      </c>
      <c r="F15" s="8">
        <v>6</v>
      </c>
      <c r="G15" s="133">
        <v>605020.75</v>
      </c>
      <c r="H15" s="43">
        <v>768184.95</v>
      </c>
      <c r="I15" s="43">
        <v>84695.1</v>
      </c>
      <c r="J15" s="43">
        <v>9005.4</v>
      </c>
      <c r="K15" s="43">
        <v>88348.3</v>
      </c>
      <c r="L15" s="43">
        <v>256739.5</v>
      </c>
      <c r="M15" s="43">
        <f t="shared" si="0"/>
        <v>345087.8</v>
      </c>
      <c r="N15" s="43">
        <v>22720</v>
      </c>
      <c r="O15" s="43">
        <v>175854.55</v>
      </c>
      <c r="P15" s="43">
        <v>280490.05</v>
      </c>
      <c r="Q15" s="43">
        <v>0</v>
      </c>
      <c r="R15" s="43">
        <v>63511.75</v>
      </c>
      <c r="S15" s="43">
        <v>14142.4</v>
      </c>
      <c r="T15" s="43">
        <v>0</v>
      </c>
      <c r="U15" s="43">
        <v>180684.95</v>
      </c>
      <c r="V15" s="43">
        <v>0</v>
      </c>
      <c r="W15" s="43">
        <f>SUM(R15:V15)</f>
        <v>258339.1</v>
      </c>
      <c r="X15" s="43">
        <v>416661.95</v>
      </c>
      <c r="Y15" s="43">
        <f>SUM(G15:X15)-M15-W15</f>
        <v>2966059.65</v>
      </c>
      <c r="Z15" s="43">
        <v>1119749.45</v>
      </c>
      <c r="AA15" s="43">
        <v>0</v>
      </c>
      <c r="AB15" s="43">
        <v>1810.5</v>
      </c>
      <c r="AC15" s="43">
        <v>0</v>
      </c>
      <c r="AD15" s="43">
        <v>4576.5</v>
      </c>
      <c r="AE15" s="43">
        <f>SUM(Z15:AD15)</f>
        <v>1126136.45</v>
      </c>
      <c r="AF15" s="43">
        <v>258238.5</v>
      </c>
      <c r="AG15" s="43">
        <v>452197.85</v>
      </c>
      <c r="AH15" s="43">
        <v>20949.8</v>
      </c>
      <c r="AI15" s="43">
        <v>467030.8</v>
      </c>
      <c r="AJ15" s="43">
        <v>14142.4</v>
      </c>
      <c r="AK15" s="43">
        <v>90474.6</v>
      </c>
      <c r="AL15" s="43">
        <v>124529.48</v>
      </c>
      <c r="AM15" s="43">
        <v>0</v>
      </c>
      <c r="AN15" s="4">
        <v>321.85</v>
      </c>
      <c r="AO15" s="4">
        <v>9381.5</v>
      </c>
      <c r="AP15" s="4">
        <v>220246.05</v>
      </c>
      <c r="AQ15" s="4">
        <v>0</v>
      </c>
      <c r="AR15" s="4">
        <v>0</v>
      </c>
      <c r="AS15" s="4">
        <f>SUM(AN15:AR15)</f>
        <v>229949.4</v>
      </c>
      <c r="AT15" s="4">
        <v>416661.95</v>
      </c>
      <c r="AU15" s="4">
        <f>SUM(Z15:AT15)-AE15-AH15-AS15</f>
        <v>3179361.4299999992</v>
      </c>
      <c r="AV15" s="4">
        <v>213301.78</v>
      </c>
      <c r="AW15" s="4">
        <v>0</v>
      </c>
      <c r="AX15" s="144">
        <f>Y15-AU15+AV15-AW15</f>
        <v>6.693881005048752E-10</v>
      </c>
      <c r="AY15" s="43">
        <v>354449</v>
      </c>
      <c r="AZ15" s="43">
        <v>543472.1</v>
      </c>
      <c r="BA15" s="43">
        <v>0</v>
      </c>
      <c r="BB15" s="43">
        <v>0</v>
      </c>
      <c r="BC15" s="43">
        <v>34344</v>
      </c>
      <c r="BD15" s="43">
        <v>0</v>
      </c>
      <c r="BE15" s="43">
        <v>3371</v>
      </c>
      <c r="BF15" s="43">
        <f>SUM(AZ15:BE15)</f>
        <v>581187.1</v>
      </c>
      <c r="BG15" s="43">
        <v>0</v>
      </c>
      <c r="BH15" s="43">
        <v>0</v>
      </c>
      <c r="BI15" s="43">
        <v>0</v>
      </c>
      <c r="BJ15" s="43">
        <v>13724.9</v>
      </c>
      <c r="BK15" s="43">
        <v>0</v>
      </c>
      <c r="BL15" s="43">
        <v>0</v>
      </c>
      <c r="BM15" s="43">
        <v>133362</v>
      </c>
      <c r="BN15" s="43">
        <v>0</v>
      </c>
      <c r="BO15" s="43">
        <f>SUM(BG15:BN15)</f>
        <v>147086.9</v>
      </c>
      <c r="BP15" s="43">
        <v>147086.9</v>
      </c>
      <c r="BQ15" s="43">
        <v>0</v>
      </c>
      <c r="BR15" s="43">
        <v>581187.1</v>
      </c>
      <c r="BS15" s="143">
        <f>+BF15-BO15+BP15+BQ15-BR15</f>
        <v>0</v>
      </c>
      <c r="BT15" s="4">
        <v>5773124.96</v>
      </c>
      <c r="BU15" s="4">
        <v>347922.9</v>
      </c>
      <c r="BV15" s="4">
        <v>15917.95</v>
      </c>
      <c r="BW15" s="4">
        <v>0</v>
      </c>
      <c r="BX15" s="4">
        <f>SUM(BT15:BW15)</f>
        <v>6136965.8100000005</v>
      </c>
      <c r="BY15" s="4">
        <v>5519602.9</v>
      </c>
      <c r="BZ15" s="4">
        <v>399879.5</v>
      </c>
      <c r="CA15" s="4">
        <v>217483.41</v>
      </c>
      <c r="CB15" s="4">
        <f>SUM(BY15:CA15)</f>
        <v>6136965.8100000005</v>
      </c>
      <c r="CC15" s="144">
        <f>BX15-CB15</f>
        <v>0</v>
      </c>
      <c r="CD15" s="74">
        <f>K15+L15+AV15-AW15</f>
        <v>558389.58</v>
      </c>
      <c r="CE15" s="76">
        <f>CD15+W15-AS15</f>
        <v>586779.2799999999</v>
      </c>
      <c r="CF15" s="76">
        <f>BR15-BP15</f>
        <v>434100.19999999995</v>
      </c>
      <c r="CG15" s="76">
        <f t="shared" si="16"/>
        <v>2532750.079999999</v>
      </c>
      <c r="CH15" s="76">
        <f>I15-AG15+AY15+AH15+BQ15</f>
        <v>7896.049999999999</v>
      </c>
      <c r="CI15" s="37">
        <f>CH15+K15</f>
        <v>96244.35</v>
      </c>
      <c r="CJ15" s="59">
        <f t="shared" si="36"/>
        <v>1.2863149567772603</v>
      </c>
      <c r="CK15" s="59">
        <f t="shared" si="37"/>
        <v>1.3517139130550964</v>
      </c>
      <c r="CL15" s="141">
        <f t="shared" si="38"/>
        <v>0.2204676980999247</v>
      </c>
      <c r="CM15" s="141">
        <f t="shared" si="39"/>
        <v>0.2316767393014948</v>
      </c>
      <c r="CN15" s="141">
        <f t="shared" si="40"/>
        <v>0.003117579607380765</v>
      </c>
      <c r="CO15" s="141">
        <f t="shared" si="41"/>
        <v>0.03799993957556209</v>
      </c>
      <c r="CP15" s="141">
        <f t="shared" si="42"/>
        <v>0.497954504887154</v>
      </c>
      <c r="CQ15" s="141">
        <f t="shared" si="43"/>
        <v>0.1274847560073748</v>
      </c>
      <c r="CR15" s="142">
        <f t="shared" si="44"/>
        <v>0.43205693970652753</v>
      </c>
      <c r="CS15" s="76">
        <f t="shared" si="45"/>
        <v>253522.0599999996</v>
      </c>
      <c r="CT15" s="80">
        <f>Y15-K15-L15-V15</f>
        <v>2620971.85</v>
      </c>
      <c r="CU15" s="80">
        <f>AU15-AR15</f>
        <v>3179361.4299999992</v>
      </c>
      <c r="CV15" s="80">
        <f>CU15-CT15</f>
        <v>558389.5799999991</v>
      </c>
      <c r="CW15" s="80">
        <f>-V15+AR15</f>
        <v>0</v>
      </c>
      <c r="CX15" s="80">
        <f>CV15+CW15</f>
        <v>558389.5799999991</v>
      </c>
      <c r="CY15" s="80">
        <f>CX15-K15-L15</f>
        <v>213301.77999999915</v>
      </c>
      <c r="CZ15" s="80">
        <f>BR15-BP15</f>
        <v>434100.19999999995</v>
      </c>
      <c r="DA15" s="80">
        <f>K15+L15</f>
        <v>345087.8</v>
      </c>
      <c r="DB15" s="80">
        <f>-CZ15+DA15+CY15</f>
        <v>124289.37999999919</v>
      </c>
      <c r="DC15" s="80">
        <f>-BP15-DA15</f>
        <v>-492174.69999999995</v>
      </c>
      <c r="DD15" s="80">
        <f>DB15+DC15+BR15</f>
        <v>213301.7799999992</v>
      </c>
      <c r="DE15" s="80">
        <f>Z15+AA15+AB15</f>
        <v>1121559.95</v>
      </c>
      <c r="DF15" s="80">
        <f>CS15/B15</f>
        <v>221.41664628820925</v>
      </c>
      <c r="DG15" s="80">
        <f>CH15/B15</f>
        <v>6.896113537117904</v>
      </c>
      <c r="DH15" s="80">
        <f>DE15/B15</f>
        <v>979.5283406113537</v>
      </c>
      <c r="DI15" s="81">
        <f>CZ15/B15</f>
        <v>379.1268122270742</v>
      </c>
      <c r="DJ15" s="76">
        <f>DB15/B15</f>
        <v>108.54967685589449</v>
      </c>
      <c r="DK15" s="147">
        <f t="shared" si="46"/>
        <v>-130439.49000000002</v>
      </c>
      <c r="DL15" s="64"/>
      <c r="DM15" s="65"/>
    </row>
    <row r="16" spans="1:117" ht="12.75">
      <c r="A16" s="51" t="s">
        <v>34</v>
      </c>
      <c r="B16" s="46">
        <v>603</v>
      </c>
      <c r="C16" s="38">
        <v>1374813</v>
      </c>
      <c r="D16" s="39">
        <v>2279.96</v>
      </c>
      <c r="E16" s="39">
        <v>63.79</v>
      </c>
      <c r="F16" s="128">
        <v>8</v>
      </c>
      <c r="G16" s="134">
        <f>2752+256.1+6961.8+24060+3103.2+3263+840+87158+8905+100+2780.1+12481.35+5337.6+756.4+1500+250+2155.5+1500+319.85+419+398.75+39.9+800+10231.85+1306.25+1284.8+1000+500+50+290.05+29+2416.9+12751.85+2082.85+480+48.05+1040+104+1363.05+16548.75+3050.35+4800+480.15+864.95+86.5+780+78.05+1540+1456.4+262.2+936+1823.4+15750.8+71995.8+7316.05+21829.15+1167+1492.4+80.35+1720+172.05+40+4</f>
        <v>355390.55</v>
      </c>
      <c r="H16" s="42">
        <f>3732.5+300+3717.6+13122.35+1082.45+1919.85+5764.7+479+11088.6+261.15+410+17015.8+4067.15+2851.5+10145.95+136.7+248.55+204.4+3143.9+140.25+1400.95+575.45+60+421+336.15+2393.65+3942.4+600+150+43.5+4938+61+636.65+372.65+140+6225+17965+727.55+229.15+508.4+4680.5+1577.45+1390.95+317.3+700.2+386.95+7015+7009.3+1878.25+1071.7+474.6+3548.85+468.25+1518.85+11281.5+1221.8+6085.85+1099.3+1284.15+5391.55+4655+1564+597.65+1870.9+478.7+7178.65+5982.9+2411.6+104.95+1067.55+319.2+446+3425.05+2722.5+640.25+282.45+1473.25+469.8+452+1079.15+3263.95+562.2+411.9+4042+2808+8843.8+6238.95+191.55+14390.6+1098.5+1995.65+568.35+4229.4+714.35+6620.4+771.6+5353.6+96+2600+329+6977.4+11438.9+661.75+614.5+1351.05+230.4+4086.9+639.8+718.8+201.7+4366.6+647.5+3307.9+118.35+359.45+4150+2189+247.55+9278.3+1291.25+24687.5+1735.65+181.75+100</f>
        <v>361894.54999999993</v>
      </c>
      <c r="I16" s="42">
        <f>13809.4+925</f>
        <v>14734.4</v>
      </c>
      <c r="J16" s="42">
        <f>21693.75</f>
        <v>21693.75</v>
      </c>
      <c r="K16" s="42">
        <f>1843.5+1306+28350+21955.6+2916+12390</f>
        <v>68761.1</v>
      </c>
      <c r="L16" s="42">
        <v>0</v>
      </c>
      <c r="M16" s="43">
        <f t="shared" si="0"/>
        <v>68761.1</v>
      </c>
      <c r="N16" s="42">
        <v>0</v>
      </c>
      <c r="O16" s="42">
        <f>9537.55+3532.3+345+16140.45+202+2420.9</f>
        <v>32178.2</v>
      </c>
      <c r="P16" s="42">
        <f>1086.85+555+700+5972.7+850+1568.8+6304.65+66828.9+24550.65+2025+2685+11040+53448.7+442+3570+851.55+440.2+145.2+1200+600+1200+595+39630.5+30363.95</f>
        <v>256654.65000000002</v>
      </c>
      <c r="Q16" s="42">
        <v>2360.1</v>
      </c>
      <c r="R16" s="42">
        <f>47378.95</f>
        <v>47378.95</v>
      </c>
      <c r="S16" s="42">
        <v>0</v>
      </c>
      <c r="T16" s="42">
        <v>0</v>
      </c>
      <c r="U16" s="42">
        <v>0</v>
      </c>
      <c r="V16" s="42">
        <v>0</v>
      </c>
      <c r="W16" s="43">
        <f aca="true" t="shared" si="47" ref="W16:W31">SUM(R16:V16)</f>
        <v>47378.95</v>
      </c>
      <c r="X16" s="42">
        <f>429.65+49+2623.55+104+1000+109+12735.85+461+419.35+59+353.15+21+34092.5+3175.05+10377.75+794.05+5527.45+408+21955.6+7293.45+1053.05+1368.9+187+1200+1727.73+598.05+62+6093.5+901+1463.85+104+1729.7+83+4000+8870+669+860.75+97+264.85+14</f>
        <v>133335.78</v>
      </c>
      <c r="Y16" s="143">
        <f aca="true" t="shared" si="48" ref="Y16:Y31">SUM(G16:X16)-M16-W16</f>
        <v>1294382.0299999998</v>
      </c>
      <c r="Z16" s="42">
        <f>105113.1</f>
        <v>105113.1</v>
      </c>
      <c r="AA16" s="42">
        <v>0</v>
      </c>
      <c r="AB16" s="42">
        <v>0</v>
      </c>
      <c r="AC16" s="42">
        <v>0</v>
      </c>
      <c r="AD16" s="42">
        <f>4205</f>
        <v>4205</v>
      </c>
      <c r="AE16" s="43">
        <f aca="true" t="shared" si="49" ref="AE16:AE31">SUM(Z16:AD16)</f>
        <v>109318.1</v>
      </c>
      <c r="AF16" s="42">
        <f>120</f>
        <v>120</v>
      </c>
      <c r="AG16" s="42">
        <f>385+7983.85+25206.05+1131+235.8+1374.35+83.55+4555.5+4800+12670+30000+3360</f>
        <v>91785.1</v>
      </c>
      <c r="AH16" s="42">
        <v>0</v>
      </c>
      <c r="AI16" s="42">
        <f>66.65+9340.5+3056.3+40+15330+702.85+189+830.65+1160+29539.7+530+211.75+50+2615.5+935.45+26498.25+800+118233.65+10590+18181.8+365+3426.45+706.05+6780+3550.45+6059.15+14300+1425+13516.8+2491.2</f>
        <v>291522.15</v>
      </c>
      <c r="AJ16" s="42">
        <f>370358.05+28353.75+3797+6976.95+8600.2</f>
        <v>418085.95</v>
      </c>
      <c r="AK16" s="42">
        <f>300+1920.45+30639+5338.9+1657.1+41605.35+1035+10252</f>
        <v>92747.79999999999</v>
      </c>
      <c r="AL16" s="42">
        <f>2442.9+4500+12679.6+100+25614.2+83788.35</f>
        <v>129125.05</v>
      </c>
      <c r="AM16" s="42">
        <v>0</v>
      </c>
      <c r="AN16" s="38">
        <f>453.45+3158.4+6392.25</f>
        <v>10004.1</v>
      </c>
      <c r="AO16" s="38">
        <f>7529.3</f>
        <v>7529.3</v>
      </c>
      <c r="AP16" s="38">
        <v>0</v>
      </c>
      <c r="AQ16" s="38">
        <v>0</v>
      </c>
      <c r="AR16" s="38">
        <v>0</v>
      </c>
      <c r="AS16" s="4">
        <f aca="true" t="shared" si="50" ref="AS16:AS31">SUM(AN16:AR16)</f>
        <v>17533.4</v>
      </c>
      <c r="AT16" s="38">
        <f>13950+83.4+87286.3+8456.15+21955.6</f>
        <v>131731.44999999998</v>
      </c>
      <c r="AU16" s="144">
        <f aca="true" t="shared" si="51" ref="AU16:AU31">SUM(Z16:AT16)-AE16-AH16-AS16</f>
        <v>1281969.0000000002</v>
      </c>
      <c r="AV16" s="38">
        <v>0</v>
      </c>
      <c r="AW16" s="38">
        <v>12413.03</v>
      </c>
      <c r="AX16" s="144">
        <f aca="true" t="shared" si="52" ref="AX16:AX31">Y16-AU16+AV16-AW16</f>
        <v>-4.383764462545514E-10</v>
      </c>
      <c r="AY16" s="42">
        <f>3307.9+118.35+359.45+860.75+97+40+4+4150+2189+247.55+9278.3+1291.25+24687.5+1735.65+264.85+14+181.75+100</f>
        <v>48927.3</v>
      </c>
      <c r="AZ16" s="42">
        <f>46729.2+12309</f>
        <v>59038.2</v>
      </c>
      <c r="BA16" s="42">
        <v>0</v>
      </c>
      <c r="BB16" s="42">
        <v>0</v>
      </c>
      <c r="BC16" s="42">
        <f>11000</f>
        <v>11000</v>
      </c>
      <c r="BD16" s="42">
        <v>0</v>
      </c>
      <c r="BE16" s="42">
        <v>0</v>
      </c>
      <c r="BF16" s="43">
        <f aca="true" t="shared" si="53" ref="BF16:BF31">SUM(AZ16:BE16)</f>
        <v>70038.2</v>
      </c>
      <c r="BG16" s="42">
        <v>0</v>
      </c>
      <c r="BH16" s="42">
        <v>0</v>
      </c>
      <c r="BI16" s="42">
        <v>0</v>
      </c>
      <c r="BJ16" s="42">
        <v>0</v>
      </c>
      <c r="BK16" s="42">
        <v>0</v>
      </c>
      <c r="BL16" s="42">
        <v>11000</v>
      </c>
      <c r="BM16" s="42">
        <v>0</v>
      </c>
      <c r="BN16" s="42">
        <v>0</v>
      </c>
      <c r="BO16" s="43">
        <f aca="true" t="shared" si="54" ref="BO16:BO31">SUM(BG16:BN16)</f>
        <v>11000</v>
      </c>
      <c r="BP16" s="42">
        <v>11000</v>
      </c>
      <c r="BQ16" s="42">
        <v>0</v>
      </c>
      <c r="BR16" s="42">
        <v>70038.2</v>
      </c>
      <c r="BS16" s="43">
        <f aca="true" t="shared" si="55" ref="BS16:BS31">+BF16-BO16+BP16+BQ16-BR16</f>
        <v>0</v>
      </c>
      <c r="BT16" s="38">
        <v>2548278.88</v>
      </c>
      <c r="BU16" s="38">
        <v>590509.15</v>
      </c>
      <c r="BV16" s="38">
        <v>0</v>
      </c>
      <c r="BW16" s="38">
        <f>233380.75+12413.03</f>
        <v>245793.78</v>
      </c>
      <c r="BX16" s="4">
        <f aca="true" t="shared" si="56" ref="BX16:BX31">SUM(BT16:BW16)</f>
        <v>3384581.8099999996</v>
      </c>
      <c r="BY16" s="38">
        <v>2007822.85</v>
      </c>
      <c r="BZ16" s="38">
        <v>1376758.96</v>
      </c>
      <c r="CA16" s="38">
        <v>0</v>
      </c>
      <c r="CB16" s="4">
        <f aca="true" t="shared" si="57" ref="CB16:CB31">SUM(BY16:CA16)</f>
        <v>3384581.81</v>
      </c>
      <c r="CC16" s="144">
        <f aca="true" t="shared" si="58" ref="CC16:CC31">BX16-CB16</f>
        <v>0</v>
      </c>
      <c r="CD16" s="74">
        <f aca="true" t="shared" si="59" ref="CD16:CD31">K16+L16+AV16-AW16</f>
        <v>56348.07000000001</v>
      </c>
      <c r="CE16" s="76">
        <f aca="true" t="shared" si="60" ref="CE16:CE31">CD16+W16-AS16</f>
        <v>86193.62</v>
      </c>
      <c r="CF16" s="76">
        <f aca="true" t="shared" si="61" ref="CF16:CF31">BR16-BP16</f>
        <v>59038.2</v>
      </c>
      <c r="CG16" s="76">
        <f t="shared" si="16"/>
        <v>1132704.1500000004</v>
      </c>
      <c r="CH16" s="76">
        <f aca="true" t="shared" si="62" ref="CH16:CH31">I16-AG16+AY16+AH16+BQ16</f>
        <v>-28123.40000000001</v>
      </c>
      <c r="CI16" s="37">
        <f aca="true" t="shared" si="63" ref="CI16:CI31">CH16+K16</f>
        <v>40637.7</v>
      </c>
      <c r="CJ16" s="59">
        <f t="shared" si="36"/>
        <v>0.9544340782747444</v>
      </c>
      <c r="CK16" s="59">
        <f t="shared" si="37"/>
        <v>1.4599635490241911</v>
      </c>
      <c r="CL16" s="141">
        <f t="shared" si="38"/>
        <v>0.04974650265031693</v>
      </c>
      <c r="CM16" s="141">
        <f t="shared" si="39"/>
        <v>0.07609543939606822</v>
      </c>
      <c r="CN16" s="141">
        <f t="shared" si="40"/>
        <v>-0.02482854856671974</v>
      </c>
      <c r="CO16" s="141">
        <f t="shared" si="41"/>
        <v>0.03587671149611307</v>
      </c>
      <c r="CP16" s="141">
        <f t="shared" si="42"/>
        <v>0.10429880614209425</v>
      </c>
      <c r="CQ16" s="141">
        <f t="shared" si="43"/>
        <v>0.10429880614209425</v>
      </c>
      <c r="CR16" s="142">
        <f t="shared" si="44"/>
        <v>6.270255617527142</v>
      </c>
      <c r="CS16" s="76">
        <f t="shared" si="45"/>
        <v>540456.0299999998</v>
      </c>
      <c r="CT16" s="80">
        <f aca="true" t="shared" si="64" ref="CT16:CT31">Y16-K16-L16-V16</f>
        <v>1225620.9299999997</v>
      </c>
      <c r="CU16" s="80">
        <f aca="true" t="shared" si="65" ref="CU16:CU31">AU16-AR16</f>
        <v>1281969.0000000002</v>
      </c>
      <c r="CV16" s="80">
        <f aca="true" t="shared" si="66" ref="CV16:CV31">CU16-CT16</f>
        <v>56348.07000000053</v>
      </c>
      <c r="CW16" s="80">
        <f aca="true" t="shared" si="67" ref="CW16:CW31">-V16+AR16</f>
        <v>0</v>
      </c>
      <c r="CX16" s="80">
        <f aca="true" t="shared" si="68" ref="CX16:CX31">CV16+CW16</f>
        <v>56348.07000000053</v>
      </c>
      <c r="CY16" s="80">
        <f aca="true" t="shared" si="69" ref="CY16:CY31">CX16-K16-L16</f>
        <v>-12413.029999999475</v>
      </c>
      <c r="CZ16" s="80">
        <f aca="true" t="shared" si="70" ref="CZ16:CZ31">BR16-BP16</f>
        <v>59038.2</v>
      </c>
      <c r="DA16" s="80">
        <f aca="true" t="shared" si="71" ref="DA16:DA31">K16+L16</f>
        <v>68761.1</v>
      </c>
      <c r="DB16" s="80">
        <f aca="true" t="shared" si="72" ref="DB16:DB31">-CZ16+DA16+CY16</f>
        <v>-2690.1299999994662</v>
      </c>
      <c r="DC16" s="80">
        <f aca="true" t="shared" si="73" ref="DC16:DC31">-BP16-DA16</f>
        <v>-79761.1</v>
      </c>
      <c r="DD16" s="80">
        <f aca="true" t="shared" si="74" ref="DD16:DD31">DB16+DC16+BR16</f>
        <v>-12413.029999999475</v>
      </c>
      <c r="DE16" s="80">
        <f aca="true" t="shared" si="75" ref="DE16:DE31">Z16+AA16+AB16</f>
        <v>105113.1</v>
      </c>
      <c r="DF16" s="80">
        <f aca="true" t="shared" si="76" ref="DF16:DF31">CS16/B16</f>
        <v>896.2786567164176</v>
      </c>
      <c r="DG16" s="80">
        <f aca="true" t="shared" si="77" ref="DG16:DG31">CH16/B16</f>
        <v>-46.63913764510781</v>
      </c>
      <c r="DH16" s="80">
        <f aca="true" t="shared" si="78" ref="DH16:DH31">DE16/B16</f>
        <v>174.3169154228856</v>
      </c>
      <c r="DI16" s="81">
        <f aca="true" t="shared" si="79" ref="DI16:DI31">CZ16/B16</f>
        <v>97.90746268656716</v>
      </c>
      <c r="DJ16" s="76">
        <f aca="true" t="shared" si="80" ref="DJ16:DJ31">DB16/B16</f>
        <v>-4.461243781093642</v>
      </c>
      <c r="DK16" s="147">
        <f t="shared" si="46"/>
        <v>-836302.93</v>
      </c>
      <c r="DL16" s="67"/>
      <c r="DM16" s="68"/>
    </row>
    <row r="17" spans="1:117" ht="12.75">
      <c r="A17" s="52" t="s">
        <v>10</v>
      </c>
      <c r="B17" s="41">
        <v>370</v>
      </c>
      <c r="C17" s="4">
        <v>1081889</v>
      </c>
      <c r="D17" s="34">
        <v>2924.03</v>
      </c>
      <c r="E17" s="34">
        <v>81.81</v>
      </c>
      <c r="F17" s="8">
        <v>8</v>
      </c>
      <c r="G17" s="133">
        <v>545644</v>
      </c>
      <c r="H17" s="43">
        <v>375806.45</v>
      </c>
      <c r="I17" s="43">
        <v>89736.65</v>
      </c>
      <c r="J17" s="43">
        <v>0</v>
      </c>
      <c r="K17" s="43">
        <v>118462.15</v>
      </c>
      <c r="L17" s="43">
        <v>0</v>
      </c>
      <c r="M17" s="43">
        <f t="shared" si="0"/>
        <v>118462.15</v>
      </c>
      <c r="N17" s="43">
        <v>0</v>
      </c>
      <c r="O17" s="43">
        <v>68210.9</v>
      </c>
      <c r="P17" s="43">
        <v>127486.7</v>
      </c>
      <c r="Q17" s="43">
        <v>4303.9</v>
      </c>
      <c r="R17" s="43">
        <v>18996.7</v>
      </c>
      <c r="S17" s="43">
        <v>0</v>
      </c>
      <c r="T17" s="43">
        <v>0</v>
      </c>
      <c r="U17" s="43">
        <v>0</v>
      </c>
      <c r="V17" s="43">
        <v>0</v>
      </c>
      <c r="W17" s="43">
        <f t="shared" si="47"/>
        <v>18996.7</v>
      </c>
      <c r="X17" s="43">
        <v>302649</v>
      </c>
      <c r="Y17" s="43">
        <f t="shared" si="48"/>
        <v>1651296.4499999997</v>
      </c>
      <c r="Z17" s="43">
        <v>398377.76</v>
      </c>
      <c r="AA17" s="43">
        <v>50694.1</v>
      </c>
      <c r="AB17" s="43">
        <v>5715.5</v>
      </c>
      <c r="AC17" s="43">
        <v>0</v>
      </c>
      <c r="AD17" s="43">
        <v>1546</v>
      </c>
      <c r="AE17" s="43">
        <f t="shared" si="49"/>
        <v>456333.36</v>
      </c>
      <c r="AF17" s="43">
        <v>21210.35</v>
      </c>
      <c r="AG17" s="43">
        <v>185874.75</v>
      </c>
      <c r="AH17" s="43">
        <v>0</v>
      </c>
      <c r="AI17" s="43">
        <v>219676.45</v>
      </c>
      <c r="AJ17" s="43">
        <v>9479.35</v>
      </c>
      <c r="AK17" s="43">
        <v>95709.05</v>
      </c>
      <c r="AL17" s="43">
        <v>197640.7</v>
      </c>
      <c r="AM17" s="43">
        <v>0</v>
      </c>
      <c r="AN17" s="4">
        <v>2513.4</v>
      </c>
      <c r="AO17" s="4">
        <v>0</v>
      </c>
      <c r="AP17" s="4">
        <v>0</v>
      </c>
      <c r="AQ17" s="4">
        <v>0</v>
      </c>
      <c r="AR17" s="4">
        <v>0</v>
      </c>
      <c r="AS17" s="4">
        <f t="shared" si="50"/>
        <v>2513.4</v>
      </c>
      <c r="AT17" s="4">
        <v>301489.5</v>
      </c>
      <c r="AU17" s="4">
        <f t="shared" si="51"/>
        <v>1489926.9099999997</v>
      </c>
      <c r="AV17" s="4">
        <v>0</v>
      </c>
      <c r="AW17" s="4">
        <v>161369.54</v>
      </c>
      <c r="AX17" s="152">
        <f t="shared" si="52"/>
        <v>0</v>
      </c>
      <c r="AY17" s="43">
        <v>87506.65</v>
      </c>
      <c r="AZ17" s="43">
        <v>773306.8</v>
      </c>
      <c r="BA17" s="43">
        <v>0</v>
      </c>
      <c r="BB17" s="43">
        <v>0</v>
      </c>
      <c r="BC17" s="43">
        <v>0</v>
      </c>
      <c r="BD17" s="43">
        <v>0</v>
      </c>
      <c r="BE17" s="43">
        <v>84035.5</v>
      </c>
      <c r="BF17" s="43">
        <f t="shared" si="53"/>
        <v>857342.3</v>
      </c>
      <c r="BG17" s="43">
        <v>0</v>
      </c>
      <c r="BH17" s="43">
        <v>2519.5</v>
      </c>
      <c r="BI17" s="43">
        <v>0</v>
      </c>
      <c r="BJ17" s="43">
        <v>0</v>
      </c>
      <c r="BK17" s="43">
        <v>0</v>
      </c>
      <c r="BL17" s="43">
        <v>10000</v>
      </c>
      <c r="BM17" s="43">
        <v>667781.05</v>
      </c>
      <c r="BN17" s="43">
        <v>0</v>
      </c>
      <c r="BO17" s="43">
        <f t="shared" si="54"/>
        <v>680300.55</v>
      </c>
      <c r="BP17" s="43">
        <v>47923.55</v>
      </c>
      <c r="BQ17" s="43">
        <v>0</v>
      </c>
      <c r="BR17" s="43">
        <v>224965.3</v>
      </c>
      <c r="BS17" s="143">
        <f t="shared" si="55"/>
        <v>0</v>
      </c>
      <c r="BT17" s="4">
        <v>2219440.23</v>
      </c>
      <c r="BU17" s="4">
        <v>1725882</v>
      </c>
      <c r="BV17" s="4">
        <v>2513.4</v>
      </c>
      <c r="BW17" s="4">
        <v>256487.22</v>
      </c>
      <c r="BX17" s="4">
        <f t="shared" si="56"/>
        <v>4204322.85</v>
      </c>
      <c r="BY17" s="4">
        <v>3928858.25</v>
      </c>
      <c r="BZ17" s="4">
        <v>275464.6</v>
      </c>
      <c r="CA17" s="4">
        <v>0</v>
      </c>
      <c r="CB17" s="4">
        <f t="shared" si="57"/>
        <v>4204322.85</v>
      </c>
      <c r="CC17" s="144">
        <f t="shared" si="58"/>
        <v>0</v>
      </c>
      <c r="CD17" s="74">
        <f t="shared" si="59"/>
        <v>-42907.390000000014</v>
      </c>
      <c r="CE17" s="76">
        <f t="shared" si="60"/>
        <v>-26424.090000000015</v>
      </c>
      <c r="CF17" s="76">
        <f t="shared" si="61"/>
        <v>177041.75</v>
      </c>
      <c r="CG17" s="76">
        <f t="shared" si="16"/>
        <v>1185924.0099999998</v>
      </c>
      <c r="CH17" s="76">
        <f t="shared" si="62"/>
        <v>-8631.450000000012</v>
      </c>
      <c r="CI17" s="37">
        <f t="shared" si="63"/>
        <v>109830.69999999998</v>
      </c>
      <c r="CJ17" s="59">
        <f>IF(CF17=0,"-",(CD17/CF17))</f>
        <v>-0.24235746652978754</v>
      </c>
      <c r="CK17" s="59">
        <f t="shared" si="37"/>
        <v>-0.149253438807513</v>
      </c>
      <c r="CL17" s="141">
        <f t="shared" si="38"/>
        <v>-0.03618055595315928</v>
      </c>
      <c r="CM17" s="141">
        <f t="shared" si="39"/>
        <v>-0.022281436059296937</v>
      </c>
      <c r="CN17" s="141">
        <f t="shared" si="40"/>
        <v>-0.007278248797745492</v>
      </c>
      <c r="CO17" s="141">
        <f t="shared" si="41"/>
        <v>0.09261192038771524</v>
      </c>
      <c r="CP17" s="141">
        <f t="shared" si="42"/>
        <v>0.06422995946824783</v>
      </c>
      <c r="CQ17" s="141">
        <f t="shared" si="43"/>
        <v>0.06422995946824783</v>
      </c>
      <c r="CR17" s="142">
        <f t="shared" si="44"/>
        <v>64.69165144381506</v>
      </c>
      <c r="CS17" s="76">
        <f t="shared" si="45"/>
        <v>-1709418.02</v>
      </c>
      <c r="CT17" s="80">
        <f t="shared" si="64"/>
        <v>1532834.2999999998</v>
      </c>
      <c r="CU17" s="80">
        <f t="shared" si="65"/>
        <v>1489926.9099999997</v>
      </c>
      <c r="CV17" s="80">
        <f t="shared" si="66"/>
        <v>-42907.39000000013</v>
      </c>
      <c r="CW17" s="80">
        <f t="shared" si="67"/>
        <v>0</v>
      </c>
      <c r="CX17" s="80">
        <f t="shared" si="68"/>
        <v>-42907.39000000013</v>
      </c>
      <c r="CY17" s="80">
        <f t="shared" si="69"/>
        <v>-161369.54000000012</v>
      </c>
      <c r="CZ17" s="80">
        <f t="shared" si="70"/>
        <v>177041.75</v>
      </c>
      <c r="DA17" s="80">
        <f t="shared" si="71"/>
        <v>118462.15</v>
      </c>
      <c r="DB17" s="80">
        <f t="shared" si="72"/>
        <v>-219949.14000000013</v>
      </c>
      <c r="DC17" s="80">
        <f t="shared" si="73"/>
        <v>-166385.7</v>
      </c>
      <c r="DD17" s="80">
        <f t="shared" si="74"/>
        <v>-161369.54000000015</v>
      </c>
      <c r="DE17" s="80">
        <f t="shared" si="75"/>
        <v>454787.36</v>
      </c>
      <c r="DF17" s="80">
        <f t="shared" si="76"/>
        <v>-4620.048702702703</v>
      </c>
      <c r="DG17" s="80">
        <f t="shared" si="77"/>
        <v>-23.328243243243275</v>
      </c>
      <c r="DH17" s="80">
        <f t="shared" si="78"/>
        <v>1229.155027027027</v>
      </c>
      <c r="DI17" s="81">
        <f t="shared" si="79"/>
        <v>478.49121621621623</v>
      </c>
      <c r="DJ17" s="76">
        <f t="shared" si="80"/>
        <v>-594.4571351351354</v>
      </c>
      <c r="DK17" s="147">
        <f t="shared" si="46"/>
        <v>-1982369.22</v>
      </c>
      <c r="DL17" s="64"/>
      <c r="DM17" s="65"/>
    </row>
    <row r="18" spans="1:117" ht="12.75">
      <c r="A18" s="51" t="s">
        <v>11</v>
      </c>
      <c r="B18" s="46">
        <v>1079</v>
      </c>
      <c r="C18" s="38">
        <v>5014056</v>
      </c>
      <c r="D18" s="39">
        <v>4646.95</v>
      </c>
      <c r="E18" s="39">
        <v>130.02</v>
      </c>
      <c r="F18" s="128">
        <v>1</v>
      </c>
      <c r="G18" s="134">
        <v>582536</v>
      </c>
      <c r="H18" s="42">
        <v>456965</v>
      </c>
      <c r="I18" s="42">
        <v>37050</v>
      </c>
      <c r="J18" s="42">
        <v>0</v>
      </c>
      <c r="K18" s="42">
        <v>187000</v>
      </c>
      <c r="L18" s="42">
        <v>89863</v>
      </c>
      <c r="M18" s="43">
        <f t="shared" si="0"/>
        <v>276863</v>
      </c>
      <c r="N18" s="42">
        <v>0</v>
      </c>
      <c r="O18" s="42">
        <v>10766</v>
      </c>
      <c r="P18" s="42">
        <v>355713</v>
      </c>
      <c r="Q18" s="42">
        <v>517</v>
      </c>
      <c r="R18" s="42">
        <v>7475</v>
      </c>
      <c r="S18" s="42">
        <v>0</v>
      </c>
      <c r="T18" s="42">
        <v>0</v>
      </c>
      <c r="U18" s="42">
        <v>0</v>
      </c>
      <c r="V18" s="42">
        <v>0</v>
      </c>
      <c r="W18" s="43">
        <f t="shared" si="47"/>
        <v>7475</v>
      </c>
      <c r="X18" s="42">
        <v>464211</v>
      </c>
      <c r="Y18" s="43">
        <f t="shared" si="48"/>
        <v>2192096</v>
      </c>
      <c r="Z18" s="42">
        <v>522219</v>
      </c>
      <c r="AA18" s="42">
        <v>435795</v>
      </c>
      <c r="AB18" s="42">
        <v>1958</v>
      </c>
      <c r="AC18" s="42">
        <v>3150</v>
      </c>
      <c r="AD18" s="42">
        <v>0</v>
      </c>
      <c r="AE18" s="43">
        <f t="shared" si="49"/>
        <v>963122</v>
      </c>
      <c r="AF18" s="42">
        <v>15000</v>
      </c>
      <c r="AG18" s="42">
        <v>47827</v>
      </c>
      <c r="AH18" s="42">
        <v>0</v>
      </c>
      <c r="AI18" s="42">
        <v>459116</v>
      </c>
      <c r="AJ18" s="42">
        <v>86261</v>
      </c>
      <c r="AK18" s="42">
        <v>47754</v>
      </c>
      <c r="AL18" s="42">
        <v>39616</v>
      </c>
      <c r="AM18" s="42">
        <v>37000</v>
      </c>
      <c r="AN18" s="38">
        <v>30000</v>
      </c>
      <c r="AO18" s="38">
        <v>0</v>
      </c>
      <c r="AP18" s="38">
        <v>0</v>
      </c>
      <c r="AQ18" s="38">
        <v>0</v>
      </c>
      <c r="AR18" s="38">
        <v>0</v>
      </c>
      <c r="AS18" s="4">
        <f t="shared" si="50"/>
        <v>30000</v>
      </c>
      <c r="AT18" s="38">
        <v>464211</v>
      </c>
      <c r="AU18" s="4">
        <f t="shared" si="51"/>
        <v>2189907</v>
      </c>
      <c r="AV18" s="38">
        <v>0</v>
      </c>
      <c r="AW18" s="38">
        <v>2189</v>
      </c>
      <c r="AX18" s="144">
        <f t="shared" si="52"/>
        <v>0</v>
      </c>
      <c r="AY18" s="42">
        <v>0</v>
      </c>
      <c r="AZ18" s="42">
        <v>142077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3">
        <f t="shared" si="53"/>
        <v>142077</v>
      </c>
      <c r="BG18" s="42">
        <v>0</v>
      </c>
      <c r="BH18" s="42">
        <v>53014</v>
      </c>
      <c r="BI18" s="42">
        <v>0</v>
      </c>
      <c r="BJ18" s="42">
        <v>0</v>
      </c>
      <c r="BK18" s="42">
        <v>0</v>
      </c>
      <c r="BL18" s="42">
        <v>0</v>
      </c>
      <c r="BM18" s="42">
        <v>11200</v>
      </c>
      <c r="BN18" s="42">
        <v>0</v>
      </c>
      <c r="BO18" s="43">
        <f t="shared" si="54"/>
        <v>64214</v>
      </c>
      <c r="BP18" s="42">
        <v>64214</v>
      </c>
      <c r="BQ18" s="42">
        <v>0</v>
      </c>
      <c r="BR18" s="42">
        <v>142077</v>
      </c>
      <c r="BS18" s="143">
        <f t="shared" si="55"/>
        <v>0</v>
      </c>
      <c r="BT18" s="38">
        <v>3227361</v>
      </c>
      <c r="BU18" s="38">
        <v>1586008</v>
      </c>
      <c r="BV18" s="38">
        <v>0</v>
      </c>
      <c r="BW18" s="38">
        <v>0</v>
      </c>
      <c r="BX18" s="4">
        <f t="shared" si="56"/>
        <v>4813369</v>
      </c>
      <c r="BY18" s="38">
        <v>2187973</v>
      </c>
      <c r="BZ18" s="38">
        <v>1922252</v>
      </c>
      <c r="CA18" s="38">
        <v>703144</v>
      </c>
      <c r="CB18" s="4">
        <f t="shared" si="57"/>
        <v>4813369</v>
      </c>
      <c r="CC18" s="144">
        <f t="shared" si="58"/>
        <v>0</v>
      </c>
      <c r="CD18" s="74">
        <f t="shared" si="59"/>
        <v>274674</v>
      </c>
      <c r="CE18" s="76">
        <f t="shared" si="60"/>
        <v>252149</v>
      </c>
      <c r="CF18" s="76">
        <f t="shared" si="61"/>
        <v>77863</v>
      </c>
      <c r="CG18" s="76">
        <f t="shared" si="16"/>
        <v>1658696</v>
      </c>
      <c r="CH18" s="76">
        <f t="shared" si="62"/>
        <v>-10777</v>
      </c>
      <c r="CI18" s="37">
        <f t="shared" si="63"/>
        <v>176223</v>
      </c>
      <c r="CJ18" s="59">
        <f t="shared" si="36"/>
        <v>3.52765755236762</v>
      </c>
      <c r="CK18" s="59">
        <f t="shared" si="37"/>
        <v>3.238367388875332</v>
      </c>
      <c r="CL18" s="141">
        <f t="shared" si="38"/>
        <v>0.1655963479745535</v>
      </c>
      <c r="CM18" s="141">
        <f t="shared" si="39"/>
        <v>0.15201640324688792</v>
      </c>
      <c r="CN18" s="141">
        <f t="shared" si="40"/>
        <v>-0.0064972725562731206</v>
      </c>
      <c r="CO18" s="141">
        <f t="shared" si="41"/>
        <v>0.10624189122057327</v>
      </c>
      <c r="CP18" s="141">
        <f t="shared" si="42"/>
        <v>0.14862167052898456</v>
      </c>
      <c r="CQ18" s="141">
        <f t="shared" si="43"/>
        <v>0.10038268887110273</v>
      </c>
      <c r="CR18" s="142">
        <f t="shared" si="44"/>
        <v>4.122118271339565</v>
      </c>
      <c r="CS18" s="76">
        <f t="shared" si="45"/>
        <v>1039388</v>
      </c>
      <c r="CT18" s="80">
        <f t="shared" si="64"/>
        <v>1915233</v>
      </c>
      <c r="CU18" s="80">
        <f t="shared" si="65"/>
        <v>2189907</v>
      </c>
      <c r="CV18" s="80">
        <f t="shared" si="66"/>
        <v>274674</v>
      </c>
      <c r="CW18" s="80">
        <f t="shared" si="67"/>
        <v>0</v>
      </c>
      <c r="CX18" s="80">
        <f t="shared" si="68"/>
        <v>274674</v>
      </c>
      <c r="CY18" s="80">
        <f t="shared" si="69"/>
        <v>-2189</v>
      </c>
      <c r="CZ18" s="80">
        <f t="shared" si="70"/>
        <v>77863</v>
      </c>
      <c r="DA18" s="80">
        <f t="shared" si="71"/>
        <v>276863</v>
      </c>
      <c r="DB18" s="80">
        <f t="shared" si="72"/>
        <v>196811</v>
      </c>
      <c r="DC18" s="80">
        <f t="shared" si="73"/>
        <v>-341077</v>
      </c>
      <c r="DD18" s="80">
        <f t="shared" si="74"/>
        <v>-2189</v>
      </c>
      <c r="DE18" s="80">
        <f t="shared" si="75"/>
        <v>959972</v>
      </c>
      <c r="DF18" s="80">
        <f t="shared" si="76"/>
        <v>963.2882298424468</v>
      </c>
      <c r="DG18" s="80">
        <f t="shared" si="77"/>
        <v>-9.987951807228916</v>
      </c>
      <c r="DH18" s="80">
        <f t="shared" si="78"/>
        <v>889.6867469879518</v>
      </c>
      <c r="DI18" s="81">
        <f t="shared" si="79"/>
        <v>72.16218721037998</v>
      </c>
      <c r="DJ18" s="76">
        <f t="shared" si="80"/>
        <v>182.40129749768303</v>
      </c>
      <c r="DK18" s="147">
        <f t="shared" si="46"/>
        <v>-882864</v>
      </c>
      <c r="DL18" s="67"/>
      <c r="DM18" s="68"/>
    </row>
    <row r="19" spans="1:117" ht="12.75">
      <c r="A19" s="52" t="s">
        <v>35</v>
      </c>
      <c r="B19" s="41">
        <v>2984</v>
      </c>
      <c r="C19" s="4">
        <v>11634719</v>
      </c>
      <c r="D19" s="34">
        <v>3899.03</v>
      </c>
      <c r="E19" s="34">
        <v>109.09</v>
      </c>
      <c r="F19" s="8">
        <v>6</v>
      </c>
      <c r="G19" s="133">
        <v>1956053.15</v>
      </c>
      <c r="H19" s="43">
        <v>3223745.93</v>
      </c>
      <c r="I19" s="43">
        <v>22030.1</v>
      </c>
      <c r="J19" s="43">
        <v>8109.62</v>
      </c>
      <c r="K19" s="43">
        <v>991094</v>
      </c>
      <c r="L19" s="43">
        <v>319500</v>
      </c>
      <c r="M19" s="43">
        <f t="shared" si="0"/>
        <v>1310594</v>
      </c>
      <c r="N19" s="43">
        <v>0</v>
      </c>
      <c r="O19" s="43">
        <v>354236.65</v>
      </c>
      <c r="P19" s="43">
        <v>750471.15</v>
      </c>
      <c r="Q19" s="43">
        <v>1168.5</v>
      </c>
      <c r="R19" s="43">
        <v>233249.8</v>
      </c>
      <c r="S19" s="43">
        <v>27076.7</v>
      </c>
      <c r="T19" s="43">
        <v>0</v>
      </c>
      <c r="U19" s="43">
        <v>0</v>
      </c>
      <c r="V19" s="43">
        <v>0</v>
      </c>
      <c r="W19" s="43">
        <f t="shared" si="47"/>
        <v>260326.5</v>
      </c>
      <c r="X19" s="43">
        <v>1387212.9</v>
      </c>
      <c r="Y19" s="43">
        <f t="shared" si="48"/>
        <v>9273948.5</v>
      </c>
      <c r="Z19" s="43">
        <v>2959025.6</v>
      </c>
      <c r="AA19" s="43">
        <v>82796.6</v>
      </c>
      <c r="AB19" s="43">
        <v>28128.25</v>
      </c>
      <c r="AC19" s="43">
        <v>0</v>
      </c>
      <c r="AD19" s="43">
        <v>21002.85</v>
      </c>
      <c r="AE19" s="43">
        <f t="shared" si="49"/>
        <v>3090953.3000000003</v>
      </c>
      <c r="AF19" s="43">
        <v>0</v>
      </c>
      <c r="AG19" s="43">
        <v>104843.25</v>
      </c>
      <c r="AH19" s="43">
        <v>33855.05</v>
      </c>
      <c r="AI19" s="43">
        <v>4333158.83</v>
      </c>
      <c r="AJ19" s="43">
        <v>35049.65</v>
      </c>
      <c r="AK19" s="43">
        <v>129902.8</v>
      </c>
      <c r="AL19" s="43">
        <v>175164.65</v>
      </c>
      <c r="AM19" s="43">
        <v>1168.5</v>
      </c>
      <c r="AN19" s="4">
        <v>31757.13</v>
      </c>
      <c r="AO19" s="4">
        <v>0</v>
      </c>
      <c r="AP19" s="4">
        <v>0</v>
      </c>
      <c r="AQ19" s="4">
        <v>0</v>
      </c>
      <c r="AR19" s="4">
        <v>0</v>
      </c>
      <c r="AS19" s="4">
        <f t="shared" si="50"/>
        <v>31757.13</v>
      </c>
      <c r="AT19" s="4">
        <v>1387212.9</v>
      </c>
      <c r="AU19" s="4">
        <f t="shared" si="51"/>
        <v>9289211.010000002</v>
      </c>
      <c r="AV19" s="4">
        <v>15262.51</v>
      </c>
      <c r="AW19" s="4">
        <v>0</v>
      </c>
      <c r="AX19" s="4">
        <f t="shared" si="52"/>
        <v>-1.6389094525948167E-09</v>
      </c>
      <c r="AY19" s="43">
        <v>25225.95</v>
      </c>
      <c r="AZ19" s="43">
        <v>1059956.25</v>
      </c>
      <c r="BA19" s="43">
        <v>0</v>
      </c>
      <c r="BB19" s="43">
        <v>14065</v>
      </c>
      <c r="BC19" s="43">
        <v>535335</v>
      </c>
      <c r="BD19" s="43">
        <v>0</v>
      </c>
      <c r="BE19" s="43">
        <v>144459.85</v>
      </c>
      <c r="BF19" s="43">
        <f t="shared" si="53"/>
        <v>1753816.1</v>
      </c>
      <c r="BG19" s="43">
        <v>0</v>
      </c>
      <c r="BH19" s="43">
        <v>240341.7</v>
      </c>
      <c r="BI19" s="43">
        <v>0</v>
      </c>
      <c r="BJ19" s="43">
        <v>0</v>
      </c>
      <c r="BK19" s="43">
        <v>0</v>
      </c>
      <c r="BL19" s="43">
        <v>0</v>
      </c>
      <c r="BM19" s="43">
        <v>0</v>
      </c>
      <c r="BN19" s="43">
        <v>0</v>
      </c>
      <c r="BO19" s="43">
        <f t="shared" si="54"/>
        <v>240341.7</v>
      </c>
      <c r="BP19" s="43">
        <v>226276.7</v>
      </c>
      <c r="BQ19" s="43">
        <v>0</v>
      </c>
      <c r="BR19" s="43">
        <v>1739751.1</v>
      </c>
      <c r="BS19" s="43">
        <f t="shared" si="55"/>
        <v>0</v>
      </c>
      <c r="BT19" s="4">
        <v>5938060.43</v>
      </c>
      <c r="BU19" s="4">
        <v>6141262.38</v>
      </c>
      <c r="BV19" s="4">
        <v>0</v>
      </c>
      <c r="BW19" s="4">
        <v>0</v>
      </c>
      <c r="BX19" s="4">
        <f t="shared" si="56"/>
        <v>12079322.809999999</v>
      </c>
      <c r="BY19" s="4">
        <v>2380092.09</v>
      </c>
      <c r="BZ19" s="4">
        <v>6605063.74</v>
      </c>
      <c r="CA19" s="4">
        <v>3094166.98</v>
      </c>
      <c r="CB19" s="4">
        <f t="shared" si="57"/>
        <v>12079322.81</v>
      </c>
      <c r="CC19" s="4">
        <f t="shared" si="58"/>
        <v>0</v>
      </c>
      <c r="CD19" s="74">
        <f t="shared" si="59"/>
        <v>1325856.51</v>
      </c>
      <c r="CE19" s="76">
        <f t="shared" si="60"/>
        <v>1554425.8800000001</v>
      </c>
      <c r="CF19" s="76">
        <f t="shared" si="61"/>
        <v>1513474.4000000001</v>
      </c>
      <c r="CG19" s="76">
        <f t="shared" si="16"/>
        <v>7869072.480000001</v>
      </c>
      <c r="CH19" s="76">
        <f t="shared" si="62"/>
        <v>-23732.149999999994</v>
      </c>
      <c r="CI19" s="37">
        <f t="shared" si="63"/>
        <v>967361.85</v>
      </c>
      <c r="CJ19" s="59">
        <f t="shared" si="36"/>
        <v>0.876034976211028</v>
      </c>
      <c r="CK19" s="59">
        <f t="shared" si="37"/>
        <v>1.0270579271112878</v>
      </c>
      <c r="CL19" s="141">
        <f t="shared" si="38"/>
        <v>0.16848955367608964</v>
      </c>
      <c r="CM19" s="141">
        <f t="shared" si="39"/>
        <v>0.19753609894313742</v>
      </c>
      <c r="CN19" s="141">
        <f t="shared" si="40"/>
        <v>-0.003015876402246582</v>
      </c>
      <c r="CO19" s="141">
        <f t="shared" si="41"/>
        <v>0.12293213113218139</v>
      </c>
      <c r="CP19" s="141">
        <f t="shared" si="42"/>
        <v>0.17587483348679353</v>
      </c>
      <c r="CQ19" s="141">
        <f t="shared" si="43"/>
        <v>0.13299961103115088</v>
      </c>
      <c r="CR19" s="142">
        <f t="shared" si="44"/>
        <v>2.288927626449451</v>
      </c>
      <c r="CS19" s="76">
        <f t="shared" si="45"/>
        <v>3557968.34</v>
      </c>
      <c r="CT19" s="80">
        <f t="shared" si="64"/>
        <v>7963354.5</v>
      </c>
      <c r="CU19" s="80">
        <f t="shared" si="65"/>
        <v>9289211.010000002</v>
      </c>
      <c r="CV19" s="80">
        <f t="shared" si="66"/>
        <v>1325856.5100000016</v>
      </c>
      <c r="CW19" s="80">
        <f t="shared" si="67"/>
        <v>0</v>
      </c>
      <c r="CX19" s="80">
        <f t="shared" si="68"/>
        <v>1325856.5100000016</v>
      </c>
      <c r="CY19" s="80">
        <f t="shared" si="69"/>
        <v>15262.51000000164</v>
      </c>
      <c r="CZ19" s="80">
        <f t="shared" si="70"/>
        <v>1513474.4000000001</v>
      </c>
      <c r="DA19" s="80">
        <f t="shared" si="71"/>
        <v>1310594</v>
      </c>
      <c r="DB19" s="80">
        <f t="shared" si="72"/>
        <v>-187617.8899999985</v>
      </c>
      <c r="DC19" s="80">
        <f t="shared" si="73"/>
        <v>-1536870.7</v>
      </c>
      <c r="DD19" s="80">
        <f t="shared" si="74"/>
        <v>15262.51000000164</v>
      </c>
      <c r="DE19" s="80">
        <f t="shared" si="75"/>
        <v>3069950.45</v>
      </c>
      <c r="DF19" s="80">
        <f t="shared" si="76"/>
        <v>1192.3486394101876</v>
      </c>
      <c r="DG19" s="80">
        <f t="shared" si="77"/>
        <v>-7.9531333780160836</v>
      </c>
      <c r="DH19" s="80">
        <f t="shared" si="78"/>
        <v>1028.8037701072387</v>
      </c>
      <c r="DI19" s="81">
        <f t="shared" si="79"/>
        <v>507.1965147453084</v>
      </c>
      <c r="DJ19" s="76">
        <f t="shared" si="80"/>
        <v>-62.87462801608529</v>
      </c>
      <c r="DK19" s="147">
        <f t="shared" si="46"/>
        <v>-3047095.4</v>
      </c>
      <c r="DL19" s="64"/>
      <c r="DM19" s="65"/>
    </row>
    <row r="20" spans="1:117" ht="12.75">
      <c r="A20" s="51" t="s">
        <v>12</v>
      </c>
      <c r="B20" s="46">
        <v>440</v>
      </c>
      <c r="C20" s="38">
        <v>1573282</v>
      </c>
      <c r="D20" s="39">
        <v>3575.64</v>
      </c>
      <c r="E20" s="39">
        <v>100.05</v>
      </c>
      <c r="F20" s="128">
        <v>8</v>
      </c>
      <c r="G20" s="134">
        <v>360390.55</v>
      </c>
      <c r="H20" s="42">
        <v>357903</v>
      </c>
      <c r="I20" s="42">
        <v>13451.3</v>
      </c>
      <c r="J20" s="42">
        <v>413.2</v>
      </c>
      <c r="K20" s="42">
        <v>221250.55</v>
      </c>
      <c r="L20" s="42">
        <v>0</v>
      </c>
      <c r="M20" s="43">
        <f t="shared" si="0"/>
        <v>221250.55</v>
      </c>
      <c r="N20" s="42">
        <v>0</v>
      </c>
      <c r="O20" s="42">
        <v>101250.85</v>
      </c>
      <c r="P20" s="42">
        <v>118424.45</v>
      </c>
      <c r="Q20" s="42">
        <v>0</v>
      </c>
      <c r="R20" s="42">
        <v>5291.95</v>
      </c>
      <c r="S20" s="42">
        <v>0</v>
      </c>
      <c r="T20" s="42">
        <v>60000</v>
      </c>
      <c r="U20" s="42">
        <v>0</v>
      </c>
      <c r="V20" s="42">
        <v>0</v>
      </c>
      <c r="W20" s="43">
        <f t="shared" si="47"/>
        <v>65291.95</v>
      </c>
      <c r="X20" s="42">
        <v>338993.9</v>
      </c>
      <c r="Y20" s="43">
        <f t="shared" si="48"/>
        <v>1577369.75</v>
      </c>
      <c r="Z20" s="42">
        <v>454121</v>
      </c>
      <c r="AA20" s="42">
        <v>12367.55</v>
      </c>
      <c r="AB20" s="42">
        <v>3567.5</v>
      </c>
      <c r="AC20" s="42">
        <v>0</v>
      </c>
      <c r="AD20" s="42">
        <v>1600</v>
      </c>
      <c r="AE20" s="43">
        <f t="shared" si="49"/>
        <v>471656.05</v>
      </c>
      <c r="AF20" s="42">
        <v>0</v>
      </c>
      <c r="AG20" s="42">
        <v>274250.75</v>
      </c>
      <c r="AH20" s="42">
        <v>0</v>
      </c>
      <c r="AI20" s="42">
        <v>345357.85</v>
      </c>
      <c r="AJ20" s="42">
        <v>7497.35</v>
      </c>
      <c r="AK20" s="42">
        <v>29317.2</v>
      </c>
      <c r="AL20" s="42">
        <v>50359.5</v>
      </c>
      <c r="AM20" s="42">
        <v>0</v>
      </c>
      <c r="AN20" s="38">
        <v>52336.2</v>
      </c>
      <c r="AO20" s="38">
        <v>0</v>
      </c>
      <c r="AP20" s="38">
        <v>0</v>
      </c>
      <c r="AQ20" s="38">
        <v>0</v>
      </c>
      <c r="AR20" s="38">
        <v>0</v>
      </c>
      <c r="AS20" s="4">
        <f t="shared" si="50"/>
        <v>52336.2</v>
      </c>
      <c r="AT20" s="38">
        <v>357805.9</v>
      </c>
      <c r="AU20" s="4">
        <f t="shared" si="51"/>
        <v>1588580.8000000003</v>
      </c>
      <c r="AV20" s="38">
        <v>11211.05</v>
      </c>
      <c r="AW20" s="38">
        <v>0</v>
      </c>
      <c r="AX20" s="144">
        <f t="shared" si="52"/>
        <v>-2.801243681460619E-10</v>
      </c>
      <c r="AY20" s="42">
        <v>0</v>
      </c>
      <c r="AZ20" s="42">
        <v>643019.9</v>
      </c>
      <c r="BA20" s="42">
        <v>0</v>
      </c>
      <c r="BB20" s="42">
        <v>0</v>
      </c>
      <c r="BC20" s="42">
        <v>87083.2</v>
      </c>
      <c r="BD20" s="42">
        <v>0</v>
      </c>
      <c r="BE20" s="42">
        <v>0</v>
      </c>
      <c r="BF20" s="43">
        <f t="shared" si="53"/>
        <v>730103.1</v>
      </c>
      <c r="BG20" s="42">
        <v>0</v>
      </c>
      <c r="BH20" s="42">
        <v>0</v>
      </c>
      <c r="BI20" s="42">
        <v>0</v>
      </c>
      <c r="BJ20" s="42">
        <v>0</v>
      </c>
      <c r="BK20" s="42">
        <v>0</v>
      </c>
      <c r="BL20" s="42">
        <v>178310.9</v>
      </c>
      <c r="BM20" s="42">
        <v>387747.5</v>
      </c>
      <c r="BN20" s="42">
        <v>0</v>
      </c>
      <c r="BO20" s="43">
        <f t="shared" si="54"/>
        <v>566058.4</v>
      </c>
      <c r="BP20" s="42">
        <v>566058.4</v>
      </c>
      <c r="BQ20" s="42">
        <v>0</v>
      </c>
      <c r="BR20" s="42">
        <v>730103.1</v>
      </c>
      <c r="BS20" s="143">
        <f t="shared" si="55"/>
        <v>0</v>
      </c>
      <c r="BT20" s="38">
        <v>2258699.17</v>
      </c>
      <c r="BU20" s="38">
        <v>909751.45</v>
      </c>
      <c r="BV20" s="38">
        <v>0</v>
      </c>
      <c r="BW20" s="38">
        <v>0</v>
      </c>
      <c r="BX20" s="4">
        <f t="shared" si="56"/>
        <v>3168450.62</v>
      </c>
      <c r="BY20" s="38">
        <v>2018301.9</v>
      </c>
      <c r="BZ20" s="38">
        <v>543207.9</v>
      </c>
      <c r="CA20" s="38">
        <v>606940.82</v>
      </c>
      <c r="CB20" s="4">
        <f t="shared" si="57"/>
        <v>3168450.6199999996</v>
      </c>
      <c r="CC20" s="144">
        <f t="shared" si="58"/>
        <v>0</v>
      </c>
      <c r="CD20" s="74">
        <f t="shared" si="59"/>
        <v>232461.59999999998</v>
      </c>
      <c r="CE20" s="76">
        <f t="shared" si="60"/>
        <v>245417.34999999998</v>
      </c>
      <c r="CF20" s="76">
        <f t="shared" si="61"/>
        <v>164044.69999999995</v>
      </c>
      <c r="CG20" s="76">
        <f t="shared" si="16"/>
        <v>1178438.7000000004</v>
      </c>
      <c r="CH20" s="76">
        <f t="shared" si="62"/>
        <v>-260799.45</v>
      </c>
      <c r="CI20" s="37">
        <f t="shared" si="63"/>
        <v>-39548.90000000002</v>
      </c>
      <c r="CJ20" s="59">
        <f t="shared" si="36"/>
        <v>1.4170625445381657</v>
      </c>
      <c r="CK20" s="59">
        <f t="shared" si="37"/>
        <v>1.496039494113495</v>
      </c>
      <c r="CL20" s="141">
        <f t="shared" si="38"/>
        <v>0.1972623607829579</v>
      </c>
      <c r="CM20" s="141">
        <f t="shared" si="39"/>
        <v>0.20825635648252208</v>
      </c>
      <c r="CN20" s="141">
        <f t="shared" si="40"/>
        <v>-0.22130930526976067</v>
      </c>
      <c r="CO20" s="141">
        <f t="shared" si="41"/>
        <v>-0.033560421937942134</v>
      </c>
      <c r="CP20" s="141">
        <f t="shared" si="42"/>
        <v>0.19562348254026074</v>
      </c>
      <c r="CQ20" s="141">
        <f t="shared" si="43"/>
        <v>0.19562348254026074</v>
      </c>
      <c r="CR20" s="142">
        <f t="shared" si="44"/>
        <v>0.9795447224900767</v>
      </c>
      <c r="CS20" s="76">
        <f t="shared" si="45"/>
        <v>240397.27000000002</v>
      </c>
      <c r="CT20" s="80">
        <f t="shared" si="64"/>
        <v>1356119.2</v>
      </c>
      <c r="CU20" s="80">
        <f t="shared" si="65"/>
        <v>1588580.8000000003</v>
      </c>
      <c r="CV20" s="80">
        <f t="shared" si="66"/>
        <v>232461.60000000033</v>
      </c>
      <c r="CW20" s="80">
        <f t="shared" si="67"/>
        <v>0</v>
      </c>
      <c r="CX20" s="80">
        <f t="shared" si="68"/>
        <v>232461.60000000033</v>
      </c>
      <c r="CY20" s="80">
        <f t="shared" si="69"/>
        <v>11211.050000000338</v>
      </c>
      <c r="CZ20" s="80">
        <f t="shared" si="70"/>
        <v>164044.69999999995</v>
      </c>
      <c r="DA20" s="80">
        <f t="shared" si="71"/>
        <v>221250.55</v>
      </c>
      <c r="DB20" s="80">
        <f t="shared" si="72"/>
        <v>68416.90000000037</v>
      </c>
      <c r="DC20" s="80">
        <f t="shared" si="73"/>
        <v>-787308.95</v>
      </c>
      <c r="DD20" s="80">
        <f t="shared" si="74"/>
        <v>11211.050000000396</v>
      </c>
      <c r="DE20" s="80">
        <f t="shared" si="75"/>
        <v>470056.05</v>
      </c>
      <c r="DF20" s="80">
        <f t="shared" si="76"/>
        <v>546.3574318181819</v>
      </c>
      <c r="DG20" s="80">
        <f t="shared" si="77"/>
        <v>-592.7260227272727</v>
      </c>
      <c r="DH20" s="80">
        <f t="shared" si="78"/>
        <v>1068.3092045454546</v>
      </c>
      <c r="DI20" s="81">
        <f t="shared" si="79"/>
        <v>372.8288636363635</v>
      </c>
      <c r="DJ20" s="76">
        <f t="shared" si="80"/>
        <v>155.4929545454554</v>
      </c>
      <c r="DK20" s="147">
        <f t="shared" si="46"/>
        <v>-302810.63</v>
      </c>
      <c r="DL20" s="67"/>
      <c r="DM20" s="68"/>
    </row>
    <row r="21" spans="1:117" ht="12.75">
      <c r="A21" s="52" t="s">
        <v>13</v>
      </c>
      <c r="B21" s="41">
        <v>3980</v>
      </c>
      <c r="C21" s="4">
        <v>16451699</v>
      </c>
      <c r="D21" s="34">
        <v>4133.59</v>
      </c>
      <c r="E21" s="34">
        <v>115.66</v>
      </c>
      <c r="F21" s="8">
        <v>4</v>
      </c>
      <c r="G21" s="133">
        <v>2385008.65</v>
      </c>
      <c r="H21" s="43">
        <v>2395119.64</v>
      </c>
      <c r="I21" s="43">
        <v>285610.2</v>
      </c>
      <c r="J21" s="43">
        <v>2457.18</v>
      </c>
      <c r="K21" s="43">
        <v>1240387.85</v>
      </c>
      <c r="L21" s="43">
        <v>0</v>
      </c>
      <c r="M21" s="43">
        <f t="shared" si="0"/>
        <v>1240387.85</v>
      </c>
      <c r="N21" s="43">
        <v>0</v>
      </c>
      <c r="O21" s="43">
        <v>401820.06</v>
      </c>
      <c r="P21" s="43">
        <v>1029144.05</v>
      </c>
      <c r="Q21" s="43">
        <v>138587.4</v>
      </c>
      <c r="R21" s="43">
        <v>141398.66</v>
      </c>
      <c r="S21" s="43">
        <v>0</v>
      </c>
      <c r="T21" s="43">
        <v>0</v>
      </c>
      <c r="U21" s="43">
        <v>0</v>
      </c>
      <c r="V21" s="43">
        <v>0</v>
      </c>
      <c r="W21" s="43">
        <f t="shared" si="47"/>
        <v>141398.66</v>
      </c>
      <c r="X21" s="43">
        <v>2546889.5</v>
      </c>
      <c r="Y21" s="43">
        <f t="shared" si="48"/>
        <v>10566423.19</v>
      </c>
      <c r="Z21" s="43">
        <v>3008782.9</v>
      </c>
      <c r="AA21" s="43">
        <v>880372.2</v>
      </c>
      <c r="AB21" s="43">
        <v>51587</v>
      </c>
      <c r="AC21" s="43">
        <v>0</v>
      </c>
      <c r="AD21" s="43">
        <v>18910</v>
      </c>
      <c r="AE21" s="43">
        <f t="shared" si="49"/>
        <v>3959652.0999999996</v>
      </c>
      <c r="AF21" s="43">
        <v>136600</v>
      </c>
      <c r="AG21" s="43">
        <v>473167.9</v>
      </c>
      <c r="AH21" s="43">
        <v>0</v>
      </c>
      <c r="AI21" s="43">
        <v>2361108.28</v>
      </c>
      <c r="AJ21" s="43">
        <v>53846.75</v>
      </c>
      <c r="AK21" s="43">
        <v>229828.15</v>
      </c>
      <c r="AL21" s="43">
        <v>505694.3</v>
      </c>
      <c r="AM21" s="43">
        <v>138587.4</v>
      </c>
      <c r="AN21" s="4">
        <v>102021.88</v>
      </c>
      <c r="AO21" s="4">
        <v>18341.45</v>
      </c>
      <c r="AP21" s="4">
        <v>0</v>
      </c>
      <c r="AQ21" s="4">
        <v>0</v>
      </c>
      <c r="AR21" s="4">
        <v>0</v>
      </c>
      <c r="AS21" s="4">
        <f t="shared" si="50"/>
        <v>120363.33</v>
      </c>
      <c r="AT21" s="4">
        <v>2546889.5</v>
      </c>
      <c r="AU21" s="4">
        <f t="shared" si="51"/>
        <v>10525737.71</v>
      </c>
      <c r="AV21" s="4">
        <v>0</v>
      </c>
      <c r="AW21" s="4">
        <v>40685.48</v>
      </c>
      <c r="AX21" s="144">
        <f t="shared" si="52"/>
        <v>-1.418811734765768E-09</v>
      </c>
      <c r="AY21" s="43">
        <v>120622.57</v>
      </c>
      <c r="AZ21" s="43">
        <v>2167192.5</v>
      </c>
      <c r="BA21" s="43">
        <v>1289000</v>
      </c>
      <c r="BB21" s="43">
        <v>0</v>
      </c>
      <c r="BC21" s="43">
        <v>0</v>
      </c>
      <c r="BD21" s="43">
        <v>0</v>
      </c>
      <c r="BE21" s="43">
        <v>0</v>
      </c>
      <c r="BF21" s="43">
        <f t="shared" si="53"/>
        <v>3456192.5</v>
      </c>
      <c r="BG21" s="43">
        <v>0</v>
      </c>
      <c r="BH21" s="43">
        <v>38817.2</v>
      </c>
      <c r="BI21" s="43">
        <v>0</v>
      </c>
      <c r="BJ21" s="43">
        <v>0</v>
      </c>
      <c r="BK21" s="43">
        <v>0</v>
      </c>
      <c r="BL21" s="43">
        <v>60779.35</v>
      </c>
      <c r="BM21" s="43">
        <v>551280.3</v>
      </c>
      <c r="BN21" s="43">
        <v>0</v>
      </c>
      <c r="BO21" s="43">
        <f t="shared" si="54"/>
        <v>650876.8500000001</v>
      </c>
      <c r="BP21" s="43">
        <v>650876.85</v>
      </c>
      <c r="BQ21" s="43">
        <v>0</v>
      </c>
      <c r="BR21" s="43">
        <v>3456192.5</v>
      </c>
      <c r="BS21" s="143">
        <f t="shared" si="55"/>
        <v>0</v>
      </c>
      <c r="BT21" s="4">
        <v>7525045.79</v>
      </c>
      <c r="BU21" s="4">
        <v>13830192.7</v>
      </c>
      <c r="BV21" s="4">
        <v>273099.04</v>
      </c>
      <c r="BW21" s="4">
        <v>0</v>
      </c>
      <c r="BX21" s="4">
        <f t="shared" si="56"/>
        <v>21628337.529999997</v>
      </c>
      <c r="BY21" s="4">
        <v>12237601.83</v>
      </c>
      <c r="BZ21" s="4">
        <v>2538983.24</v>
      </c>
      <c r="CA21" s="4">
        <v>6851752.46</v>
      </c>
      <c r="CB21" s="4">
        <f t="shared" si="57"/>
        <v>21628337.53</v>
      </c>
      <c r="CC21" s="144">
        <f t="shared" si="58"/>
        <v>0</v>
      </c>
      <c r="CD21" s="74">
        <f t="shared" si="59"/>
        <v>1199702.37</v>
      </c>
      <c r="CE21" s="76">
        <f t="shared" si="60"/>
        <v>1220737.7</v>
      </c>
      <c r="CF21" s="76">
        <f t="shared" si="61"/>
        <v>2805315.65</v>
      </c>
      <c r="CG21" s="76">
        <f t="shared" si="16"/>
        <v>7719897.48</v>
      </c>
      <c r="CH21" s="76">
        <f t="shared" si="62"/>
        <v>-66935.13</v>
      </c>
      <c r="CI21" s="37">
        <f t="shared" si="63"/>
        <v>1173452.7200000002</v>
      </c>
      <c r="CJ21" s="59">
        <f t="shared" si="36"/>
        <v>0.42765325534757564</v>
      </c>
      <c r="CK21" s="59">
        <f t="shared" si="37"/>
        <v>0.43515163792709033</v>
      </c>
      <c r="CL21" s="141">
        <f t="shared" si="38"/>
        <v>0.15540392513088142</v>
      </c>
      <c r="CM21" s="141">
        <f t="shared" si="39"/>
        <v>0.15812874499468094</v>
      </c>
      <c r="CN21" s="141">
        <f t="shared" si="40"/>
        <v>-0.00867046876897127</v>
      </c>
      <c r="CO21" s="141">
        <f t="shared" si="41"/>
        <v>0.15200366624557818</v>
      </c>
      <c r="CP21" s="141">
        <f t="shared" si="42"/>
        <v>0.08230524669469354</v>
      </c>
      <c r="CQ21" s="141">
        <f t="shared" si="43"/>
        <v>0.08230524669469354</v>
      </c>
      <c r="CR21" s="142">
        <f t="shared" si="44"/>
        <v>-3.8604165661468475</v>
      </c>
      <c r="CS21" s="76">
        <f t="shared" si="45"/>
        <v>-4712556.04</v>
      </c>
      <c r="CT21" s="80">
        <f t="shared" si="64"/>
        <v>9326035.34</v>
      </c>
      <c r="CU21" s="80">
        <f t="shared" si="65"/>
        <v>10525737.71</v>
      </c>
      <c r="CV21" s="80">
        <f t="shared" si="66"/>
        <v>1199702.370000001</v>
      </c>
      <c r="CW21" s="80">
        <f t="shared" si="67"/>
        <v>0</v>
      </c>
      <c r="CX21" s="80">
        <f t="shared" si="68"/>
        <v>1199702.370000001</v>
      </c>
      <c r="CY21" s="80">
        <f t="shared" si="69"/>
        <v>-40685.47999999905</v>
      </c>
      <c r="CZ21" s="80">
        <f t="shared" si="70"/>
        <v>2805315.65</v>
      </c>
      <c r="DA21" s="80">
        <f t="shared" si="71"/>
        <v>1240387.85</v>
      </c>
      <c r="DB21" s="80">
        <f t="shared" si="72"/>
        <v>-1605613.2799999989</v>
      </c>
      <c r="DC21" s="80">
        <f t="shared" si="73"/>
        <v>-1891264.7000000002</v>
      </c>
      <c r="DD21" s="80">
        <f t="shared" si="74"/>
        <v>-40685.47999999905</v>
      </c>
      <c r="DE21" s="80">
        <f t="shared" si="75"/>
        <v>3940742.0999999996</v>
      </c>
      <c r="DF21" s="80">
        <f t="shared" si="76"/>
        <v>-1184.0593065326634</v>
      </c>
      <c r="DG21" s="80">
        <f t="shared" si="77"/>
        <v>-16.817871859296485</v>
      </c>
      <c r="DH21" s="80">
        <f t="shared" si="78"/>
        <v>990.1362060301507</v>
      </c>
      <c r="DI21" s="81">
        <f t="shared" si="79"/>
        <v>704.8531783919598</v>
      </c>
      <c r="DJ21" s="76">
        <f t="shared" si="80"/>
        <v>-403.42042211055247</v>
      </c>
      <c r="DK21" s="147">
        <f t="shared" si="46"/>
        <v>-6978440.239999999</v>
      </c>
      <c r="DL21" s="64"/>
      <c r="DM21" s="65"/>
    </row>
    <row r="22" spans="1:117" ht="12.75">
      <c r="A22" s="51" t="s">
        <v>14</v>
      </c>
      <c r="B22" s="46">
        <v>2833</v>
      </c>
      <c r="C22" s="38">
        <v>9848677</v>
      </c>
      <c r="D22" s="39">
        <v>3476.41</v>
      </c>
      <c r="E22" s="39">
        <v>97.27</v>
      </c>
      <c r="F22" s="128">
        <v>3</v>
      </c>
      <c r="G22" s="134">
        <v>1841154.55</v>
      </c>
      <c r="H22" s="42">
        <v>5675315.09</v>
      </c>
      <c r="I22" s="42">
        <v>82063.9</v>
      </c>
      <c r="J22" s="42">
        <v>200000</v>
      </c>
      <c r="K22" s="42">
        <v>496211.75</v>
      </c>
      <c r="L22" s="42">
        <v>156146.6</v>
      </c>
      <c r="M22" s="43">
        <f t="shared" si="0"/>
        <v>652358.35</v>
      </c>
      <c r="N22" s="42">
        <v>150000</v>
      </c>
      <c r="O22" s="42">
        <v>351224.55</v>
      </c>
      <c r="P22" s="42">
        <v>1078462.8</v>
      </c>
      <c r="Q22" s="42">
        <v>153</v>
      </c>
      <c r="R22" s="42">
        <v>274408.2</v>
      </c>
      <c r="S22" s="42">
        <v>17822.2</v>
      </c>
      <c r="T22" s="42">
        <v>0</v>
      </c>
      <c r="U22" s="42">
        <v>0</v>
      </c>
      <c r="V22" s="42">
        <v>0</v>
      </c>
      <c r="W22" s="43">
        <f t="shared" si="47"/>
        <v>292230.4</v>
      </c>
      <c r="X22" s="42">
        <v>836621.1</v>
      </c>
      <c r="Y22" s="43">
        <f t="shared" si="48"/>
        <v>11159583.74</v>
      </c>
      <c r="Z22" s="42">
        <v>2171081.2</v>
      </c>
      <c r="AA22" s="42">
        <v>261046.5</v>
      </c>
      <c r="AB22" s="42">
        <v>13287.25</v>
      </c>
      <c r="AC22" s="42">
        <v>0</v>
      </c>
      <c r="AD22" s="42">
        <v>11245</v>
      </c>
      <c r="AE22" s="43">
        <f t="shared" si="49"/>
        <v>2456659.95</v>
      </c>
      <c r="AF22" s="42">
        <v>51717.95</v>
      </c>
      <c r="AG22" s="42">
        <v>717553.3</v>
      </c>
      <c r="AH22" s="42">
        <v>200000</v>
      </c>
      <c r="AI22" s="42">
        <v>6800740.79</v>
      </c>
      <c r="AJ22" s="42">
        <v>33152.2</v>
      </c>
      <c r="AK22" s="42">
        <v>59480</v>
      </c>
      <c r="AL22" s="42">
        <v>136953.95</v>
      </c>
      <c r="AM22" s="42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4">
        <f t="shared" si="50"/>
        <v>0</v>
      </c>
      <c r="AT22" s="38">
        <v>836621.1</v>
      </c>
      <c r="AU22" s="4">
        <f t="shared" si="51"/>
        <v>11092879.239999998</v>
      </c>
      <c r="AV22" s="38">
        <v>0</v>
      </c>
      <c r="AW22" s="38">
        <v>66704.5</v>
      </c>
      <c r="AX22" s="144">
        <f t="shared" si="52"/>
        <v>1.862645149230957E-09</v>
      </c>
      <c r="AY22" s="42">
        <v>117810.5</v>
      </c>
      <c r="AZ22" s="42">
        <v>213559.3</v>
      </c>
      <c r="BA22" s="42">
        <v>0</v>
      </c>
      <c r="BB22" s="42">
        <v>12066</v>
      </c>
      <c r="BC22" s="42">
        <v>0</v>
      </c>
      <c r="BD22" s="42">
        <v>0</v>
      </c>
      <c r="BE22" s="42">
        <v>101000</v>
      </c>
      <c r="BF22" s="43">
        <f t="shared" si="53"/>
        <v>326625.3</v>
      </c>
      <c r="BG22" s="42">
        <v>0</v>
      </c>
      <c r="BH22" s="42">
        <v>12066</v>
      </c>
      <c r="BI22" s="42">
        <v>0</v>
      </c>
      <c r="BJ22" s="42">
        <v>0</v>
      </c>
      <c r="BK22" s="42">
        <v>0</v>
      </c>
      <c r="BL22" s="42">
        <v>0</v>
      </c>
      <c r="BM22" s="42">
        <v>0</v>
      </c>
      <c r="BN22" s="42">
        <v>0</v>
      </c>
      <c r="BO22" s="43">
        <f t="shared" si="54"/>
        <v>12066</v>
      </c>
      <c r="BP22" s="42">
        <v>12066</v>
      </c>
      <c r="BQ22" s="42">
        <v>0</v>
      </c>
      <c r="BR22" s="42">
        <v>326625.3</v>
      </c>
      <c r="BS22" s="143">
        <f t="shared" si="55"/>
        <v>0</v>
      </c>
      <c r="BT22" s="38">
        <v>7769943.23</v>
      </c>
      <c r="BU22" s="38">
        <v>4038963.9</v>
      </c>
      <c r="BV22" s="38">
        <v>39137.45</v>
      </c>
      <c r="BW22" s="38">
        <v>0</v>
      </c>
      <c r="BX22" s="4">
        <f t="shared" si="56"/>
        <v>11848044.58</v>
      </c>
      <c r="BY22" s="38">
        <v>6797001.4</v>
      </c>
      <c r="BZ22" s="38">
        <v>1093340.86</v>
      </c>
      <c r="CA22" s="38">
        <v>3957702.32</v>
      </c>
      <c r="CB22" s="4">
        <f t="shared" si="57"/>
        <v>11848044.58</v>
      </c>
      <c r="CC22" s="144">
        <f t="shared" si="58"/>
        <v>0</v>
      </c>
      <c r="CD22" s="74">
        <f t="shared" si="59"/>
        <v>585653.85</v>
      </c>
      <c r="CE22" s="76">
        <f t="shared" si="60"/>
        <v>877884.25</v>
      </c>
      <c r="CF22" s="76">
        <f t="shared" si="61"/>
        <v>314559.3</v>
      </c>
      <c r="CG22" s="76">
        <f t="shared" si="16"/>
        <v>10256258.139999999</v>
      </c>
      <c r="CH22" s="76">
        <f t="shared" si="62"/>
        <v>-317678.9</v>
      </c>
      <c r="CI22" s="37">
        <f t="shared" si="63"/>
        <v>178532.84999999998</v>
      </c>
      <c r="CJ22" s="59">
        <f t="shared" si="36"/>
        <v>1.861823350954812</v>
      </c>
      <c r="CK22" s="59">
        <f t="shared" si="37"/>
        <v>2.7908386431429624</v>
      </c>
      <c r="CL22" s="141">
        <f t="shared" si="38"/>
        <v>0.05710209727619044</v>
      </c>
      <c r="CM22" s="141">
        <f t="shared" si="39"/>
        <v>0.08559498386416395</v>
      </c>
      <c r="CN22" s="141">
        <f t="shared" si="40"/>
        <v>-0.030974152138491324</v>
      </c>
      <c r="CO22" s="141">
        <f t="shared" si="41"/>
        <v>0.01740721104743957</v>
      </c>
      <c r="CP22" s="141">
        <f t="shared" si="42"/>
        <v>0.1390563928964803</v>
      </c>
      <c r="CQ22" s="141">
        <f t="shared" si="43"/>
        <v>0.10577225855674272</v>
      </c>
      <c r="CR22" s="142">
        <f t="shared" si="44"/>
        <v>1.1082803114419697</v>
      </c>
      <c r="CS22" s="76">
        <f t="shared" si="45"/>
        <v>972941.8300000001</v>
      </c>
      <c r="CT22" s="80">
        <f t="shared" si="64"/>
        <v>10507225.39</v>
      </c>
      <c r="CU22" s="80">
        <f t="shared" si="65"/>
        <v>11092879.239999998</v>
      </c>
      <c r="CV22" s="80">
        <f t="shared" si="66"/>
        <v>585653.8499999978</v>
      </c>
      <c r="CW22" s="80">
        <f t="shared" si="67"/>
        <v>0</v>
      </c>
      <c r="CX22" s="80">
        <f t="shared" si="68"/>
        <v>585653.8499999978</v>
      </c>
      <c r="CY22" s="80">
        <f t="shared" si="69"/>
        <v>-66704.50000000224</v>
      </c>
      <c r="CZ22" s="80">
        <f t="shared" si="70"/>
        <v>314559.3</v>
      </c>
      <c r="DA22" s="80">
        <f t="shared" si="71"/>
        <v>652358.35</v>
      </c>
      <c r="DB22" s="80">
        <f t="shared" si="72"/>
        <v>271094.5499999977</v>
      </c>
      <c r="DC22" s="80">
        <f t="shared" si="73"/>
        <v>-664424.35</v>
      </c>
      <c r="DD22" s="80">
        <f t="shared" si="74"/>
        <v>-66704.50000000227</v>
      </c>
      <c r="DE22" s="80">
        <f t="shared" si="75"/>
        <v>2445414.95</v>
      </c>
      <c r="DF22" s="80">
        <f t="shared" si="76"/>
        <v>343.43163783974586</v>
      </c>
      <c r="DG22" s="80">
        <f t="shared" si="77"/>
        <v>-112.13515707730322</v>
      </c>
      <c r="DH22" s="80">
        <f t="shared" si="78"/>
        <v>863.1891810801271</v>
      </c>
      <c r="DI22" s="81">
        <f t="shared" si="79"/>
        <v>111.0339922343805</v>
      </c>
      <c r="DJ22" s="76">
        <f t="shared" si="80"/>
        <v>95.69168725732358</v>
      </c>
      <c r="DK22" s="147">
        <f t="shared" si="46"/>
        <v>-81261.58000000007</v>
      </c>
      <c r="DL22" s="67"/>
      <c r="DM22" s="68"/>
    </row>
    <row r="23" spans="1:117" ht="12.75">
      <c r="A23" s="52" t="s">
        <v>15</v>
      </c>
      <c r="B23" s="41">
        <v>244</v>
      </c>
      <c r="C23" s="4">
        <v>781877</v>
      </c>
      <c r="D23" s="34">
        <v>3204.41</v>
      </c>
      <c r="E23" s="34">
        <v>89.66</v>
      </c>
      <c r="F23" s="8">
        <v>8</v>
      </c>
      <c r="G23" s="133">
        <v>197944.85</v>
      </c>
      <c r="H23" s="43">
        <v>89517.5</v>
      </c>
      <c r="I23" s="43">
        <v>5217.25</v>
      </c>
      <c r="J23" s="43">
        <v>0</v>
      </c>
      <c r="K23" s="43">
        <v>9500</v>
      </c>
      <c r="L23" s="43">
        <v>0</v>
      </c>
      <c r="M23" s="43">
        <f t="shared" si="0"/>
        <v>9500</v>
      </c>
      <c r="N23" s="43">
        <v>500</v>
      </c>
      <c r="O23" s="43">
        <v>31836.2</v>
      </c>
      <c r="P23" s="43">
        <v>160319.5</v>
      </c>
      <c r="Q23" s="43">
        <v>574.75</v>
      </c>
      <c r="R23" s="43">
        <v>4122.4</v>
      </c>
      <c r="S23" s="43">
        <v>3500.1</v>
      </c>
      <c r="T23" s="43">
        <v>0</v>
      </c>
      <c r="U23" s="43">
        <v>0</v>
      </c>
      <c r="V23" s="43">
        <v>0</v>
      </c>
      <c r="W23" s="43">
        <f t="shared" si="47"/>
        <v>7622.5</v>
      </c>
      <c r="X23" s="43">
        <v>103602.2</v>
      </c>
      <c r="Y23" s="43">
        <f t="shared" si="48"/>
        <v>606634.75</v>
      </c>
      <c r="Z23" s="43">
        <v>251290.85</v>
      </c>
      <c r="AA23" s="43">
        <v>0</v>
      </c>
      <c r="AB23" s="43">
        <v>2845</v>
      </c>
      <c r="AC23" s="43">
        <v>0</v>
      </c>
      <c r="AD23" s="43">
        <v>5582.5</v>
      </c>
      <c r="AE23" s="43">
        <f t="shared" si="49"/>
        <v>259718.35</v>
      </c>
      <c r="AF23" s="43">
        <v>0</v>
      </c>
      <c r="AG23" s="43">
        <v>13567.25</v>
      </c>
      <c r="AH23" s="43">
        <v>0</v>
      </c>
      <c r="AI23" s="43">
        <v>104144.4</v>
      </c>
      <c r="AJ23" s="43">
        <v>3378.45</v>
      </c>
      <c r="AK23" s="43">
        <v>28774.15</v>
      </c>
      <c r="AL23" s="43">
        <v>32795.75</v>
      </c>
      <c r="AM23" s="43">
        <v>605</v>
      </c>
      <c r="AN23" s="4">
        <v>100576.95</v>
      </c>
      <c r="AO23" s="4">
        <v>3000</v>
      </c>
      <c r="AP23" s="4">
        <v>0</v>
      </c>
      <c r="AQ23" s="4">
        <v>0</v>
      </c>
      <c r="AR23" s="4">
        <v>0</v>
      </c>
      <c r="AS23" s="4">
        <f t="shared" si="50"/>
        <v>103576.95</v>
      </c>
      <c r="AT23" s="4">
        <v>104297.15</v>
      </c>
      <c r="AU23" s="4">
        <f t="shared" si="51"/>
        <v>650857.45</v>
      </c>
      <c r="AV23" s="4">
        <v>44222.7</v>
      </c>
      <c r="AW23" s="4">
        <v>0</v>
      </c>
      <c r="AX23" s="144">
        <f t="shared" si="52"/>
        <v>4.3655745685100555E-11</v>
      </c>
      <c r="AY23" s="43">
        <v>0</v>
      </c>
      <c r="AZ23" s="43">
        <v>25613.1</v>
      </c>
      <c r="BA23" s="43">
        <v>0</v>
      </c>
      <c r="BB23" s="43">
        <v>0</v>
      </c>
      <c r="BC23" s="43">
        <v>0</v>
      </c>
      <c r="BD23" s="43">
        <v>0</v>
      </c>
      <c r="BE23" s="43">
        <v>0</v>
      </c>
      <c r="BF23" s="43">
        <f t="shared" si="53"/>
        <v>25613.1</v>
      </c>
      <c r="BG23" s="43">
        <v>0</v>
      </c>
      <c r="BH23" s="43">
        <v>0</v>
      </c>
      <c r="BI23" s="43">
        <v>0</v>
      </c>
      <c r="BJ23" s="43">
        <v>0</v>
      </c>
      <c r="BK23" s="43">
        <v>0</v>
      </c>
      <c r="BL23" s="43">
        <v>0</v>
      </c>
      <c r="BM23" s="43">
        <v>223781.05</v>
      </c>
      <c r="BN23" s="43">
        <v>0</v>
      </c>
      <c r="BO23" s="43">
        <f t="shared" si="54"/>
        <v>223781.05</v>
      </c>
      <c r="BP23" s="43">
        <v>221046.05</v>
      </c>
      <c r="BQ23" s="43">
        <v>0</v>
      </c>
      <c r="BR23" s="43">
        <v>22878.1</v>
      </c>
      <c r="BS23" s="143">
        <f t="shared" si="55"/>
        <v>0</v>
      </c>
      <c r="BT23" s="4">
        <v>1542828.77</v>
      </c>
      <c r="BU23" s="4">
        <v>85465.85</v>
      </c>
      <c r="BV23" s="4">
        <v>576.95</v>
      </c>
      <c r="BW23" s="4">
        <v>0</v>
      </c>
      <c r="BX23" s="4">
        <f t="shared" si="56"/>
        <v>1628871.57</v>
      </c>
      <c r="BY23" s="4">
        <v>709485</v>
      </c>
      <c r="BZ23" s="4">
        <v>351937.95</v>
      </c>
      <c r="CA23" s="4">
        <v>567448.62</v>
      </c>
      <c r="CB23" s="4">
        <f t="shared" si="57"/>
        <v>1628871.5699999998</v>
      </c>
      <c r="CC23" s="144">
        <f t="shared" si="58"/>
        <v>0</v>
      </c>
      <c r="CD23" s="74">
        <f t="shared" si="59"/>
        <v>53722.7</v>
      </c>
      <c r="CE23" s="76">
        <f t="shared" si="60"/>
        <v>-42231.75</v>
      </c>
      <c r="CF23" s="76">
        <f t="shared" si="61"/>
        <v>-198167.94999999998</v>
      </c>
      <c r="CG23" s="76">
        <f t="shared" si="16"/>
        <v>442378.3499999999</v>
      </c>
      <c r="CH23" s="76">
        <f t="shared" si="62"/>
        <v>-8350</v>
      </c>
      <c r="CI23" s="37">
        <f t="shared" si="63"/>
        <v>1150</v>
      </c>
      <c r="CJ23" s="59">
        <f t="shared" si="36"/>
        <v>-0.2710968145959021</v>
      </c>
      <c r="CK23" s="59">
        <f t="shared" si="37"/>
        <v>0.21311089911360542</v>
      </c>
      <c r="CL23" s="141">
        <f t="shared" si="38"/>
        <v>0.12144061751665743</v>
      </c>
      <c r="CM23" s="141">
        <f t="shared" si="39"/>
        <v>-0.09546522789824594</v>
      </c>
      <c r="CN23" s="141">
        <f t="shared" si="40"/>
        <v>-0.01887524559011534</v>
      </c>
      <c r="CO23" s="141">
        <f t="shared" si="41"/>
        <v>0.0025995847219919335</v>
      </c>
      <c r="CP23" s="141">
        <f t="shared" si="42"/>
        <v>0.10003596029520084</v>
      </c>
      <c r="CQ23" s="141">
        <f t="shared" si="43"/>
        <v>0.10003596029520084</v>
      </c>
      <c r="CR23" s="142">
        <f t="shared" si="44"/>
        <v>-19.73263646427155</v>
      </c>
      <c r="CS23" s="76">
        <f t="shared" si="45"/>
        <v>833343.77</v>
      </c>
      <c r="CT23" s="80">
        <f t="shared" si="64"/>
        <v>597134.75</v>
      </c>
      <c r="CU23" s="80">
        <f t="shared" si="65"/>
        <v>650857.45</v>
      </c>
      <c r="CV23" s="80">
        <f t="shared" si="66"/>
        <v>53722.69999999995</v>
      </c>
      <c r="CW23" s="80">
        <f t="shared" si="67"/>
        <v>0</v>
      </c>
      <c r="CX23" s="80">
        <f t="shared" si="68"/>
        <v>53722.69999999995</v>
      </c>
      <c r="CY23" s="80">
        <f t="shared" si="69"/>
        <v>44222.69999999995</v>
      </c>
      <c r="CZ23" s="80">
        <f t="shared" si="70"/>
        <v>-198167.94999999998</v>
      </c>
      <c r="DA23" s="80">
        <f t="shared" si="71"/>
        <v>9500</v>
      </c>
      <c r="DB23" s="80">
        <f t="shared" si="72"/>
        <v>251890.64999999994</v>
      </c>
      <c r="DC23" s="80">
        <f t="shared" si="73"/>
        <v>-230546.05</v>
      </c>
      <c r="DD23" s="80">
        <f t="shared" si="74"/>
        <v>44222.699999999946</v>
      </c>
      <c r="DE23" s="80">
        <f t="shared" si="75"/>
        <v>254135.85</v>
      </c>
      <c r="DF23" s="80">
        <f t="shared" si="76"/>
        <v>3415.343319672131</v>
      </c>
      <c r="DG23" s="80">
        <f t="shared" si="77"/>
        <v>-34.221311475409834</v>
      </c>
      <c r="DH23" s="80">
        <f t="shared" si="78"/>
        <v>1041.540368852459</v>
      </c>
      <c r="DI23" s="81">
        <f t="shared" si="79"/>
        <v>-812.1637295081966</v>
      </c>
      <c r="DJ23" s="76">
        <f t="shared" si="80"/>
        <v>1032.3387295081964</v>
      </c>
      <c r="DK23" s="147">
        <f t="shared" si="46"/>
        <v>481982.77</v>
      </c>
      <c r="DL23" s="64"/>
      <c r="DM23" s="65"/>
    </row>
    <row r="24" spans="1:117" ht="12.75">
      <c r="A24" s="51" t="s">
        <v>16</v>
      </c>
      <c r="B24" s="46">
        <v>3701</v>
      </c>
      <c r="C24" s="38">
        <v>13322379</v>
      </c>
      <c r="D24" s="39">
        <v>3599.67</v>
      </c>
      <c r="E24" s="39">
        <v>100.72</v>
      </c>
      <c r="F24" s="128">
        <v>2</v>
      </c>
      <c r="G24" s="134">
        <v>1400837.1</v>
      </c>
      <c r="H24" s="42">
        <v>1148385.21</v>
      </c>
      <c r="I24" s="42">
        <v>50312.85</v>
      </c>
      <c r="J24" s="42">
        <v>0</v>
      </c>
      <c r="K24" s="42">
        <v>482240.7</v>
      </c>
      <c r="L24" s="42">
        <v>0</v>
      </c>
      <c r="M24" s="43">
        <f t="shared" si="0"/>
        <v>482240.7</v>
      </c>
      <c r="N24" s="42">
        <v>0</v>
      </c>
      <c r="O24" s="42">
        <v>251220.55</v>
      </c>
      <c r="P24" s="42">
        <v>970657.8</v>
      </c>
      <c r="Q24" s="42">
        <v>448.6</v>
      </c>
      <c r="R24" s="42">
        <v>69712.09</v>
      </c>
      <c r="S24" s="42">
        <v>53375.85</v>
      </c>
      <c r="T24" s="42">
        <v>0</v>
      </c>
      <c r="U24" s="42">
        <v>0</v>
      </c>
      <c r="V24" s="42">
        <v>0</v>
      </c>
      <c r="W24" s="43">
        <f t="shared" si="47"/>
        <v>123087.94</v>
      </c>
      <c r="X24" s="42">
        <v>753409</v>
      </c>
      <c r="Y24" s="43">
        <f t="shared" si="48"/>
        <v>5180599.749999999</v>
      </c>
      <c r="Z24" s="42">
        <v>2591309.1</v>
      </c>
      <c r="AA24" s="42">
        <v>373479.8</v>
      </c>
      <c r="AB24" s="42">
        <v>62101</v>
      </c>
      <c r="AC24" s="42">
        <v>0</v>
      </c>
      <c r="AD24" s="42">
        <v>16659.2</v>
      </c>
      <c r="AE24" s="43">
        <f t="shared" si="49"/>
        <v>3043549.1</v>
      </c>
      <c r="AF24" s="42">
        <v>0</v>
      </c>
      <c r="AG24" s="42">
        <v>44532.4</v>
      </c>
      <c r="AH24" s="42">
        <v>0</v>
      </c>
      <c r="AI24" s="42">
        <v>1166917.7</v>
      </c>
      <c r="AJ24" s="42">
        <v>48987.75</v>
      </c>
      <c r="AK24" s="42">
        <v>202547</v>
      </c>
      <c r="AL24" s="42">
        <v>163646.1</v>
      </c>
      <c r="AM24" s="42">
        <v>554.8</v>
      </c>
      <c r="AN24" s="38">
        <v>0</v>
      </c>
      <c r="AO24" s="38">
        <v>0</v>
      </c>
      <c r="AP24" s="38">
        <v>0</v>
      </c>
      <c r="AQ24" s="38">
        <v>0</v>
      </c>
      <c r="AR24" s="38">
        <v>0</v>
      </c>
      <c r="AS24" s="4">
        <f t="shared" si="50"/>
        <v>0</v>
      </c>
      <c r="AT24" s="38">
        <v>753409</v>
      </c>
      <c r="AU24" s="4">
        <f t="shared" si="51"/>
        <v>5424143.85</v>
      </c>
      <c r="AV24" s="38">
        <v>243544.1</v>
      </c>
      <c r="AW24" s="38">
        <v>0</v>
      </c>
      <c r="AX24" s="144">
        <f t="shared" si="52"/>
        <v>-5.529727786779404E-10</v>
      </c>
      <c r="AY24" s="42">
        <v>4458.05</v>
      </c>
      <c r="AZ24" s="42">
        <v>240423.2</v>
      </c>
      <c r="BA24" s="42">
        <v>0</v>
      </c>
      <c r="BB24" s="42">
        <v>34238</v>
      </c>
      <c r="BC24" s="42">
        <v>436941.15</v>
      </c>
      <c r="BD24" s="42">
        <v>0</v>
      </c>
      <c r="BE24" s="42">
        <v>179517.2</v>
      </c>
      <c r="BF24" s="43">
        <f t="shared" si="53"/>
        <v>891119.55</v>
      </c>
      <c r="BG24" s="42">
        <v>0</v>
      </c>
      <c r="BH24" s="42">
        <v>206314.5</v>
      </c>
      <c r="BI24" s="42">
        <v>0</v>
      </c>
      <c r="BJ24" s="42">
        <v>118520.5</v>
      </c>
      <c r="BK24" s="42">
        <v>0</v>
      </c>
      <c r="BL24" s="42">
        <v>0</v>
      </c>
      <c r="BM24" s="42">
        <v>50000</v>
      </c>
      <c r="BN24" s="42">
        <v>0</v>
      </c>
      <c r="BO24" s="43">
        <f t="shared" si="54"/>
        <v>374835</v>
      </c>
      <c r="BP24" s="42">
        <v>375009</v>
      </c>
      <c r="BQ24" s="42">
        <v>0</v>
      </c>
      <c r="BR24" s="42">
        <v>891293.55</v>
      </c>
      <c r="BS24" s="143">
        <f t="shared" si="55"/>
        <v>0</v>
      </c>
      <c r="BT24" s="38">
        <v>4744819.51</v>
      </c>
      <c r="BU24" s="38">
        <v>6494556.1</v>
      </c>
      <c r="BV24" s="38">
        <v>234084.35</v>
      </c>
      <c r="BW24" s="38">
        <v>0</v>
      </c>
      <c r="BX24" s="4">
        <f t="shared" si="56"/>
        <v>11473459.959999999</v>
      </c>
      <c r="BY24" s="38">
        <v>5369275.92</v>
      </c>
      <c r="BZ24" s="38">
        <v>4724504.74</v>
      </c>
      <c r="CA24" s="38">
        <v>1379679.3</v>
      </c>
      <c r="CB24" s="4">
        <f t="shared" si="57"/>
        <v>11473459.96</v>
      </c>
      <c r="CC24" s="144">
        <f t="shared" si="58"/>
        <v>0</v>
      </c>
      <c r="CD24" s="74">
        <f t="shared" si="59"/>
        <v>725784.8</v>
      </c>
      <c r="CE24" s="76">
        <f t="shared" si="60"/>
        <v>848872.74</v>
      </c>
      <c r="CF24" s="76">
        <f t="shared" si="61"/>
        <v>516284.55000000005</v>
      </c>
      <c r="CG24" s="76">
        <f t="shared" si="16"/>
        <v>4670180.05</v>
      </c>
      <c r="CH24" s="76">
        <f t="shared" si="62"/>
        <v>10238.499999999996</v>
      </c>
      <c r="CI24" s="37">
        <f t="shared" si="63"/>
        <v>492479.2</v>
      </c>
      <c r="CJ24" s="59">
        <f t="shared" si="36"/>
        <v>1.4057844651752605</v>
      </c>
      <c r="CK24" s="59">
        <f t="shared" si="37"/>
        <v>1.644195511951694</v>
      </c>
      <c r="CL24" s="141">
        <f t="shared" si="38"/>
        <v>0.1554083123626037</v>
      </c>
      <c r="CM24" s="141">
        <f t="shared" si="39"/>
        <v>0.18176445681146705</v>
      </c>
      <c r="CN24" s="141">
        <f t="shared" si="40"/>
        <v>0.0021923137631492382</v>
      </c>
      <c r="CO24" s="141">
        <f t="shared" si="41"/>
        <v>0.10545186582260357</v>
      </c>
      <c r="CP24" s="141">
        <f t="shared" si="42"/>
        <v>0.06912064573817028</v>
      </c>
      <c r="CQ24" s="141">
        <f t="shared" si="43"/>
        <v>0.06912064573817028</v>
      </c>
      <c r="CR24" s="142">
        <f t="shared" si="44"/>
        <v>-0.7356301840956752</v>
      </c>
      <c r="CS24" s="76">
        <f t="shared" si="45"/>
        <v>-624456.4100000001</v>
      </c>
      <c r="CT24" s="80">
        <f t="shared" si="64"/>
        <v>4698359.049999999</v>
      </c>
      <c r="CU24" s="80">
        <f t="shared" si="65"/>
        <v>5424143.85</v>
      </c>
      <c r="CV24" s="80">
        <f t="shared" si="66"/>
        <v>725784.8000000007</v>
      </c>
      <c r="CW24" s="80">
        <f t="shared" si="67"/>
        <v>0</v>
      </c>
      <c r="CX24" s="80">
        <f t="shared" si="68"/>
        <v>725784.8000000007</v>
      </c>
      <c r="CY24" s="80">
        <f t="shared" si="69"/>
        <v>243544.10000000073</v>
      </c>
      <c r="CZ24" s="80">
        <f t="shared" si="70"/>
        <v>516284.55000000005</v>
      </c>
      <c r="DA24" s="80">
        <f t="shared" si="71"/>
        <v>482240.7</v>
      </c>
      <c r="DB24" s="80">
        <f t="shared" si="72"/>
        <v>209500.2500000007</v>
      </c>
      <c r="DC24" s="80">
        <f t="shared" si="73"/>
        <v>-857249.7</v>
      </c>
      <c r="DD24" s="80">
        <f t="shared" si="74"/>
        <v>243544.1000000008</v>
      </c>
      <c r="DE24" s="80">
        <f t="shared" si="75"/>
        <v>3026889.9</v>
      </c>
      <c r="DF24" s="80">
        <f t="shared" si="76"/>
        <v>-168.7264009727101</v>
      </c>
      <c r="DG24" s="80">
        <f t="shared" si="77"/>
        <v>2.766414482572277</v>
      </c>
      <c r="DH24" s="80">
        <f t="shared" si="78"/>
        <v>817.8573088354499</v>
      </c>
      <c r="DI24" s="81">
        <f t="shared" si="79"/>
        <v>139.49866252364228</v>
      </c>
      <c r="DJ24" s="76">
        <f t="shared" si="80"/>
        <v>56.60639016482051</v>
      </c>
      <c r="DK24" s="147">
        <f t="shared" si="46"/>
        <v>-5114876.8</v>
      </c>
      <c r="DL24" s="67"/>
      <c r="DM24" s="68"/>
    </row>
    <row r="25" spans="1:117" ht="12.75">
      <c r="A25" s="52" t="s">
        <v>36</v>
      </c>
      <c r="B25" s="41">
        <v>1837</v>
      </c>
      <c r="C25" s="4">
        <v>5110413</v>
      </c>
      <c r="D25" s="34">
        <v>2781.93</v>
      </c>
      <c r="E25" s="34">
        <v>77.84</v>
      </c>
      <c r="F25" s="8">
        <v>2</v>
      </c>
      <c r="G25" s="133">
        <v>899213.25</v>
      </c>
      <c r="H25" s="43">
        <v>1259590.33</v>
      </c>
      <c r="I25" s="43">
        <v>19807.2</v>
      </c>
      <c r="J25" s="43">
        <v>8052.57</v>
      </c>
      <c r="K25" s="43">
        <v>246127</v>
      </c>
      <c r="L25" s="43">
        <v>123942.47</v>
      </c>
      <c r="M25" s="43">
        <f t="shared" si="0"/>
        <v>370069.47</v>
      </c>
      <c r="N25" s="43">
        <v>146025.64</v>
      </c>
      <c r="O25" s="43">
        <v>124923.9</v>
      </c>
      <c r="P25" s="43">
        <v>586555.58</v>
      </c>
      <c r="Q25" s="43">
        <v>6895.1</v>
      </c>
      <c r="R25" s="43">
        <v>64494.12</v>
      </c>
      <c r="S25" s="43">
        <v>67742.85</v>
      </c>
      <c r="T25" s="43">
        <v>0</v>
      </c>
      <c r="U25" s="43">
        <v>0</v>
      </c>
      <c r="V25" s="43">
        <v>0</v>
      </c>
      <c r="W25" s="43">
        <f t="shared" si="47"/>
        <v>132236.97</v>
      </c>
      <c r="X25" s="43">
        <v>384644.17</v>
      </c>
      <c r="Y25" s="43">
        <f t="shared" si="48"/>
        <v>3938014.180000001</v>
      </c>
      <c r="Z25" s="43">
        <v>1266797.65</v>
      </c>
      <c r="AA25" s="43">
        <v>25542.85</v>
      </c>
      <c r="AB25" s="43">
        <v>13016.75</v>
      </c>
      <c r="AC25" s="43">
        <v>0</v>
      </c>
      <c r="AD25" s="43">
        <v>6640</v>
      </c>
      <c r="AE25" s="43">
        <f t="shared" si="49"/>
        <v>1311997.25</v>
      </c>
      <c r="AF25" s="43">
        <v>0</v>
      </c>
      <c r="AG25" s="43">
        <v>28463.9</v>
      </c>
      <c r="AH25" s="43">
        <v>0</v>
      </c>
      <c r="AI25" s="43">
        <v>1848404.63</v>
      </c>
      <c r="AJ25" s="43">
        <v>21343.25</v>
      </c>
      <c r="AK25" s="43">
        <v>115306.35</v>
      </c>
      <c r="AL25" s="43">
        <v>150436.43</v>
      </c>
      <c r="AM25" s="43">
        <v>6896.25</v>
      </c>
      <c r="AN25" s="4">
        <v>25000</v>
      </c>
      <c r="AO25" s="4">
        <v>0</v>
      </c>
      <c r="AP25" s="4">
        <v>0</v>
      </c>
      <c r="AQ25" s="4">
        <v>0</v>
      </c>
      <c r="AR25" s="4">
        <v>74394.75</v>
      </c>
      <c r="AS25" s="4">
        <f t="shared" si="50"/>
        <v>99394.75</v>
      </c>
      <c r="AT25" s="4">
        <v>384644.17</v>
      </c>
      <c r="AU25" s="4">
        <f t="shared" si="51"/>
        <v>3966886.9799999986</v>
      </c>
      <c r="AV25" s="4">
        <v>28872.8</v>
      </c>
      <c r="AW25" s="4">
        <v>0</v>
      </c>
      <c r="AX25" s="144">
        <f t="shared" si="52"/>
        <v>2.5138433557003736E-09</v>
      </c>
      <c r="AY25" s="43">
        <v>0</v>
      </c>
      <c r="AZ25" s="43">
        <v>258037.52</v>
      </c>
      <c r="BA25" s="43">
        <v>30100</v>
      </c>
      <c r="BB25" s="43">
        <v>0</v>
      </c>
      <c r="BC25" s="43">
        <v>350735</v>
      </c>
      <c r="BD25" s="43">
        <v>0</v>
      </c>
      <c r="BE25" s="43">
        <v>0</v>
      </c>
      <c r="BF25" s="43">
        <f t="shared" si="53"/>
        <v>638872.52</v>
      </c>
      <c r="BG25" s="43">
        <v>0</v>
      </c>
      <c r="BH25" s="43">
        <v>64140.6</v>
      </c>
      <c r="BI25" s="43">
        <v>0</v>
      </c>
      <c r="BJ25" s="43">
        <v>0</v>
      </c>
      <c r="BK25" s="43">
        <v>0</v>
      </c>
      <c r="BL25" s="43">
        <v>0</v>
      </c>
      <c r="BM25" s="43">
        <v>225698.55</v>
      </c>
      <c r="BN25" s="43">
        <v>0</v>
      </c>
      <c r="BO25" s="43">
        <f t="shared" si="54"/>
        <v>289839.14999999997</v>
      </c>
      <c r="BP25" s="43">
        <v>289839.15</v>
      </c>
      <c r="BQ25" s="43">
        <v>0</v>
      </c>
      <c r="BR25" s="43">
        <v>638872.52</v>
      </c>
      <c r="BS25" s="143">
        <f t="shared" si="55"/>
        <v>0</v>
      </c>
      <c r="BT25" s="4">
        <v>1441752.64</v>
      </c>
      <c r="BU25" s="4">
        <v>2069677.33</v>
      </c>
      <c r="BV25" s="4">
        <v>0</v>
      </c>
      <c r="BW25" s="4">
        <v>340679.36</v>
      </c>
      <c r="BX25" s="4">
        <f t="shared" si="56"/>
        <v>3852109.3299999996</v>
      </c>
      <c r="BY25" s="4">
        <v>1920442.31</v>
      </c>
      <c r="BZ25" s="4">
        <v>1931667.02</v>
      </c>
      <c r="CA25" s="4">
        <v>0</v>
      </c>
      <c r="CB25" s="4">
        <f t="shared" si="57"/>
        <v>3852109.33</v>
      </c>
      <c r="CC25" s="144">
        <f t="shared" si="58"/>
        <v>0</v>
      </c>
      <c r="CD25" s="74">
        <f t="shared" si="59"/>
        <v>398942.26999999996</v>
      </c>
      <c r="CE25" s="76">
        <f t="shared" si="60"/>
        <v>431784.49</v>
      </c>
      <c r="CF25" s="76">
        <f t="shared" si="61"/>
        <v>349033.37</v>
      </c>
      <c r="CG25" s="76">
        <f t="shared" si="16"/>
        <v>3475951.8099999987</v>
      </c>
      <c r="CH25" s="76">
        <f t="shared" si="62"/>
        <v>-8656.7</v>
      </c>
      <c r="CI25" s="37">
        <f t="shared" si="63"/>
        <v>237470.3</v>
      </c>
      <c r="CJ25" s="59">
        <f t="shared" si="36"/>
        <v>1.1429917718182647</v>
      </c>
      <c r="CK25" s="59">
        <f t="shared" si="37"/>
        <v>1.2370865570819203</v>
      </c>
      <c r="CL25" s="141">
        <f t="shared" si="38"/>
        <v>0.11477209461082837</v>
      </c>
      <c r="CM25" s="141">
        <f t="shared" si="39"/>
        <v>0.12422050523191809</v>
      </c>
      <c r="CN25" s="141">
        <f t="shared" si="40"/>
        <v>-0.002490454549771219</v>
      </c>
      <c r="CO25" s="141">
        <f t="shared" si="41"/>
        <v>0.06831806451309809</v>
      </c>
      <c r="CP25" s="141">
        <f t="shared" si="42"/>
        <v>0.15168355585095958</v>
      </c>
      <c r="CQ25" s="141">
        <f t="shared" si="43"/>
        <v>0.10088218990593613</v>
      </c>
      <c r="CR25" s="142">
        <f t="shared" si="44"/>
        <v>-1.1086309978387603</v>
      </c>
      <c r="CS25" s="76">
        <f t="shared" si="45"/>
        <v>-478689.67000000016</v>
      </c>
      <c r="CT25" s="80">
        <f t="shared" si="64"/>
        <v>3567944.710000001</v>
      </c>
      <c r="CU25" s="80">
        <f t="shared" si="65"/>
        <v>3892492.2299999986</v>
      </c>
      <c r="CV25" s="80">
        <f t="shared" si="66"/>
        <v>324547.5199999977</v>
      </c>
      <c r="CW25" s="80">
        <f t="shared" si="67"/>
        <v>74394.75</v>
      </c>
      <c r="CX25" s="80">
        <f t="shared" si="68"/>
        <v>398942.2699999977</v>
      </c>
      <c r="CY25" s="80">
        <f t="shared" si="69"/>
        <v>28872.79999999769</v>
      </c>
      <c r="CZ25" s="80">
        <f t="shared" si="70"/>
        <v>349033.37</v>
      </c>
      <c r="DA25" s="80">
        <f t="shared" si="71"/>
        <v>370069.47</v>
      </c>
      <c r="DB25" s="80">
        <f t="shared" si="72"/>
        <v>49908.899999997666</v>
      </c>
      <c r="DC25" s="80">
        <f t="shared" si="73"/>
        <v>-659908.62</v>
      </c>
      <c r="DD25" s="80">
        <f t="shared" si="74"/>
        <v>28872.79999999772</v>
      </c>
      <c r="DE25" s="80">
        <f t="shared" si="75"/>
        <v>1305357.25</v>
      </c>
      <c r="DF25" s="80">
        <f t="shared" si="76"/>
        <v>-260.5822917800763</v>
      </c>
      <c r="DG25" s="80">
        <f t="shared" si="77"/>
        <v>-4.712411540555253</v>
      </c>
      <c r="DH25" s="80">
        <f t="shared" si="78"/>
        <v>710.5918617310833</v>
      </c>
      <c r="DI25" s="81">
        <f t="shared" si="79"/>
        <v>190.00183451279258</v>
      </c>
      <c r="DJ25" s="76">
        <f t="shared" si="80"/>
        <v>27.168698965703683</v>
      </c>
      <c r="DK25" s="147">
        <f t="shared" si="46"/>
        <v>-2410356.69</v>
      </c>
      <c r="DL25" s="64"/>
      <c r="DM25" s="65"/>
    </row>
    <row r="26" spans="1:117" ht="12.75">
      <c r="A26" s="51" t="s">
        <v>17</v>
      </c>
      <c r="B26" s="46">
        <v>447</v>
      </c>
      <c r="C26" s="38">
        <v>1269466</v>
      </c>
      <c r="D26" s="39">
        <v>2839.97</v>
      </c>
      <c r="E26" s="39">
        <v>79.46</v>
      </c>
      <c r="F26" s="128">
        <v>8</v>
      </c>
      <c r="G26" s="134">
        <v>534651.65</v>
      </c>
      <c r="H26" s="42">
        <v>152895.6</v>
      </c>
      <c r="I26" s="42">
        <v>3329</v>
      </c>
      <c r="J26" s="42">
        <v>3441.3</v>
      </c>
      <c r="K26" s="42">
        <v>64699.75</v>
      </c>
      <c r="L26" s="42">
        <v>0</v>
      </c>
      <c r="M26" s="43">
        <f t="shared" si="0"/>
        <v>64699.75</v>
      </c>
      <c r="N26" s="42">
        <v>0</v>
      </c>
      <c r="O26" s="42">
        <v>60928.75</v>
      </c>
      <c r="P26" s="42">
        <v>161967.15</v>
      </c>
      <c r="Q26" s="42">
        <v>0</v>
      </c>
      <c r="R26" s="42">
        <v>84476.99</v>
      </c>
      <c r="S26" s="42">
        <v>0</v>
      </c>
      <c r="T26" s="42">
        <v>33000</v>
      </c>
      <c r="U26" s="42">
        <v>0</v>
      </c>
      <c r="V26" s="42">
        <v>0</v>
      </c>
      <c r="W26" s="43">
        <f t="shared" si="47"/>
        <v>117476.99</v>
      </c>
      <c r="X26" s="42">
        <v>22485.2</v>
      </c>
      <c r="Y26" s="43">
        <f t="shared" si="48"/>
        <v>1121875.3900000001</v>
      </c>
      <c r="Z26" s="42">
        <v>430499.75</v>
      </c>
      <c r="AA26" s="42">
        <v>7709.7</v>
      </c>
      <c r="AB26" s="42">
        <v>518</v>
      </c>
      <c r="AC26" s="42">
        <v>0</v>
      </c>
      <c r="AD26" s="42">
        <v>2300</v>
      </c>
      <c r="AE26" s="43">
        <f t="shared" si="49"/>
        <v>441027.45</v>
      </c>
      <c r="AF26" s="42">
        <v>330</v>
      </c>
      <c r="AG26" s="42">
        <v>71683.1</v>
      </c>
      <c r="AH26" s="42">
        <v>0</v>
      </c>
      <c r="AI26" s="42">
        <v>463234.75</v>
      </c>
      <c r="AJ26" s="42">
        <v>5683.15</v>
      </c>
      <c r="AK26" s="42">
        <v>64840.9</v>
      </c>
      <c r="AL26" s="42">
        <v>53881.99</v>
      </c>
      <c r="AM26" s="42">
        <v>540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4">
        <f t="shared" si="50"/>
        <v>0</v>
      </c>
      <c r="AT26" s="38">
        <v>22485.2</v>
      </c>
      <c r="AU26" s="4">
        <f t="shared" si="51"/>
        <v>1123706.5399999998</v>
      </c>
      <c r="AV26" s="38">
        <v>1831.15</v>
      </c>
      <c r="AW26" s="38">
        <v>0</v>
      </c>
      <c r="AX26" s="144">
        <f t="shared" si="52"/>
        <v>3.2605385058559477E-10</v>
      </c>
      <c r="AY26" s="42">
        <v>0</v>
      </c>
      <c r="AZ26" s="42">
        <v>113518.4</v>
      </c>
      <c r="BA26" s="42">
        <v>0</v>
      </c>
      <c r="BB26" s="42">
        <v>0</v>
      </c>
      <c r="BC26" s="42">
        <v>0</v>
      </c>
      <c r="BD26" s="42">
        <v>0</v>
      </c>
      <c r="BE26" s="42">
        <v>0</v>
      </c>
      <c r="BF26" s="43">
        <f t="shared" si="53"/>
        <v>113518.4</v>
      </c>
      <c r="BG26" s="42">
        <v>0</v>
      </c>
      <c r="BH26" s="42">
        <v>0</v>
      </c>
      <c r="BI26" s="42">
        <v>0</v>
      </c>
      <c r="BJ26" s="42">
        <v>1500</v>
      </c>
      <c r="BK26" s="42">
        <v>0</v>
      </c>
      <c r="BL26" s="42">
        <v>0</v>
      </c>
      <c r="BM26" s="42">
        <v>100072.5</v>
      </c>
      <c r="BN26" s="42">
        <v>0</v>
      </c>
      <c r="BO26" s="43">
        <f t="shared" si="54"/>
        <v>101572.5</v>
      </c>
      <c r="BP26" s="42">
        <v>1072.5</v>
      </c>
      <c r="BQ26" s="42">
        <v>0</v>
      </c>
      <c r="BR26" s="42">
        <v>13018.4</v>
      </c>
      <c r="BS26" s="143">
        <f t="shared" si="55"/>
        <v>0</v>
      </c>
      <c r="BT26" s="38">
        <v>1425316.22</v>
      </c>
      <c r="BU26" s="38">
        <v>749859.15</v>
      </c>
      <c r="BV26" s="38">
        <v>66064.8</v>
      </c>
      <c r="BW26" s="38">
        <v>0</v>
      </c>
      <c r="BX26" s="4">
        <f t="shared" si="56"/>
        <v>2241240.17</v>
      </c>
      <c r="BY26" s="38">
        <v>576007.1</v>
      </c>
      <c r="BZ26" s="38">
        <v>1593592.24</v>
      </c>
      <c r="CA26" s="38">
        <v>71640.83</v>
      </c>
      <c r="CB26" s="4">
        <f t="shared" si="57"/>
        <v>2241240.17</v>
      </c>
      <c r="CC26" s="144">
        <f t="shared" si="58"/>
        <v>0</v>
      </c>
      <c r="CD26" s="74">
        <f t="shared" si="59"/>
        <v>66530.9</v>
      </c>
      <c r="CE26" s="76">
        <f t="shared" si="60"/>
        <v>184007.89</v>
      </c>
      <c r="CF26" s="76">
        <f t="shared" si="61"/>
        <v>11945.9</v>
      </c>
      <c r="CG26" s="76">
        <f t="shared" si="16"/>
        <v>1100681.3399999999</v>
      </c>
      <c r="CH26" s="76">
        <f t="shared" si="62"/>
        <v>-68354.1</v>
      </c>
      <c r="CI26" s="37">
        <f t="shared" si="63"/>
        <v>-3654.350000000006</v>
      </c>
      <c r="CJ26" s="59">
        <f t="shared" si="36"/>
        <v>5.569350153609188</v>
      </c>
      <c r="CK26" s="59">
        <f t="shared" si="37"/>
        <v>15.403434651219248</v>
      </c>
      <c r="CL26" s="141">
        <f t="shared" si="38"/>
        <v>0.06044519660885684</v>
      </c>
      <c r="CM26" s="141">
        <f t="shared" si="39"/>
        <v>0.16717635096821032</v>
      </c>
      <c r="CN26" s="141">
        <f t="shared" si="40"/>
        <v>-0.06210162516246529</v>
      </c>
      <c r="CO26" s="141">
        <f t="shared" si="41"/>
        <v>-0.003320079906142505</v>
      </c>
      <c r="CP26" s="141">
        <f t="shared" si="42"/>
        <v>0.07942918553833246</v>
      </c>
      <c r="CQ26" s="141">
        <f t="shared" si="43"/>
        <v>0.07942918553833246</v>
      </c>
      <c r="CR26" s="142">
        <f t="shared" si="44"/>
        <v>4.615612515311164</v>
      </c>
      <c r="CS26" s="76">
        <f t="shared" si="45"/>
        <v>849309.12</v>
      </c>
      <c r="CT26" s="80">
        <f t="shared" si="64"/>
        <v>1057175.6400000001</v>
      </c>
      <c r="CU26" s="80">
        <f t="shared" si="65"/>
        <v>1123706.5399999998</v>
      </c>
      <c r="CV26" s="80">
        <f t="shared" si="66"/>
        <v>66530.89999999967</v>
      </c>
      <c r="CW26" s="80">
        <f t="shared" si="67"/>
        <v>0</v>
      </c>
      <c r="CX26" s="80">
        <f t="shared" si="68"/>
        <v>66530.89999999967</v>
      </c>
      <c r="CY26" s="80">
        <f t="shared" si="69"/>
        <v>1831.149999999674</v>
      </c>
      <c r="CZ26" s="80">
        <f t="shared" si="70"/>
        <v>11945.9</v>
      </c>
      <c r="DA26" s="80">
        <f t="shared" si="71"/>
        <v>64699.75</v>
      </c>
      <c r="DB26" s="80">
        <f t="shared" si="72"/>
        <v>54584.99999999967</v>
      </c>
      <c r="DC26" s="80">
        <f t="shared" si="73"/>
        <v>-65772.25</v>
      </c>
      <c r="DD26" s="80">
        <f t="shared" si="74"/>
        <v>1831.1499999996722</v>
      </c>
      <c r="DE26" s="80">
        <f t="shared" si="75"/>
        <v>438727.45</v>
      </c>
      <c r="DF26" s="80">
        <f t="shared" si="76"/>
        <v>1900.0204026845638</v>
      </c>
      <c r="DG26" s="80">
        <f t="shared" si="77"/>
        <v>-152.91744966442954</v>
      </c>
      <c r="DH26" s="80">
        <f t="shared" si="78"/>
        <v>981.4931767337808</v>
      </c>
      <c r="DI26" s="81">
        <f t="shared" si="79"/>
        <v>26.724608501118567</v>
      </c>
      <c r="DJ26" s="76">
        <f t="shared" si="80"/>
        <v>122.11409395973081</v>
      </c>
      <c r="DK26" s="147">
        <f t="shared" si="46"/>
        <v>-678218.3200000001</v>
      </c>
      <c r="DL26" s="67"/>
      <c r="DM26" s="68"/>
    </row>
    <row r="27" spans="1:117" ht="12.75">
      <c r="A27" s="52" t="s">
        <v>18</v>
      </c>
      <c r="B27" s="41">
        <v>643</v>
      </c>
      <c r="C27" s="4">
        <v>1886492</v>
      </c>
      <c r="D27" s="34">
        <v>2933.89</v>
      </c>
      <c r="E27" s="34">
        <v>82.09</v>
      </c>
      <c r="F27" s="8">
        <v>2</v>
      </c>
      <c r="G27" s="133">
        <v>326089.25</v>
      </c>
      <c r="H27" s="43">
        <v>441046.45</v>
      </c>
      <c r="I27" s="43">
        <v>16342.7</v>
      </c>
      <c r="J27" s="43">
        <v>7701.2</v>
      </c>
      <c r="K27" s="43">
        <v>555842.15</v>
      </c>
      <c r="L27" s="43">
        <v>1224088</v>
      </c>
      <c r="M27" s="43">
        <f t="shared" si="0"/>
        <v>1779930.15</v>
      </c>
      <c r="N27" s="43">
        <v>0</v>
      </c>
      <c r="O27" s="43">
        <v>92226.55</v>
      </c>
      <c r="P27" s="43">
        <v>133744.85</v>
      </c>
      <c r="Q27" s="43">
        <v>0</v>
      </c>
      <c r="R27" s="43">
        <v>157018.45</v>
      </c>
      <c r="S27" s="43">
        <v>0</v>
      </c>
      <c r="T27" s="43">
        <v>0</v>
      </c>
      <c r="U27" s="43">
        <v>0</v>
      </c>
      <c r="V27" s="43">
        <v>0</v>
      </c>
      <c r="W27" s="43">
        <f t="shared" si="47"/>
        <v>157018.45</v>
      </c>
      <c r="X27" s="43">
        <v>0</v>
      </c>
      <c r="Y27" s="43">
        <f t="shared" si="48"/>
        <v>2954099.6</v>
      </c>
      <c r="Z27" s="43">
        <v>439562.7</v>
      </c>
      <c r="AA27" s="43">
        <v>5021</v>
      </c>
      <c r="AB27" s="43">
        <v>3547.5</v>
      </c>
      <c r="AC27" s="43">
        <v>0</v>
      </c>
      <c r="AD27" s="43">
        <v>2950</v>
      </c>
      <c r="AE27" s="43">
        <f t="shared" si="49"/>
        <v>451081.2</v>
      </c>
      <c r="AF27" s="43">
        <v>30244.95</v>
      </c>
      <c r="AG27" s="43">
        <v>2013051.35</v>
      </c>
      <c r="AH27" s="43">
        <v>0</v>
      </c>
      <c r="AI27" s="43">
        <v>354070.1</v>
      </c>
      <c r="AJ27" s="43">
        <v>7330.5</v>
      </c>
      <c r="AK27" s="43">
        <v>0</v>
      </c>
      <c r="AL27" s="43">
        <v>27281.1</v>
      </c>
      <c r="AM27" s="43">
        <v>0</v>
      </c>
      <c r="AN27" s="4">
        <v>2526.65</v>
      </c>
      <c r="AO27" s="4">
        <v>0</v>
      </c>
      <c r="AP27" s="4">
        <v>0</v>
      </c>
      <c r="AQ27" s="4">
        <v>0</v>
      </c>
      <c r="AR27" s="4">
        <v>90806.8</v>
      </c>
      <c r="AS27" s="4">
        <f t="shared" si="50"/>
        <v>93333.45</v>
      </c>
      <c r="AT27" s="4">
        <v>0</v>
      </c>
      <c r="AU27" s="4">
        <f t="shared" si="51"/>
        <v>2976392.65</v>
      </c>
      <c r="AV27" s="4">
        <v>22293.05</v>
      </c>
      <c r="AW27" s="4">
        <v>0</v>
      </c>
      <c r="AX27" s="144">
        <f t="shared" si="52"/>
        <v>1.8553691916167736E-10</v>
      </c>
      <c r="AY27" s="43">
        <v>57647.45</v>
      </c>
      <c r="AZ27" s="43">
        <v>1177435.25</v>
      </c>
      <c r="BA27" s="43">
        <v>0</v>
      </c>
      <c r="BB27" s="43">
        <v>0</v>
      </c>
      <c r="BC27" s="43">
        <v>325000</v>
      </c>
      <c r="BD27" s="43">
        <v>0</v>
      </c>
      <c r="BE27" s="43">
        <v>0</v>
      </c>
      <c r="BF27" s="43">
        <f t="shared" si="53"/>
        <v>1502435.25</v>
      </c>
      <c r="BG27" s="43">
        <v>0</v>
      </c>
      <c r="BH27" s="43">
        <v>0</v>
      </c>
      <c r="BI27" s="43">
        <v>0</v>
      </c>
      <c r="BJ27" s="43">
        <v>0</v>
      </c>
      <c r="BK27" s="43">
        <v>0</v>
      </c>
      <c r="BL27" s="43">
        <v>0</v>
      </c>
      <c r="BM27" s="43">
        <v>0</v>
      </c>
      <c r="BN27" s="43">
        <v>0</v>
      </c>
      <c r="BO27" s="43">
        <f t="shared" si="54"/>
        <v>0</v>
      </c>
      <c r="BP27" s="43">
        <v>0</v>
      </c>
      <c r="BQ27" s="43">
        <v>0</v>
      </c>
      <c r="BR27" s="43">
        <v>1502435.25</v>
      </c>
      <c r="BS27" s="143">
        <f t="shared" si="55"/>
        <v>0</v>
      </c>
      <c r="BT27" s="4">
        <v>5748144.4</v>
      </c>
      <c r="BU27" s="4">
        <v>1058890.05</v>
      </c>
      <c r="BV27" s="4">
        <v>0</v>
      </c>
      <c r="BW27" s="4">
        <v>0</v>
      </c>
      <c r="BX27" s="4">
        <f t="shared" si="56"/>
        <v>6807034.45</v>
      </c>
      <c r="BY27" s="4">
        <v>3404556.35</v>
      </c>
      <c r="BZ27" s="4">
        <v>554539</v>
      </c>
      <c r="CA27" s="4">
        <v>2847939.1</v>
      </c>
      <c r="CB27" s="4">
        <f t="shared" si="57"/>
        <v>6807034.45</v>
      </c>
      <c r="CC27" s="144">
        <f t="shared" si="58"/>
        <v>0</v>
      </c>
      <c r="CD27" s="74">
        <f t="shared" si="59"/>
        <v>1802223.2</v>
      </c>
      <c r="CE27" s="76">
        <f t="shared" si="60"/>
        <v>1865908.2</v>
      </c>
      <c r="CF27" s="76">
        <f t="shared" si="61"/>
        <v>1502435.25</v>
      </c>
      <c r="CG27" s="76">
        <f t="shared" si="16"/>
        <v>2883059.1999999997</v>
      </c>
      <c r="CH27" s="76">
        <f t="shared" si="62"/>
        <v>-1939061.2000000002</v>
      </c>
      <c r="CI27" s="37">
        <f t="shared" si="63"/>
        <v>-1383219.0500000003</v>
      </c>
      <c r="CJ27" s="59">
        <f t="shared" si="36"/>
        <v>1.1995346887661216</v>
      </c>
      <c r="CK27" s="59">
        <f t="shared" si="37"/>
        <v>1.241922538758326</v>
      </c>
      <c r="CL27" s="141">
        <f t="shared" si="38"/>
        <v>0.6251079408983347</v>
      </c>
      <c r="CM27" s="141">
        <f t="shared" si="39"/>
        <v>0.6471973242866467</v>
      </c>
      <c r="CN27" s="141">
        <f t="shared" si="40"/>
        <v>-0.6725707193248063</v>
      </c>
      <c r="CO27" s="141">
        <f t="shared" si="41"/>
        <v>-0.4797747649441262</v>
      </c>
      <c r="CP27" s="141">
        <f t="shared" si="42"/>
        <v>0.626996436759186</v>
      </c>
      <c r="CQ27" s="141">
        <f t="shared" si="43"/>
        <v>0.19580040680279787</v>
      </c>
      <c r="CR27" s="142">
        <f t="shared" si="44"/>
        <v>1.2560039395292868</v>
      </c>
      <c r="CS27" s="76">
        <f t="shared" si="45"/>
        <v>2343588.0500000003</v>
      </c>
      <c r="CT27" s="80">
        <f t="shared" si="64"/>
        <v>1174169.4500000002</v>
      </c>
      <c r="CU27" s="80">
        <f t="shared" si="65"/>
        <v>2885585.85</v>
      </c>
      <c r="CV27" s="80">
        <f t="shared" si="66"/>
        <v>1711416.4</v>
      </c>
      <c r="CW27" s="80">
        <f t="shared" si="67"/>
        <v>90806.8</v>
      </c>
      <c r="CX27" s="80">
        <f t="shared" si="68"/>
        <v>1802223.2</v>
      </c>
      <c r="CY27" s="80">
        <f t="shared" si="69"/>
        <v>22293.049999999814</v>
      </c>
      <c r="CZ27" s="80">
        <f t="shared" si="70"/>
        <v>1502435.25</v>
      </c>
      <c r="DA27" s="80">
        <f t="shared" si="71"/>
        <v>1779930.15</v>
      </c>
      <c r="DB27" s="80">
        <f t="shared" si="72"/>
        <v>299787.9499999997</v>
      </c>
      <c r="DC27" s="80">
        <f t="shared" si="73"/>
        <v>-1779930.15</v>
      </c>
      <c r="DD27" s="80">
        <f t="shared" si="74"/>
        <v>22293.049999999814</v>
      </c>
      <c r="DE27" s="80">
        <f t="shared" si="75"/>
        <v>448131.2</v>
      </c>
      <c r="DF27" s="80">
        <f t="shared" si="76"/>
        <v>3644.7714618973564</v>
      </c>
      <c r="DG27" s="80">
        <f t="shared" si="77"/>
        <v>-3015.647278382582</v>
      </c>
      <c r="DH27" s="80">
        <f t="shared" si="78"/>
        <v>696.938102643857</v>
      </c>
      <c r="DI27" s="81">
        <f t="shared" si="79"/>
        <v>2336.602255054432</v>
      </c>
      <c r="DJ27" s="76">
        <f t="shared" si="80"/>
        <v>466.23320373250345</v>
      </c>
      <c r="DK27" s="147">
        <f t="shared" si="46"/>
        <v>1789049.05</v>
      </c>
      <c r="DL27" s="64"/>
      <c r="DM27" s="65"/>
    </row>
    <row r="28" spans="1:117" ht="12.75">
      <c r="A28" s="51" t="s">
        <v>19</v>
      </c>
      <c r="B28" s="46">
        <v>422</v>
      </c>
      <c r="C28" s="38">
        <v>980210</v>
      </c>
      <c r="D28" s="39">
        <v>2322.77</v>
      </c>
      <c r="E28" s="39">
        <v>64.99</v>
      </c>
      <c r="F28" s="128">
        <v>8</v>
      </c>
      <c r="G28" s="134">
        <v>596189</v>
      </c>
      <c r="H28" s="42">
        <v>196358</v>
      </c>
      <c r="I28" s="42">
        <v>78102</v>
      </c>
      <c r="J28" s="42">
        <v>33750</v>
      </c>
      <c r="K28" s="42">
        <v>164993</v>
      </c>
      <c r="L28" s="42">
        <v>183000</v>
      </c>
      <c r="M28" s="43">
        <f t="shared" si="0"/>
        <v>347993</v>
      </c>
      <c r="N28" s="42">
        <v>0</v>
      </c>
      <c r="O28" s="42">
        <v>51425</v>
      </c>
      <c r="P28" s="42">
        <v>153101</v>
      </c>
      <c r="Q28" s="42">
        <v>0</v>
      </c>
      <c r="R28" s="42">
        <v>6325</v>
      </c>
      <c r="S28" s="42">
        <v>0</v>
      </c>
      <c r="T28" s="42">
        <v>0</v>
      </c>
      <c r="U28" s="42">
        <v>0</v>
      </c>
      <c r="V28" s="42">
        <v>0</v>
      </c>
      <c r="W28" s="43">
        <f t="shared" si="47"/>
        <v>6325</v>
      </c>
      <c r="X28" s="42">
        <v>292037</v>
      </c>
      <c r="Y28" s="43">
        <f t="shared" si="48"/>
        <v>1755280</v>
      </c>
      <c r="Z28" s="42">
        <v>78891</v>
      </c>
      <c r="AA28" s="42">
        <v>262201</v>
      </c>
      <c r="AB28" s="42">
        <v>0</v>
      </c>
      <c r="AC28" s="42">
        <v>0</v>
      </c>
      <c r="AD28" s="42">
        <v>3451</v>
      </c>
      <c r="AE28" s="43">
        <f t="shared" si="49"/>
        <v>344543</v>
      </c>
      <c r="AF28" s="42">
        <v>450</v>
      </c>
      <c r="AG28" s="42">
        <v>250902</v>
      </c>
      <c r="AH28" s="42">
        <v>119999</v>
      </c>
      <c r="AI28" s="42">
        <v>585401</v>
      </c>
      <c r="AJ28" s="42">
        <v>5233</v>
      </c>
      <c r="AK28" s="42">
        <v>19039</v>
      </c>
      <c r="AL28" s="42">
        <v>96568</v>
      </c>
      <c r="AM28" s="42">
        <v>123514</v>
      </c>
      <c r="AN28" s="38">
        <v>6333</v>
      </c>
      <c r="AO28" s="38">
        <v>0</v>
      </c>
      <c r="AP28" s="38">
        <v>0</v>
      </c>
      <c r="AQ28" s="38">
        <v>0</v>
      </c>
      <c r="AR28" s="38">
        <v>0</v>
      </c>
      <c r="AS28" s="4">
        <f t="shared" si="50"/>
        <v>6333</v>
      </c>
      <c r="AT28" s="38">
        <v>292037</v>
      </c>
      <c r="AU28" s="4">
        <f t="shared" si="51"/>
        <v>1724020</v>
      </c>
      <c r="AV28" s="38">
        <v>0</v>
      </c>
      <c r="AW28" s="38">
        <v>31260</v>
      </c>
      <c r="AX28" s="144">
        <f t="shared" si="52"/>
        <v>0</v>
      </c>
      <c r="AY28" s="42">
        <v>100773</v>
      </c>
      <c r="AZ28" s="42">
        <v>39136</v>
      </c>
      <c r="BA28" s="42">
        <v>0</v>
      </c>
      <c r="BB28" s="42">
        <v>0</v>
      </c>
      <c r="BC28" s="42">
        <v>0</v>
      </c>
      <c r="BD28" s="42">
        <v>0</v>
      </c>
      <c r="BE28" s="42">
        <v>0</v>
      </c>
      <c r="BF28" s="43">
        <f t="shared" si="53"/>
        <v>39136</v>
      </c>
      <c r="BG28" s="42">
        <v>0</v>
      </c>
      <c r="BH28" s="42">
        <v>0</v>
      </c>
      <c r="BI28" s="42">
        <v>0</v>
      </c>
      <c r="BJ28" s="42">
        <v>0</v>
      </c>
      <c r="BK28" s="42">
        <v>0</v>
      </c>
      <c r="BL28" s="42">
        <v>0</v>
      </c>
      <c r="BM28" s="42">
        <v>0</v>
      </c>
      <c r="BN28" s="42">
        <v>0</v>
      </c>
      <c r="BO28" s="43">
        <f t="shared" si="54"/>
        <v>0</v>
      </c>
      <c r="BP28" s="42">
        <v>0</v>
      </c>
      <c r="BQ28" s="42">
        <v>0</v>
      </c>
      <c r="BR28" s="42">
        <v>39136</v>
      </c>
      <c r="BS28" s="143">
        <f t="shared" si="55"/>
        <v>0</v>
      </c>
      <c r="BT28" s="38">
        <v>1858692</v>
      </c>
      <c r="BU28" s="38">
        <v>994587</v>
      </c>
      <c r="BV28" s="38">
        <v>25027</v>
      </c>
      <c r="BW28" s="38">
        <v>555044</v>
      </c>
      <c r="BX28" s="4">
        <f t="shared" si="56"/>
        <v>3433350</v>
      </c>
      <c r="BY28" s="38">
        <v>3034268</v>
      </c>
      <c r="BZ28" s="38">
        <v>399082</v>
      </c>
      <c r="CA28" s="38">
        <v>0</v>
      </c>
      <c r="CB28" s="4">
        <f t="shared" si="57"/>
        <v>3433350</v>
      </c>
      <c r="CC28" s="144">
        <f t="shared" si="58"/>
        <v>0</v>
      </c>
      <c r="CD28" s="74">
        <f t="shared" si="59"/>
        <v>316733</v>
      </c>
      <c r="CE28" s="76">
        <f t="shared" si="60"/>
        <v>316725</v>
      </c>
      <c r="CF28" s="76">
        <f t="shared" si="61"/>
        <v>39136</v>
      </c>
      <c r="CG28" s="76">
        <f t="shared" si="16"/>
        <v>1302136</v>
      </c>
      <c r="CH28" s="76">
        <f t="shared" si="62"/>
        <v>47972</v>
      </c>
      <c r="CI28" s="37">
        <f t="shared" si="63"/>
        <v>212965</v>
      </c>
      <c r="CJ28" s="59">
        <f t="shared" si="36"/>
        <v>8.093136753883892</v>
      </c>
      <c r="CK28" s="59">
        <f t="shared" si="37"/>
        <v>8.092932338511856</v>
      </c>
      <c r="CL28" s="141">
        <f t="shared" si="38"/>
        <v>0.24324110538376945</v>
      </c>
      <c r="CM28" s="141">
        <f t="shared" si="39"/>
        <v>0.2432349616322719</v>
      </c>
      <c r="CN28" s="141">
        <f t="shared" si="40"/>
        <v>0.036841005854995175</v>
      </c>
      <c r="CO28" s="141">
        <f t="shared" si="41"/>
        <v>0.16355050470918553</v>
      </c>
      <c r="CP28" s="141">
        <f t="shared" si="42"/>
        <v>0.25919721729803813</v>
      </c>
      <c r="CQ28" s="141">
        <f t="shared" si="43"/>
        <v>0.12289249057784266</v>
      </c>
      <c r="CR28" s="142">
        <f t="shared" si="44"/>
        <v>-3.711661536032836</v>
      </c>
      <c r="CS28" s="76">
        <f t="shared" si="45"/>
        <v>-1175576</v>
      </c>
      <c r="CT28" s="80">
        <f t="shared" si="64"/>
        <v>1407287</v>
      </c>
      <c r="CU28" s="80">
        <f t="shared" si="65"/>
        <v>1724020</v>
      </c>
      <c r="CV28" s="80">
        <f t="shared" si="66"/>
        <v>316733</v>
      </c>
      <c r="CW28" s="80">
        <f t="shared" si="67"/>
        <v>0</v>
      </c>
      <c r="CX28" s="80">
        <f t="shared" si="68"/>
        <v>316733</v>
      </c>
      <c r="CY28" s="80">
        <f t="shared" si="69"/>
        <v>-31260</v>
      </c>
      <c r="CZ28" s="80">
        <f t="shared" si="70"/>
        <v>39136</v>
      </c>
      <c r="DA28" s="80">
        <f t="shared" si="71"/>
        <v>347993</v>
      </c>
      <c r="DB28" s="80">
        <f t="shared" si="72"/>
        <v>277597</v>
      </c>
      <c r="DC28" s="80">
        <f t="shared" si="73"/>
        <v>-347993</v>
      </c>
      <c r="DD28" s="80">
        <f t="shared" si="74"/>
        <v>-31260</v>
      </c>
      <c r="DE28" s="80">
        <f t="shared" si="75"/>
        <v>341092</v>
      </c>
      <c r="DF28" s="80">
        <f t="shared" si="76"/>
        <v>-2785.725118483412</v>
      </c>
      <c r="DG28" s="80">
        <f t="shared" si="77"/>
        <v>113.67772511848341</v>
      </c>
      <c r="DH28" s="80">
        <f t="shared" si="78"/>
        <v>808.2748815165877</v>
      </c>
      <c r="DI28" s="81">
        <f t="shared" si="79"/>
        <v>92.739336492891</v>
      </c>
      <c r="DJ28" s="76">
        <f t="shared" si="80"/>
        <v>657.8127962085308</v>
      </c>
      <c r="DK28" s="147">
        <f t="shared" si="46"/>
        <v>-1549631</v>
      </c>
      <c r="DL28" s="67"/>
      <c r="DM28" s="68"/>
    </row>
    <row r="29" spans="1:117" ht="12.75">
      <c r="A29" s="52" t="s">
        <v>21</v>
      </c>
      <c r="B29" s="41">
        <v>2583</v>
      </c>
      <c r="C29" s="4">
        <v>9688597</v>
      </c>
      <c r="D29" s="34">
        <v>3750.91</v>
      </c>
      <c r="E29" s="34">
        <v>104.95</v>
      </c>
      <c r="F29" s="8">
        <v>2</v>
      </c>
      <c r="G29" s="133">
        <v>2095651.05</v>
      </c>
      <c r="H29" s="43">
        <v>1525599.79</v>
      </c>
      <c r="I29" s="43">
        <v>104732.35</v>
      </c>
      <c r="J29" s="43">
        <v>0</v>
      </c>
      <c r="K29" s="43">
        <v>407523.43</v>
      </c>
      <c r="L29" s="43">
        <v>412262.61</v>
      </c>
      <c r="M29" s="43">
        <f t="shared" si="0"/>
        <v>819786.04</v>
      </c>
      <c r="N29" s="43">
        <v>5000</v>
      </c>
      <c r="O29" s="43">
        <v>328031.75</v>
      </c>
      <c r="P29" s="43">
        <v>597141.6</v>
      </c>
      <c r="Q29" s="43">
        <v>0</v>
      </c>
      <c r="R29" s="43">
        <v>22479.16</v>
      </c>
      <c r="S29" s="43">
        <v>0</v>
      </c>
      <c r="T29" s="43">
        <v>0</v>
      </c>
      <c r="U29" s="43">
        <v>0</v>
      </c>
      <c r="V29" s="43">
        <v>0</v>
      </c>
      <c r="W29" s="43">
        <f t="shared" si="47"/>
        <v>22479.16</v>
      </c>
      <c r="X29" s="43">
        <v>2120361.55</v>
      </c>
      <c r="Y29" s="43">
        <f t="shared" si="48"/>
        <v>7618783.29</v>
      </c>
      <c r="Z29" s="43">
        <v>1824310.5</v>
      </c>
      <c r="AA29" s="43">
        <v>379490.55</v>
      </c>
      <c r="AB29" s="43">
        <v>36448.9</v>
      </c>
      <c r="AC29" s="43">
        <v>0</v>
      </c>
      <c r="AD29" s="43">
        <v>20914.1</v>
      </c>
      <c r="AE29" s="43">
        <f t="shared" si="49"/>
        <v>2261164.05</v>
      </c>
      <c r="AF29" s="43">
        <v>44931.7</v>
      </c>
      <c r="AG29" s="43">
        <v>303679.8</v>
      </c>
      <c r="AH29" s="43">
        <v>0</v>
      </c>
      <c r="AI29" s="43">
        <v>1991738.46</v>
      </c>
      <c r="AJ29" s="43">
        <v>425653.7</v>
      </c>
      <c r="AK29" s="43">
        <v>93551.02</v>
      </c>
      <c r="AL29" s="43">
        <v>314162.7</v>
      </c>
      <c r="AM29" s="43">
        <v>0</v>
      </c>
      <c r="AN29" s="4">
        <v>64201.55</v>
      </c>
      <c r="AO29" s="4">
        <v>0</v>
      </c>
      <c r="AP29" s="4">
        <v>0</v>
      </c>
      <c r="AQ29" s="4">
        <v>0</v>
      </c>
      <c r="AR29" s="4">
        <v>0</v>
      </c>
      <c r="AS29" s="4">
        <f t="shared" si="50"/>
        <v>64201.55</v>
      </c>
      <c r="AT29" s="4">
        <v>2120361.55</v>
      </c>
      <c r="AU29" s="4">
        <f t="shared" si="51"/>
        <v>7619444.529999999</v>
      </c>
      <c r="AV29" s="4">
        <v>661.24</v>
      </c>
      <c r="AW29" s="4">
        <v>0</v>
      </c>
      <c r="AX29" s="144">
        <f t="shared" si="52"/>
        <v>7.078142516547814E-10</v>
      </c>
      <c r="AY29" s="43">
        <v>4699.2</v>
      </c>
      <c r="AZ29" s="43">
        <v>755292.29</v>
      </c>
      <c r="BA29" s="43">
        <v>0</v>
      </c>
      <c r="BB29" s="43">
        <v>0</v>
      </c>
      <c r="BC29" s="43">
        <v>0</v>
      </c>
      <c r="BD29" s="43">
        <v>0</v>
      </c>
      <c r="BE29" s="43">
        <v>14477.15</v>
      </c>
      <c r="BF29" s="43">
        <f t="shared" si="53"/>
        <v>769769.4400000001</v>
      </c>
      <c r="BG29" s="43">
        <v>89082.5</v>
      </c>
      <c r="BH29" s="43">
        <v>46000</v>
      </c>
      <c r="BI29" s="43">
        <v>0</v>
      </c>
      <c r="BJ29" s="43">
        <v>1869.8</v>
      </c>
      <c r="BK29" s="43">
        <v>0</v>
      </c>
      <c r="BL29" s="43">
        <v>21869.3</v>
      </c>
      <c r="BM29" s="43">
        <v>319175</v>
      </c>
      <c r="BN29" s="43">
        <v>0</v>
      </c>
      <c r="BO29" s="43">
        <f t="shared" si="54"/>
        <v>477996.6</v>
      </c>
      <c r="BP29" s="43">
        <v>477996.6</v>
      </c>
      <c r="BQ29" s="43">
        <v>0</v>
      </c>
      <c r="BR29" s="43">
        <v>769769.44</v>
      </c>
      <c r="BS29" s="143">
        <f t="shared" si="55"/>
        <v>0</v>
      </c>
      <c r="BT29" s="4">
        <v>9341415.27</v>
      </c>
      <c r="BU29" s="4">
        <v>2871747.95</v>
      </c>
      <c r="BV29" s="4">
        <v>63759.48</v>
      </c>
      <c r="BW29" s="4">
        <v>0</v>
      </c>
      <c r="BX29" s="4">
        <f t="shared" si="56"/>
        <v>12276922.7</v>
      </c>
      <c r="BY29" s="4">
        <v>2203854.38</v>
      </c>
      <c r="BZ29" s="4">
        <v>5029184.62</v>
      </c>
      <c r="CA29" s="4">
        <v>5043883.7</v>
      </c>
      <c r="CB29" s="4">
        <f t="shared" si="57"/>
        <v>12276922.7</v>
      </c>
      <c r="CC29" s="144">
        <f t="shared" si="58"/>
        <v>0</v>
      </c>
      <c r="CD29" s="74">
        <f t="shared" si="59"/>
        <v>820447.28</v>
      </c>
      <c r="CE29" s="76">
        <f t="shared" si="60"/>
        <v>778724.89</v>
      </c>
      <c r="CF29" s="76">
        <f t="shared" si="61"/>
        <v>291772.83999999997</v>
      </c>
      <c r="CG29" s="76">
        <f t="shared" si="16"/>
        <v>5434881.43</v>
      </c>
      <c r="CH29" s="76">
        <f t="shared" si="62"/>
        <v>-194248.24999999997</v>
      </c>
      <c r="CI29" s="37">
        <f t="shared" si="63"/>
        <v>213275.18000000002</v>
      </c>
      <c r="CJ29" s="59">
        <f t="shared" si="36"/>
        <v>2.8119384929728213</v>
      </c>
      <c r="CK29" s="59">
        <f t="shared" si="37"/>
        <v>2.6689423525507037</v>
      </c>
      <c r="CL29" s="141">
        <f t="shared" si="38"/>
        <v>0.1509595546043035</v>
      </c>
      <c r="CM29" s="141">
        <f t="shared" si="39"/>
        <v>0.14328277443211856</v>
      </c>
      <c r="CN29" s="141">
        <f t="shared" si="40"/>
        <v>-0.03574102811659683</v>
      </c>
      <c r="CO29" s="141">
        <f t="shared" si="41"/>
        <v>0.03924191957946726</v>
      </c>
      <c r="CP29" s="141">
        <f t="shared" si="42"/>
        <v>0.22207191975496343</v>
      </c>
      <c r="CQ29" s="141">
        <f t="shared" si="43"/>
        <v>0.11039406141293581</v>
      </c>
      <c r="CR29" s="142">
        <f t="shared" si="44"/>
        <v>9.16570278111953</v>
      </c>
      <c r="CS29" s="76">
        <f t="shared" si="45"/>
        <v>7137560.89</v>
      </c>
      <c r="CT29" s="80">
        <f t="shared" si="64"/>
        <v>6798997.25</v>
      </c>
      <c r="CU29" s="80">
        <f t="shared" si="65"/>
        <v>7619444.529999999</v>
      </c>
      <c r="CV29" s="80">
        <f t="shared" si="66"/>
        <v>820447.2799999993</v>
      </c>
      <c r="CW29" s="80">
        <f t="shared" si="67"/>
        <v>0</v>
      </c>
      <c r="CX29" s="80">
        <f t="shared" si="68"/>
        <v>820447.2799999993</v>
      </c>
      <c r="CY29" s="80">
        <f t="shared" si="69"/>
        <v>661.2399999993504</v>
      </c>
      <c r="CZ29" s="80">
        <f t="shared" si="70"/>
        <v>291772.83999999997</v>
      </c>
      <c r="DA29" s="80">
        <f t="shared" si="71"/>
        <v>819786.04</v>
      </c>
      <c r="DB29" s="80">
        <f t="shared" si="72"/>
        <v>528674.4399999995</v>
      </c>
      <c r="DC29" s="80">
        <f t="shared" si="73"/>
        <v>-1297782.6400000001</v>
      </c>
      <c r="DD29" s="80">
        <f t="shared" si="74"/>
        <v>661.2399999992922</v>
      </c>
      <c r="DE29" s="80">
        <f t="shared" si="75"/>
        <v>2240249.9499999997</v>
      </c>
      <c r="DF29" s="80">
        <f t="shared" si="76"/>
        <v>2763.2833488192023</v>
      </c>
      <c r="DG29" s="80">
        <f t="shared" si="77"/>
        <v>-75.20257452574525</v>
      </c>
      <c r="DH29" s="80">
        <f t="shared" si="78"/>
        <v>867.3054394115369</v>
      </c>
      <c r="DI29" s="81">
        <f t="shared" si="79"/>
        <v>112.95890050329074</v>
      </c>
      <c r="DJ29" s="76">
        <f t="shared" si="80"/>
        <v>204.67457994579925</v>
      </c>
      <c r="DK29" s="147">
        <f t="shared" si="46"/>
        <v>2172135.75</v>
      </c>
      <c r="DL29" s="64"/>
      <c r="DM29" s="65"/>
    </row>
    <row r="30" spans="1:117" ht="12.75">
      <c r="A30" s="51" t="s">
        <v>31</v>
      </c>
      <c r="B30" s="46">
        <v>397</v>
      </c>
      <c r="C30" s="38">
        <v>1074255</v>
      </c>
      <c r="D30" s="39">
        <v>2705.93</v>
      </c>
      <c r="E30" s="39">
        <v>75.71</v>
      </c>
      <c r="F30" s="128">
        <v>6</v>
      </c>
      <c r="G30" s="134">
        <v>262197.6</v>
      </c>
      <c r="H30" s="42">
        <v>144171.05</v>
      </c>
      <c r="I30" s="42">
        <v>14333.6</v>
      </c>
      <c r="J30" s="42">
        <v>0</v>
      </c>
      <c r="K30" s="42">
        <v>108572.4</v>
      </c>
      <c r="L30" s="42">
        <v>0</v>
      </c>
      <c r="M30" s="43">
        <f t="shared" si="0"/>
        <v>108572.4</v>
      </c>
      <c r="N30" s="42">
        <v>0</v>
      </c>
      <c r="O30" s="42">
        <v>43828.3</v>
      </c>
      <c r="P30" s="42">
        <v>122990.85</v>
      </c>
      <c r="Q30" s="42">
        <v>1644.15</v>
      </c>
      <c r="R30" s="42">
        <v>1470.6</v>
      </c>
      <c r="S30" s="42">
        <v>8205</v>
      </c>
      <c r="T30" s="42">
        <v>0</v>
      </c>
      <c r="U30" s="42">
        <v>0</v>
      </c>
      <c r="V30" s="42">
        <v>0</v>
      </c>
      <c r="W30" s="43">
        <f t="shared" si="47"/>
        <v>9675.6</v>
      </c>
      <c r="X30" s="42">
        <v>190662.6</v>
      </c>
      <c r="Y30" s="43">
        <f t="shared" si="48"/>
        <v>898076.1499999999</v>
      </c>
      <c r="Z30" s="42">
        <v>351382.65</v>
      </c>
      <c r="AA30" s="42">
        <v>1732.2</v>
      </c>
      <c r="AB30" s="42">
        <v>0</v>
      </c>
      <c r="AC30" s="42">
        <v>0</v>
      </c>
      <c r="AD30" s="42">
        <v>9600.65</v>
      </c>
      <c r="AE30" s="43">
        <f t="shared" si="49"/>
        <v>362715.50000000006</v>
      </c>
      <c r="AF30" s="42">
        <v>0</v>
      </c>
      <c r="AG30" s="42">
        <v>24545.8</v>
      </c>
      <c r="AH30" s="42">
        <v>0</v>
      </c>
      <c r="AI30" s="42">
        <v>207900.55</v>
      </c>
      <c r="AJ30" s="42">
        <v>4655.2</v>
      </c>
      <c r="AK30" s="42">
        <v>18756.25</v>
      </c>
      <c r="AL30" s="42">
        <v>67495.76</v>
      </c>
      <c r="AM30" s="42">
        <v>1766.8</v>
      </c>
      <c r="AN30" s="38">
        <v>38709.55</v>
      </c>
      <c r="AO30" s="38">
        <v>0</v>
      </c>
      <c r="AP30" s="38">
        <v>0</v>
      </c>
      <c r="AQ30" s="38">
        <v>0</v>
      </c>
      <c r="AR30" s="38">
        <v>0</v>
      </c>
      <c r="AS30" s="4">
        <f t="shared" si="50"/>
        <v>38709.55</v>
      </c>
      <c r="AT30" s="38">
        <v>190662.6</v>
      </c>
      <c r="AU30" s="4">
        <f t="shared" si="51"/>
        <v>917208.0100000002</v>
      </c>
      <c r="AV30" s="38">
        <v>19131.86</v>
      </c>
      <c r="AW30" s="38">
        <v>0</v>
      </c>
      <c r="AX30" s="144">
        <f t="shared" si="52"/>
        <v>-3.346940502524376E-10</v>
      </c>
      <c r="AY30" s="42">
        <v>65</v>
      </c>
      <c r="AZ30" s="42">
        <f>24983.35+13282.8+14853.1+14853.15</f>
        <v>67972.4</v>
      </c>
      <c r="BA30" s="42">
        <v>0</v>
      </c>
      <c r="BB30" s="42">
        <v>0</v>
      </c>
      <c r="BC30" s="42">
        <v>0</v>
      </c>
      <c r="BD30" s="42">
        <v>0</v>
      </c>
      <c r="BE30" s="42">
        <v>0</v>
      </c>
      <c r="BF30" s="43">
        <f t="shared" si="53"/>
        <v>67972.4</v>
      </c>
      <c r="BG30" s="42">
        <v>0</v>
      </c>
      <c r="BH30" s="42">
        <f>850+850</f>
        <v>1700</v>
      </c>
      <c r="BI30" s="42">
        <v>0</v>
      </c>
      <c r="BJ30" s="42">
        <v>0</v>
      </c>
      <c r="BK30" s="42">
        <v>0</v>
      </c>
      <c r="BL30" s="42">
        <f>20000</f>
        <v>20000</v>
      </c>
      <c r="BM30" s="42">
        <f>10482.4+10482.4</f>
        <v>20964.8</v>
      </c>
      <c r="BN30" s="42">
        <v>0</v>
      </c>
      <c r="BO30" s="43">
        <f t="shared" si="54"/>
        <v>42664.8</v>
      </c>
      <c r="BP30" s="42">
        <f>42664.8-11964.7</f>
        <v>30700.100000000002</v>
      </c>
      <c r="BQ30" s="42">
        <v>11964.8</v>
      </c>
      <c r="BR30" s="42">
        <v>67972.4</v>
      </c>
      <c r="BS30" s="43">
        <f t="shared" si="55"/>
        <v>0.10000000000582077</v>
      </c>
      <c r="BT30" s="38">
        <v>854824.24</v>
      </c>
      <c r="BU30" s="38">
        <v>885204</v>
      </c>
      <c r="BV30" s="38">
        <v>53132.15</v>
      </c>
      <c r="BW30" s="38">
        <v>0</v>
      </c>
      <c r="BX30" s="4">
        <f t="shared" si="56"/>
        <v>1793160.39</v>
      </c>
      <c r="BY30" s="38">
        <v>870567.15</v>
      </c>
      <c r="BZ30" s="38">
        <v>702424.15</v>
      </c>
      <c r="CA30" s="38">
        <v>220169.09</v>
      </c>
      <c r="CB30" s="4">
        <f t="shared" si="57"/>
        <v>1793160.3900000001</v>
      </c>
      <c r="CC30" s="144">
        <f t="shared" si="58"/>
        <v>0</v>
      </c>
      <c r="CD30" s="74">
        <f t="shared" si="59"/>
        <v>127704.26</v>
      </c>
      <c r="CE30" s="76">
        <f t="shared" si="60"/>
        <v>98670.30999999998</v>
      </c>
      <c r="CF30" s="76">
        <f t="shared" si="61"/>
        <v>37272.29999999999</v>
      </c>
      <c r="CG30" s="76">
        <f t="shared" si="16"/>
        <v>686069.0600000002</v>
      </c>
      <c r="CH30" s="76">
        <f t="shared" si="62"/>
        <v>1817.6000000000004</v>
      </c>
      <c r="CI30" s="37">
        <f t="shared" si="63"/>
        <v>110390</v>
      </c>
      <c r="CJ30" s="59">
        <f t="shared" si="36"/>
        <v>3.4262511301958836</v>
      </c>
      <c r="CK30" s="59">
        <f t="shared" si="37"/>
        <v>2.647282566409908</v>
      </c>
      <c r="CL30" s="141">
        <f t="shared" si="38"/>
        <v>0.18613907468732077</v>
      </c>
      <c r="CM30" s="141">
        <f t="shared" si="39"/>
        <v>0.14381979271882622</v>
      </c>
      <c r="CN30" s="141">
        <f t="shared" si="40"/>
        <v>0.002649295976122287</v>
      </c>
      <c r="CO30" s="141">
        <f t="shared" si="41"/>
        <v>0.16090216923643222</v>
      </c>
      <c r="CP30" s="141">
        <f t="shared" si="42"/>
        <v>0.10925234288115515</v>
      </c>
      <c r="CQ30" s="141">
        <f t="shared" si="43"/>
        <v>0.10925234288115515</v>
      </c>
      <c r="CR30" s="142">
        <f t="shared" si="44"/>
        <v>-0.15955062875549936</v>
      </c>
      <c r="CS30" s="76">
        <f t="shared" si="45"/>
        <v>-15742.910000000033</v>
      </c>
      <c r="CT30" s="80">
        <f t="shared" si="64"/>
        <v>789503.7499999999</v>
      </c>
      <c r="CU30" s="80">
        <f t="shared" si="65"/>
        <v>917208.0100000002</v>
      </c>
      <c r="CV30" s="80">
        <f t="shared" si="66"/>
        <v>127704.26000000036</v>
      </c>
      <c r="CW30" s="80">
        <f t="shared" si="67"/>
        <v>0</v>
      </c>
      <c r="CX30" s="80">
        <f t="shared" si="68"/>
        <v>127704.26000000036</v>
      </c>
      <c r="CY30" s="80">
        <f t="shared" si="69"/>
        <v>19131.860000000364</v>
      </c>
      <c r="CZ30" s="80">
        <f t="shared" si="70"/>
        <v>37272.29999999999</v>
      </c>
      <c r="DA30" s="80">
        <f t="shared" si="71"/>
        <v>108572.4</v>
      </c>
      <c r="DB30" s="80">
        <f t="shared" si="72"/>
        <v>90431.96000000037</v>
      </c>
      <c r="DC30" s="80">
        <f t="shared" si="73"/>
        <v>-139272.5</v>
      </c>
      <c r="DD30" s="80">
        <f t="shared" si="74"/>
        <v>19131.860000000364</v>
      </c>
      <c r="DE30" s="80">
        <f t="shared" si="75"/>
        <v>353114.85000000003</v>
      </c>
      <c r="DF30" s="80">
        <f t="shared" si="76"/>
        <v>-39.65468513853912</v>
      </c>
      <c r="DG30" s="80">
        <f t="shared" si="77"/>
        <v>4.578337531486147</v>
      </c>
      <c r="DH30" s="80">
        <f t="shared" si="78"/>
        <v>889.4580604534005</v>
      </c>
      <c r="DI30" s="81">
        <f t="shared" si="79"/>
        <v>93.88488664987402</v>
      </c>
      <c r="DJ30" s="76">
        <f t="shared" si="80"/>
        <v>227.7883123425702</v>
      </c>
      <c r="DK30" s="147">
        <f t="shared" si="46"/>
        <v>-665034.91</v>
      </c>
      <c r="DL30" s="67"/>
      <c r="DM30" s="68"/>
    </row>
    <row r="31" spans="1:117" ht="13.5" thickBot="1">
      <c r="A31" s="53" t="s">
        <v>20</v>
      </c>
      <c r="B31" s="47">
        <v>303</v>
      </c>
      <c r="C31" s="7">
        <v>1003415</v>
      </c>
      <c r="D31" s="35">
        <v>3311.6</v>
      </c>
      <c r="E31" s="35">
        <v>92.66</v>
      </c>
      <c r="F31" s="129">
        <v>5</v>
      </c>
      <c r="G31" s="133">
        <v>273871.2</v>
      </c>
      <c r="H31" s="43">
        <v>158203.95</v>
      </c>
      <c r="I31" s="43">
        <v>17159.5</v>
      </c>
      <c r="J31" s="43">
        <v>8000</v>
      </c>
      <c r="K31" s="43">
        <v>79617.4</v>
      </c>
      <c r="L31" s="43">
        <v>111280</v>
      </c>
      <c r="M31" s="43">
        <f t="shared" si="0"/>
        <v>190897.4</v>
      </c>
      <c r="N31" s="43">
        <v>0</v>
      </c>
      <c r="O31" s="43">
        <v>50543.55</v>
      </c>
      <c r="P31" s="43">
        <v>112324.05</v>
      </c>
      <c r="Q31" s="43">
        <v>1160</v>
      </c>
      <c r="R31" s="43">
        <v>26.45</v>
      </c>
      <c r="S31" s="43">
        <v>4542.75</v>
      </c>
      <c r="T31" s="43">
        <v>0</v>
      </c>
      <c r="U31" s="43">
        <v>10000</v>
      </c>
      <c r="V31" s="43">
        <v>0</v>
      </c>
      <c r="W31" s="43">
        <f t="shared" si="47"/>
        <v>14569.2</v>
      </c>
      <c r="X31" s="43">
        <v>113331</v>
      </c>
      <c r="Y31" s="43">
        <f t="shared" si="48"/>
        <v>940059.8500000002</v>
      </c>
      <c r="Z31" s="43">
        <v>309959.6</v>
      </c>
      <c r="AA31" s="43">
        <v>3968.5</v>
      </c>
      <c r="AB31" s="43">
        <v>0</v>
      </c>
      <c r="AC31" s="43">
        <v>0</v>
      </c>
      <c r="AD31" s="43">
        <v>6586.6</v>
      </c>
      <c r="AE31" s="43">
        <f t="shared" si="49"/>
        <v>320514.69999999995</v>
      </c>
      <c r="AF31" s="43">
        <v>0</v>
      </c>
      <c r="AG31" s="43">
        <v>79306.5</v>
      </c>
      <c r="AH31" s="43">
        <v>0</v>
      </c>
      <c r="AI31" s="43">
        <v>113414.65</v>
      </c>
      <c r="AJ31" s="43">
        <v>3570.95</v>
      </c>
      <c r="AK31" s="43">
        <v>9764</v>
      </c>
      <c r="AL31" s="43">
        <v>101793.2</v>
      </c>
      <c r="AM31" s="43">
        <v>1160</v>
      </c>
      <c r="AN31" s="4">
        <v>19730.6</v>
      </c>
      <c r="AO31" s="4">
        <v>0</v>
      </c>
      <c r="AP31" s="4">
        <v>177982.2</v>
      </c>
      <c r="AQ31" s="4">
        <v>0</v>
      </c>
      <c r="AR31" s="4">
        <v>0</v>
      </c>
      <c r="AS31" s="4">
        <f t="shared" si="50"/>
        <v>197712.80000000002</v>
      </c>
      <c r="AT31" s="4">
        <v>113331</v>
      </c>
      <c r="AU31" s="4">
        <f t="shared" si="51"/>
        <v>940567.7999999998</v>
      </c>
      <c r="AV31" s="4">
        <v>507.95</v>
      </c>
      <c r="AW31" s="4">
        <v>0</v>
      </c>
      <c r="AX31" s="144">
        <f t="shared" si="52"/>
        <v>3.958007255278062E-10</v>
      </c>
      <c r="AY31" s="43">
        <v>67380.4</v>
      </c>
      <c r="AZ31" s="43">
        <v>645316.65</v>
      </c>
      <c r="BA31" s="43">
        <v>2091</v>
      </c>
      <c r="BB31" s="43">
        <v>14819.8</v>
      </c>
      <c r="BC31" s="43">
        <v>4500</v>
      </c>
      <c r="BD31" s="43">
        <v>0</v>
      </c>
      <c r="BE31" s="43">
        <v>17712.25</v>
      </c>
      <c r="BF31" s="43">
        <f t="shared" si="53"/>
        <v>684439.7000000001</v>
      </c>
      <c r="BG31" s="43">
        <v>196000</v>
      </c>
      <c r="BH31" s="43">
        <v>17999.6</v>
      </c>
      <c r="BI31" s="43">
        <v>0</v>
      </c>
      <c r="BJ31" s="43">
        <v>0</v>
      </c>
      <c r="BK31" s="43">
        <v>3000</v>
      </c>
      <c r="BL31" s="43">
        <v>0</v>
      </c>
      <c r="BM31" s="43">
        <v>11532.45</v>
      </c>
      <c r="BN31" s="43">
        <v>0</v>
      </c>
      <c r="BO31" s="43">
        <f t="shared" si="54"/>
        <v>228532.05000000002</v>
      </c>
      <c r="BP31" s="143">
        <v>228532.05</v>
      </c>
      <c r="BQ31" s="43">
        <v>0</v>
      </c>
      <c r="BR31" s="43">
        <v>684439.7</v>
      </c>
      <c r="BS31" s="43">
        <f t="shared" si="55"/>
        <v>0</v>
      </c>
      <c r="BT31" s="4">
        <v>2005762.3</v>
      </c>
      <c r="BU31" s="4">
        <v>562250</v>
      </c>
      <c r="BV31" s="4">
        <v>0</v>
      </c>
      <c r="BW31" s="4">
        <v>0</v>
      </c>
      <c r="BX31" s="4">
        <f t="shared" si="56"/>
        <v>2568012.3</v>
      </c>
      <c r="BY31" s="4">
        <v>514226.35</v>
      </c>
      <c r="BZ31" s="4">
        <v>1019361.75</v>
      </c>
      <c r="CA31" s="4">
        <v>1034424.2</v>
      </c>
      <c r="CB31" s="4">
        <f t="shared" si="57"/>
        <v>2568012.3</v>
      </c>
      <c r="CC31" s="144">
        <f t="shared" si="58"/>
        <v>0</v>
      </c>
      <c r="CD31" s="74">
        <f t="shared" si="59"/>
        <v>191405.35</v>
      </c>
      <c r="CE31" s="76">
        <f t="shared" si="60"/>
        <v>8261.75</v>
      </c>
      <c r="CF31" s="76">
        <f t="shared" si="61"/>
        <v>455907.64999999997</v>
      </c>
      <c r="CG31" s="76">
        <f t="shared" si="16"/>
        <v>628363.9999999998</v>
      </c>
      <c r="CH31" s="76">
        <f t="shared" si="62"/>
        <v>5233.399999999994</v>
      </c>
      <c r="CI31" s="37">
        <f t="shared" si="63"/>
        <v>84850.79999999999</v>
      </c>
      <c r="CJ31" s="59">
        <f t="shared" si="36"/>
        <v>0.41983360007229537</v>
      </c>
      <c r="CK31" s="59">
        <f t="shared" si="37"/>
        <v>0.01812154281684021</v>
      </c>
      <c r="CL31" s="141">
        <f t="shared" si="38"/>
        <v>0.3046090323443101</v>
      </c>
      <c r="CM31" s="141">
        <f t="shared" si="39"/>
        <v>0.013148032032388875</v>
      </c>
      <c r="CN31" s="141">
        <f t="shared" si="40"/>
        <v>0.008328612078349486</v>
      </c>
      <c r="CO31" s="141">
        <f t="shared" si="41"/>
        <v>0.13503447046616296</v>
      </c>
      <c r="CP31" s="141">
        <f t="shared" si="42"/>
        <v>0.2534661873625269</v>
      </c>
      <c r="CQ31" s="141">
        <f t="shared" si="43"/>
        <v>0.10571290560121431</v>
      </c>
      <c r="CR31" s="142">
        <f t="shared" si="44"/>
        <v>180.53511060005448</v>
      </c>
      <c r="CS31" s="76">
        <f t="shared" si="45"/>
        <v>1491535.9500000002</v>
      </c>
      <c r="CT31" s="80">
        <f t="shared" si="64"/>
        <v>749162.4500000002</v>
      </c>
      <c r="CU31" s="80">
        <f t="shared" si="65"/>
        <v>940567.7999999998</v>
      </c>
      <c r="CV31" s="80">
        <f t="shared" si="66"/>
        <v>191405.34999999963</v>
      </c>
      <c r="CW31" s="80">
        <f t="shared" si="67"/>
        <v>0</v>
      </c>
      <c r="CX31" s="80">
        <f t="shared" si="68"/>
        <v>191405.34999999963</v>
      </c>
      <c r="CY31" s="80">
        <f t="shared" si="69"/>
        <v>507.9499999996333</v>
      </c>
      <c r="CZ31" s="80">
        <f t="shared" si="70"/>
        <v>455907.64999999997</v>
      </c>
      <c r="DA31" s="80">
        <f t="shared" si="71"/>
        <v>190897.4</v>
      </c>
      <c r="DB31" s="80">
        <f t="shared" si="72"/>
        <v>-264502.3000000004</v>
      </c>
      <c r="DC31" s="80">
        <f t="shared" si="73"/>
        <v>-419429.44999999995</v>
      </c>
      <c r="DD31" s="80">
        <f t="shared" si="74"/>
        <v>507.9499999996042</v>
      </c>
      <c r="DE31" s="80">
        <f t="shared" si="75"/>
        <v>313928.1</v>
      </c>
      <c r="DF31" s="80">
        <f t="shared" si="76"/>
        <v>4922.56089108911</v>
      </c>
      <c r="DG31" s="80">
        <f t="shared" si="77"/>
        <v>17.271947194719452</v>
      </c>
      <c r="DH31" s="80">
        <f t="shared" si="78"/>
        <v>1036.0663366336632</v>
      </c>
      <c r="DI31" s="81">
        <f t="shared" si="79"/>
        <v>1504.645709570957</v>
      </c>
      <c r="DJ31" s="76">
        <f t="shared" si="80"/>
        <v>-872.9448844884502</v>
      </c>
      <c r="DK31" s="147">
        <f t="shared" si="46"/>
        <v>472174.19999999995</v>
      </c>
      <c r="DL31" s="71"/>
      <c r="DM31" s="72"/>
    </row>
    <row r="32" spans="1:117" ht="12" customHeight="1">
      <c r="A32" s="60" t="s">
        <v>70</v>
      </c>
      <c r="B32" s="62">
        <f aca="true" t="shared" si="81" ref="B32:BM32">SUM(B3:B31)</f>
        <v>38210</v>
      </c>
      <c r="C32" s="62">
        <f t="shared" si="81"/>
        <v>136563571</v>
      </c>
      <c r="D32" s="62">
        <f t="shared" si="81"/>
        <v>91036.89</v>
      </c>
      <c r="E32" s="62">
        <f t="shared" si="81"/>
        <v>2547.1899999999996</v>
      </c>
      <c r="F32" s="62">
        <f t="shared" si="81"/>
        <v>179</v>
      </c>
      <c r="G32" s="119">
        <f t="shared" si="81"/>
        <v>27912900.930000003</v>
      </c>
      <c r="H32" s="120">
        <f t="shared" si="81"/>
        <v>30110063.8</v>
      </c>
      <c r="I32" s="120">
        <f t="shared" si="81"/>
        <v>2455569.0500000007</v>
      </c>
      <c r="J32" s="120">
        <f t="shared" si="81"/>
        <v>3143059.9700000007</v>
      </c>
      <c r="K32" s="120">
        <f t="shared" si="81"/>
        <v>8913601.170000002</v>
      </c>
      <c r="L32" s="120">
        <f t="shared" si="81"/>
        <v>2998725.03</v>
      </c>
      <c r="M32" s="120">
        <f t="shared" si="81"/>
        <v>11912326.2</v>
      </c>
      <c r="N32" s="120">
        <f t="shared" si="81"/>
        <v>324345.64</v>
      </c>
      <c r="O32" s="120">
        <f t="shared" si="81"/>
        <v>5125398.029999999</v>
      </c>
      <c r="P32" s="120">
        <f t="shared" si="81"/>
        <v>13171270.170000004</v>
      </c>
      <c r="Q32" s="120">
        <f t="shared" si="81"/>
        <v>222770.19999999998</v>
      </c>
      <c r="R32" s="120">
        <f t="shared" si="81"/>
        <v>1848723.6799999997</v>
      </c>
      <c r="S32" s="120">
        <f t="shared" si="81"/>
        <v>284282.65</v>
      </c>
      <c r="T32" s="120">
        <f t="shared" si="81"/>
        <v>482217.4</v>
      </c>
      <c r="U32" s="120">
        <f t="shared" si="81"/>
        <v>190684.95</v>
      </c>
      <c r="V32" s="120">
        <f t="shared" si="81"/>
        <v>0</v>
      </c>
      <c r="W32" s="120">
        <f t="shared" si="81"/>
        <v>2805908.6800000006</v>
      </c>
      <c r="X32" s="120">
        <f t="shared" si="81"/>
        <v>17298204.87</v>
      </c>
      <c r="Y32" s="120">
        <f t="shared" si="81"/>
        <v>114481817.54</v>
      </c>
      <c r="Z32" s="120">
        <f t="shared" si="81"/>
        <v>31205383.979999997</v>
      </c>
      <c r="AA32" s="120">
        <f t="shared" si="81"/>
        <v>3659385.74</v>
      </c>
      <c r="AB32" s="120">
        <f t="shared" si="81"/>
        <v>581939.65</v>
      </c>
      <c r="AC32" s="120">
        <f t="shared" si="81"/>
        <v>162320.9</v>
      </c>
      <c r="AD32" s="120">
        <f t="shared" si="81"/>
        <v>455070.49999999994</v>
      </c>
      <c r="AE32" s="120">
        <f t="shared" si="81"/>
        <v>36064100.77</v>
      </c>
      <c r="AF32" s="120">
        <f t="shared" si="81"/>
        <v>728881.0999999999</v>
      </c>
      <c r="AG32" s="120">
        <f t="shared" si="81"/>
        <v>8536282.030000003</v>
      </c>
      <c r="AH32" s="120">
        <f t="shared" si="81"/>
        <v>1293743.85</v>
      </c>
      <c r="AI32" s="120">
        <f t="shared" si="81"/>
        <v>35576832.46999999</v>
      </c>
      <c r="AJ32" s="120">
        <f t="shared" si="81"/>
        <v>3477967.7500000014</v>
      </c>
      <c r="AK32" s="120">
        <f t="shared" si="81"/>
        <v>1975360.1999999997</v>
      </c>
      <c r="AL32" s="120">
        <f t="shared" si="81"/>
        <v>6188603.05</v>
      </c>
      <c r="AM32" s="120">
        <f t="shared" si="81"/>
        <v>350347.24999999994</v>
      </c>
      <c r="AN32" s="120">
        <f t="shared" si="81"/>
        <v>826410.48</v>
      </c>
      <c r="AO32" s="120">
        <f t="shared" si="81"/>
        <v>163557.68</v>
      </c>
      <c r="AP32" s="120">
        <f t="shared" si="81"/>
        <v>589587.73</v>
      </c>
      <c r="AQ32" s="120">
        <f t="shared" si="81"/>
        <v>1000</v>
      </c>
      <c r="AR32" s="120">
        <f t="shared" si="81"/>
        <v>654201.55</v>
      </c>
      <c r="AS32" s="120">
        <f t="shared" si="81"/>
        <v>2234757.4399999995</v>
      </c>
      <c r="AT32" s="120">
        <f t="shared" si="81"/>
        <v>17328955.03</v>
      </c>
      <c r="AU32" s="120">
        <f t="shared" si="81"/>
        <v>112462087.09</v>
      </c>
      <c r="AV32" s="120">
        <f t="shared" si="81"/>
        <v>977879.3400000001</v>
      </c>
      <c r="AW32" s="120">
        <f t="shared" si="81"/>
        <v>2997609.7899999996</v>
      </c>
      <c r="AX32" s="120">
        <f t="shared" si="81"/>
        <v>3.149693839077372E-09</v>
      </c>
      <c r="AY32" s="120">
        <f t="shared" si="81"/>
        <v>2051524.0699999998</v>
      </c>
      <c r="AZ32" s="120">
        <f t="shared" si="81"/>
        <v>20708627.63</v>
      </c>
      <c r="BA32" s="120">
        <f t="shared" si="81"/>
        <v>1321191</v>
      </c>
      <c r="BB32" s="120">
        <f t="shared" si="81"/>
        <v>156675.5</v>
      </c>
      <c r="BC32" s="120">
        <f t="shared" si="81"/>
        <v>1870065.6</v>
      </c>
      <c r="BD32" s="120">
        <f t="shared" si="81"/>
        <v>32086.3</v>
      </c>
      <c r="BE32" s="120">
        <f t="shared" si="81"/>
        <v>740262.16</v>
      </c>
      <c r="BF32" s="120">
        <f t="shared" si="81"/>
        <v>24828908.19</v>
      </c>
      <c r="BG32" s="120">
        <f t="shared" si="81"/>
        <v>380082.5</v>
      </c>
      <c r="BH32" s="120">
        <f t="shared" si="81"/>
        <v>1865361.75</v>
      </c>
      <c r="BI32" s="120">
        <f t="shared" si="81"/>
        <v>0</v>
      </c>
      <c r="BJ32" s="120">
        <f t="shared" si="81"/>
        <v>494082.95</v>
      </c>
      <c r="BK32" s="120">
        <f t="shared" si="81"/>
        <v>3000</v>
      </c>
      <c r="BL32" s="120">
        <f t="shared" si="81"/>
        <v>472116.3499999999</v>
      </c>
      <c r="BM32" s="120">
        <f t="shared" si="81"/>
        <v>6365825.85</v>
      </c>
      <c r="BN32" s="120">
        <f aca="true" t="shared" si="82" ref="BN32:DK32">SUM(BN3:BN31)</f>
        <v>0</v>
      </c>
      <c r="BO32" s="120">
        <f t="shared" si="82"/>
        <v>9580469.400000002</v>
      </c>
      <c r="BP32" s="120">
        <f t="shared" si="82"/>
        <v>8688677.65</v>
      </c>
      <c r="BQ32" s="120">
        <f t="shared" si="82"/>
        <v>11964.8</v>
      </c>
      <c r="BR32" s="120">
        <f t="shared" si="82"/>
        <v>23949081.14</v>
      </c>
      <c r="BS32" s="120">
        <f t="shared" si="82"/>
        <v>0.10000000000582077</v>
      </c>
      <c r="BT32" s="120">
        <f t="shared" si="82"/>
        <v>129106193.69000001</v>
      </c>
      <c r="BU32" s="120">
        <f t="shared" si="82"/>
        <v>91814950.38</v>
      </c>
      <c r="BV32" s="120">
        <f t="shared" si="82"/>
        <v>2846294.6799999997</v>
      </c>
      <c r="BW32" s="120">
        <f t="shared" si="82"/>
        <v>3190934.65</v>
      </c>
      <c r="BX32" s="120">
        <f t="shared" si="82"/>
        <v>226958373.4</v>
      </c>
      <c r="BY32" s="120">
        <f t="shared" si="82"/>
        <v>128074653.66000001</v>
      </c>
      <c r="BZ32" s="120">
        <f t="shared" si="82"/>
        <v>44570253.05</v>
      </c>
      <c r="CA32" s="120">
        <f t="shared" si="82"/>
        <v>54313466.690000005</v>
      </c>
      <c r="CB32" s="120">
        <f t="shared" si="82"/>
        <v>226958373.4</v>
      </c>
      <c r="CC32" s="120">
        <f t="shared" si="82"/>
        <v>0</v>
      </c>
      <c r="CD32" s="120">
        <f t="shared" si="82"/>
        <v>9892595.749999998</v>
      </c>
      <c r="CE32" s="120">
        <f t="shared" si="82"/>
        <v>10463746.99</v>
      </c>
      <c r="CF32" s="120">
        <f t="shared" si="82"/>
        <v>15260403.490000002</v>
      </c>
      <c r="CG32" s="120">
        <f t="shared" si="82"/>
        <v>92548027.37</v>
      </c>
      <c r="CH32" s="120">
        <f t="shared" si="82"/>
        <v>-2723480.26</v>
      </c>
      <c r="CI32" s="120">
        <f t="shared" si="82"/>
        <v>6190120.909999999</v>
      </c>
      <c r="CJ32" s="121">
        <f t="shared" si="82"/>
        <v>34.02750946362472</v>
      </c>
      <c r="CK32" s="121">
        <f t="shared" si="82"/>
        <v>41.30141817038736</v>
      </c>
      <c r="CL32" s="121">
        <f t="shared" si="82"/>
        <v>3.233879662066885</v>
      </c>
      <c r="CM32" s="121">
        <f t="shared" si="82"/>
        <v>3.119638140853365</v>
      </c>
      <c r="CN32" s="121">
        <f t="shared" si="82"/>
        <v>-1.3136970919120678</v>
      </c>
      <c r="CO32" s="121">
        <f t="shared" si="82"/>
        <v>1.091526539980698</v>
      </c>
      <c r="CP32" s="121">
        <f t="shared" si="82"/>
        <v>4.4858362926066055</v>
      </c>
      <c r="CQ32" s="121">
        <f t="shared" si="82"/>
        <v>2.8263975271180355</v>
      </c>
      <c r="CR32" s="120">
        <f t="shared" si="82"/>
        <v>40.75133662353676</v>
      </c>
      <c r="CS32" s="120">
        <f t="shared" si="82"/>
        <v>1031540.0299999994</v>
      </c>
      <c r="CT32" s="120">
        <f t="shared" si="82"/>
        <v>102569491.34000002</v>
      </c>
      <c r="CU32" s="120">
        <f t="shared" si="82"/>
        <v>111807885.53999999</v>
      </c>
      <c r="CV32" s="120">
        <f t="shared" si="82"/>
        <v>9238394.199999994</v>
      </c>
      <c r="CW32" s="120">
        <f t="shared" si="82"/>
        <v>654201.55</v>
      </c>
      <c r="CX32" s="120">
        <f t="shared" si="82"/>
        <v>9892595.749999994</v>
      </c>
      <c r="CY32" s="120">
        <f t="shared" si="82"/>
        <v>-2019730.450000005</v>
      </c>
      <c r="CZ32" s="120">
        <f t="shared" si="82"/>
        <v>15260403.490000002</v>
      </c>
      <c r="DA32" s="120">
        <f t="shared" si="82"/>
        <v>11912326.2</v>
      </c>
      <c r="DB32" s="120">
        <f t="shared" si="82"/>
        <v>-5367807.740000007</v>
      </c>
      <c r="DC32" s="120">
        <f t="shared" si="82"/>
        <v>-20601003.849999994</v>
      </c>
      <c r="DD32" s="120">
        <f t="shared" si="82"/>
        <v>-2019730.4500000053</v>
      </c>
      <c r="DE32" s="120">
        <f t="shared" si="82"/>
        <v>35446709.37</v>
      </c>
      <c r="DF32" s="120">
        <f t="shared" si="82"/>
        <v>31576.854136182483</v>
      </c>
      <c r="DG32" s="120">
        <f t="shared" si="82"/>
        <v>-4604.964678352142</v>
      </c>
      <c r="DH32" s="120">
        <f t="shared" si="82"/>
        <v>26218.604445969922</v>
      </c>
      <c r="DI32" s="120">
        <f t="shared" si="82"/>
        <v>8764.734993512713</v>
      </c>
      <c r="DJ32" s="120">
        <f t="shared" si="82"/>
        <v>350.71450513031266</v>
      </c>
      <c r="DK32" s="120">
        <f t="shared" si="82"/>
        <v>-40692418.33999998</v>
      </c>
      <c r="DL32" s="13">
        <f>SUM(DL3:DL31)</f>
        <v>0</v>
      </c>
      <c r="DM32" s="26">
        <f>SUM(DM3:DM31)</f>
        <v>0</v>
      </c>
    </row>
    <row r="33" spans="1:117" ht="12.75">
      <c r="A33" s="31" t="s">
        <v>47</v>
      </c>
      <c r="B33" s="24">
        <f aca="true" t="shared" si="83" ref="B33:BM33">MIN(B3:B31)</f>
        <v>176</v>
      </c>
      <c r="C33" s="24">
        <f t="shared" si="83"/>
        <v>360586</v>
      </c>
      <c r="D33" s="25">
        <f t="shared" si="83"/>
        <v>2048.79</v>
      </c>
      <c r="E33" s="25">
        <f t="shared" si="83"/>
        <v>57.32</v>
      </c>
      <c r="F33" s="117">
        <f t="shared" si="83"/>
        <v>1</v>
      </c>
      <c r="G33" s="124">
        <f t="shared" si="83"/>
        <v>81937.2</v>
      </c>
      <c r="H33" s="24">
        <f t="shared" si="83"/>
        <v>89517.5</v>
      </c>
      <c r="I33" s="24">
        <f t="shared" si="83"/>
        <v>834</v>
      </c>
      <c r="J33" s="24">
        <f t="shared" si="83"/>
        <v>0</v>
      </c>
      <c r="K33" s="24">
        <f t="shared" si="83"/>
        <v>0</v>
      </c>
      <c r="L33" s="24">
        <f t="shared" si="83"/>
        <v>0</v>
      </c>
      <c r="M33" s="24">
        <f t="shared" si="83"/>
        <v>0</v>
      </c>
      <c r="N33" s="24">
        <f t="shared" si="83"/>
        <v>0</v>
      </c>
      <c r="O33" s="24">
        <f t="shared" si="83"/>
        <v>10766</v>
      </c>
      <c r="P33" s="24">
        <f t="shared" si="83"/>
        <v>56507.549999999996</v>
      </c>
      <c r="Q33" s="24">
        <f t="shared" si="83"/>
        <v>-8536.6</v>
      </c>
      <c r="R33" s="24">
        <f t="shared" si="83"/>
        <v>0</v>
      </c>
      <c r="S33" s="24">
        <f t="shared" si="83"/>
        <v>0</v>
      </c>
      <c r="T33" s="24">
        <f t="shared" si="83"/>
        <v>0</v>
      </c>
      <c r="U33" s="24">
        <f t="shared" si="83"/>
        <v>0</v>
      </c>
      <c r="V33" s="24">
        <f t="shared" si="83"/>
        <v>0</v>
      </c>
      <c r="W33" s="24">
        <f t="shared" si="83"/>
        <v>1736</v>
      </c>
      <c r="X33" s="24">
        <f t="shared" si="83"/>
        <v>0</v>
      </c>
      <c r="Y33" s="24">
        <f t="shared" si="83"/>
        <v>338722.7</v>
      </c>
      <c r="Z33" s="24">
        <f t="shared" si="83"/>
        <v>36478.35</v>
      </c>
      <c r="AA33" s="24">
        <f t="shared" si="83"/>
        <v>0</v>
      </c>
      <c r="AB33" s="24">
        <f t="shared" si="83"/>
        <v>0</v>
      </c>
      <c r="AC33" s="24">
        <f>MIN(AC3:AC31)</f>
        <v>0</v>
      </c>
      <c r="AD33" s="24">
        <f t="shared" si="83"/>
        <v>0</v>
      </c>
      <c r="AE33" s="24">
        <f t="shared" si="83"/>
        <v>72653.4</v>
      </c>
      <c r="AF33" s="24">
        <f t="shared" si="83"/>
        <v>0</v>
      </c>
      <c r="AG33" s="24">
        <f t="shared" si="83"/>
        <v>13567.25</v>
      </c>
      <c r="AH33" s="24">
        <f t="shared" si="83"/>
        <v>0</v>
      </c>
      <c r="AI33" s="24">
        <f t="shared" si="83"/>
        <v>63835.45</v>
      </c>
      <c r="AJ33" s="24">
        <f t="shared" si="83"/>
        <v>3378.45</v>
      </c>
      <c r="AK33" s="24">
        <f t="shared" si="83"/>
        <v>0</v>
      </c>
      <c r="AL33" s="24">
        <f t="shared" si="83"/>
        <v>10223.2</v>
      </c>
      <c r="AM33" s="24">
        <f t="shared" si="83"/>
        <v>0</v>
      </c>
      <c r="AN33" s="24">
        <f t="shared" si="83"/>
        <v>0</v>
      </c>
      <c r="AO33" s="24">
        <f t="shared" si="83"/>
        <v>0</v>
      </c>
      <c r="AP33" s="24">
        <f t="shared" si="83"/>
        <v>0</v>
      </c>
      <c r="AQ33" s="24">
        <f t="shared" si="83"/>
        <v>0</v>
      </c>
      <c r="AR33" s="24">
        <f t="shared" si="83"/>
        <v>0</v>
      </c>
      <c r="AS33" s="24">
        <f t="shared" si="83"/>
        <v>0</v>
      </c>
      <c r="AT33" s="24">
        <f t="shared" si="83"/>
        <v>0</v>
      </c>
      <c r="AU33" s="24">
        <f t="shared" si="83"/>
        <v>338507.4</v>
      </c>
      <c r="AV33" s="24">
        <f t="shared" si="83"/>
        <v>0</v>
      </c>
      <c r="AW33" s="24">
        <f t="shared" si="83"/>
        <v>0</v>
      </c>
      <c r="AX33" s="24">
        <f t="shared" si="83"/>
        <v>-1.862645149230957E-09</v>
      </c>
      <c r="AY33" s="24">
        <f t="shared" si="83"/>
        <v>0</v>
      </c>
      <c r="AZ33" s="24">
        <f t="shared" si="83"/>
        <v>14844.7</v>
      </c>
      <c r="BA33" s="24">
        <f t="shared" si="83"/>
        <v>0</v>
      </c>
      <c r="BB33" s="24">
        <f t="shared" si="83"/>
        <v>0</v>
      </c>
      <c r="BC33" s="24">
        <f t="shared" si="83"/>
        <v>0</v>
      </c>
      <c r="BD33" s="24">
        <f t="shared" si="83"/>
        <v>0</v>
      </c>
      <c r="BE33" s="24">
        <f t="shared" si="83"/>
        <v>0</v>
      </c>
      <c r="BF33" s="24">
        <f t="shared" si="83"/>
        <v>15524.350000000006</v>
      </c>
      <c r="BG33" s="24">
        <f t="shared" si="83"/>
        <v>0</v>
      </c>
      <c r="BH33" s="24">
        <f t="shared" si="83"/>
        <v>0</v>
      </c>
      <c r="BI33" s="24">
        <f t="shared" si="83"/>
        <v>0</v>
      </c>
      <c r="BJ33" s="24">
        <f t="shared" si="83"/>
        <v>0</v>
      </c>
      <c r="BK33" s="24">
        <f t="shared" si="83"/>
        <v>0</v>
      </c>
      <c r="BL33" s="24">
        <f t="shared" si="83"/>
        <v>0</v>
      </c>
      <c r="BM33" s="24">
        <f t="shared" si="83"/>
        <v>0</v>
      </c>
      <c r="BN33" s="24">
        <f aca="true" t="shared" si="84" ref="BN33:DK33">MIN(BN3:BN31)</f>
        <v>0</v>
      </c>
      <c r="BO33" s="24">
        <f t="shared" si="84"/>
        <v>0</v>
      </c>
      <c r="BP33" s="24">
        <f t="shared" si="84"/>
        <v>0</v>
      </c>
      <c r="BQ33" s="24">
        <f t="shared" si="84"/>
        <v>0</v>
      </c>
      <c r="BR33" s="24">
        <f t="shared" si="84"/>
        <v>13018.4</v>
      </c>
      <c r="BS33" s="24">
        <f t="shared" si="84"/>
        <v>0</v>
      </c>
      <c r="BT33" s="24">
        <f t="shared" si="84"/>
        <v>854824.24</v>
      </c>
      <c r="BU33" s="24">
        <f t="shared" si="84"/>
        <v>11</v>
      </c>
      <c r="BV33" s="24">
        <f t="shared" si="84"/>
        <v>0</v>
      </c>
      <c r="BW33" s="24">
        <f t="shared" si="84"/>
        <v>0</v>
      </c>
      <c r="BX33" s="24">
        <f t="shared" si="84"/>
        <v>1280466.05</v>
      </c>
      <c r="BY33" s="24">
        <f t="shared" si="84"/>
        <v>274509.45</v>
      </c>
      <c r="BZ33" s="24">
        <f t="shared" si="84"/>
        <v>110930.8</v>
      </c>
      <c r="CA33" s="24">
        <f t="shared" si="84"/>
        <v>0</v>
      </c>
      <c r="CB33" s="24">
        <f t="shared" si="84"/>
        <v>1280466.05</v>
      </c>
      <c r="CC33" s="24">
        <f t="shared" si="84"/>
        <v>0</v>
      </c>
      <c r="CD33" s="24">
        <f t="shared" si="84"/>
        <v>-804349.2</v>
      </c>
      <c r="CE33" s="24">
        <f t="shared" si="84"/>
        <v>-492310.75</v>
      </c>
      <c r="CF33" s="24">
        <f t="shared" si="84"/>
        <v>-198167.94999999998</v>
      </c>
      <c r="CG33" s="24">
        <f t="shared" si="84"/>
        <v>316789.80000000005</v>
      </c>
      <c r="CH33" s="24">
        <f t="shared" si="84"/>
        <v>-1939061.2000000002</v>
      </c>
      <c r="CI33" s="24">
        <f t="shared" si="84"/>
        <v>-1383219.0500000003</v>
      </c>
      <c r="CJ33" s="93">
        <f t="shared" si="84"/>
        <v>-10.445876004556265</v>
      </c>
      <c r="CK33" s="93">
        <f t="shared" si="84"/>
        <v>-11.383560709055311</v>
      </c>
      <c r="CL33" s="93">
        <f t="shared" si="84"/>
        <v>-0.2425349357881315</v>
      </c>
      <c r="CM33" s="93">
        <f t="shared" si="84"/>
        <v>-0.25102678864054156</v>
      </c>
      <c r="CN33" s="93">
        <f t="shared" si="84"/>
        <v>-0.6725707193248063</v>
      </c>
      <c r="CO33" s="93">
        <f t="shared" si="84"/>
        <v>-0.4797747649441262</v>
      </c>
      <c r="CP33" s="93">
        <f t="shared" si="84"/>
        <v>0</v>
      </c>
      <c r="CQ33" s="93">
        <f t="shared" si="84"/>
        <v>0</v>
      </c>
      <c r="CR33" s="24">
        <f t="shared" si="84"/>
        <v>-145.34895750552673</v>
      </c>
      <c r="CS33" s="24">
        <f t="shared" si="84"/>
        <v>-26906937.67</v>
      </c>
      <c r="CT33" s="24">
        <f t="shared" si="84"/>
        <v>338722.7</v>
      </c>
      <c r="CU33" s="24">
        <f t="shared" si="84"/>
        <v>338507.4</v>
      </c>
      <c r="CV33" s="24">
        <f t="shared" si="84"/>
        <v>-804349.1999999983</v>
      </c>
      <c r="CW33" s="24">
        <f t="shared" si="84"/>
        <v>0</v>
      </c>
      <c r="CX33" s="24">
        <f t="shared" si="84"/>
        <v>-804349.1999999983</v>
      </c>
      <c r="CY33" s="24">
        <f t="shared" si="84"/>
        <v>-1078682.9999999984</v>
      </c>
      <c r="CZ33" s="24">
        <f t="shared" si="84"/>
        <v>-198167.94999999998</v>
      </c>
      <c r="DA33" s="24">
        <f t="shared" si="84"/>
        <v>0</v>
      </c>
      <c r="DB33" s="24">
        <f t="shared" si="84"/>
        <v>-2884293.580000004</v>
      </c>
      <c r="DC33" s="24">
        <f t="shared" si="84"/>
        <v>-4673072.8</v>
      </c>
      <c r="DD33" s="24">
        <f t="shared" si="84"/>
        <v>-1078682.9999999984</v>
      </c>
      <c r="DE33" s="24">
        <f t="shared" si="84"/>
        <v>64955.399999999994</v>
      </c>
      <c r="DF33" s="24">
        <f t="shared" si="84"/>
        <v>-9052.642093596058</v>
      </c>
      <c r="DG33" s="24">
        <f t="shared" si="84"/>
        <v>-3015.647278382582</v>
      </c>
      <c r="DH33" s="24">
        <f t="shared" si="84"/>
        <v>174.3169154228856</v>
      </c>
      <c r="DI33" s="24">
        <f t="shared" si="84"/>
        <v>-812.1637295081966</v>
      </c>
      <c r="DJ33" s="24">
        <f t="shared" si="84"/>
        <v>-894.0060098522175</v>
      </c>
      <c r="DK33" s="24">
        <f t="shared" si="84"/>
        <v>-28600400.39</v>
      </c>
      <c r="DL33" s="13">
        <f>MIN(DL3:DL31)</f>
        <v>0</v>
      </c>
      <c r="DM33" s="26">
        <f>MIN(DM3:DM31)</f>
        <v>0</v>
      </c>
    </row>
    <row r="34" spans="1:117" ht="12.75">
      <c r="A34" s="31" t="s">
        <v>48</v>
      </c>
      <c r="B34" s="24">
        <f aca="true" t="shared" si="85" ref="B34:BM34">MAX(B3:B31)</f>
        <v>5645</v>
      </c>
      <c r="C34" s="24">
        <f t="shared" si="85"/>
        <v>23826845</v>
      </c>
      <c r="D34" s="25">
        <f t="shared" si="85"/>
        <v>4646.95</v>
      </c>
      <c r="E34" s="25">
        <f t="shared" si="85"/>
        <v>130.02</v>
      </c>
      <c r="F34" s="117">
        <f t="shared" si="85"/>
        <v>15</v>
      </c>
      <c r="G34" s="124">
        <f t="shared" si="85"/>
        <v>4255767.65</v>
      </c>
      <c r="H34" s="24">
        <f t="shared" si="85"/>
        <v>5675315.09</v>
      </c>
      <c r="I34" s="24">
        <f t="shared" si="85"/>
        <v>792903.1</v>
      </c>
      <c r="J34" s="24">
        <f t="shared" si="85"/>
        <v>2136408.85</v>
      </c>
      <c r="K34" s="24">
        <f t="shared" si="85"/>
        <v>2018222.7</v>
      </c>
      <c r="L34" s="24">
        <f t="shared" si="85"/>
        <v>1224088</v>
      </c>
      <c r="M34" s="24">
        <f t="shared" si="85"/>
        <v>2018222.7</v>
      </c>
      <c r="N34" s="24">
        <f t="shared" si="85"/>
        <v>150000</v>
      </c>
      <c r="O34" s="24">
        <f t="shared" si="85"/>
        <v>770082.65</v>
      </c>
      <c r="P34" s="24">
        <f t="shared" si="85"/>
        <v>2147576.09</v>
      </c>
      <c r="Q34" s="24">
        <f t="shared" si="85"/>
        <v>138587.4</v>
      </c>
      <c r="R34" s="24">
        <f t="shared" si="85"/>
        <v>274408.2</v>
      </c>
      <c r="S34" s="24">
        <f t="shared" si="85"/>
        <v>67742.85</v>
      </c>
      <c r="T34" s="24">
        <f t="shared" si="85"/>
        <v>200000</v>
      </c>
      <c r="U34" s="24">
        <f t="shared" si="85"/>
        <v>180684.95</v>
      </c>
      <c r="V34" s="24">
        <f t="shared" si="85"/>
        <v>0</v>
      </c>
      <c r="W34" s="24">
        <f t="shared" si="85"/>
        <v>362038.44999999995</v>
      </c>
      <c r="X34" s="24">
        <f t="shared" si="85"/>
        <v>2892866.85</v>
      </c>
      <c r="Y34" s="24">
        <f t="shared" si="85"/>
        <v>15108117.220000003</v>
      </c>
      <c r="Z34" s="24">
        <f t="shared" si="85"/>
        <v>5127058.36</v>
      </c>
      <c r="AA34" s="24">
        <f t="shared" si="85"/>
        <v>880372.2</v>
      </c>
      <c r="AB34" s="24">
        <f t="shared" si="85"/>
        <v>239471.75</v>
      </c>
      <c r="AC34" s="24">
        <f>MAX(AC3:AC31)</f>
        <v>133103.85</v>
      </c>
      <c r="AD34" s="24">
        <f t="shared" si="85"/>
        <v>189165.75</v>
      </c>
      <c r="AE34" s="24">
        <f t="shared" si="85"/>
        <v>5810311.21</v>
      </c>
      <c r="AF34" s="24">
        <f t="shared" si="85"/>
        <v>258238.5</v>
      </c>
      <c r="AG34" s="24">
        <f t="shared" si="85"/>
        <v>2013051.35</v>
      </c>
      <c r="AH34" s="24">
        <f t="shared" si="85"/>
        <v>890000</v>
      </c>
      <c r="AI34" s="24">
        <f t="shared" si="85"/>
        <v>6800740.79</v>
      </c>
      <c r="AJ34" s="24">
        <f t="shared" si="85"/>
        <v>812915.45</v>
      </c>
      <c r="AK34" s="24">
        <f t="shared" si="85"/>
        <v>406531.18</v>
      </c>
      <c r="AL34" s="24">
        <f t="shared" si="85"/>
        <v>1078459.75</v>
      </c>
      <c r="AM34" s="24">
        <f t="shared" si="85"/>
        <v>138587.4</v>
      </c>
      <c r="AN34" s="24">
        <f t="shared" si="85"/>
        <v>206489.48</v>
      </c>
      <c r="AO34" s="24">
        <f t="shared" si="85"/>
        <v>50000</v>
      </c>
      <c r="AP34" s="24">
        <f t="shared" si="85"/>
        <v>220246.05</v>
      </c>
      <c r="AQ34" s="24">
        <f t="shared" si="85"/>
        <v>1000</v>
      </c>
      <c r="AR34" s="24">
        <f t="shared" si="85"/>
        <v>339000</v>
      </c>
      <c r="AS34" s="24">
        <f t="shared" si="85"/>
        <v>380783.99</v>
      </c>
      <c r="AT34" s="24">
        <f t="shared" si="85"/>
        <v>2892866.85</v>
      </c>
      <c r="AU34" s="24">
        <f t="shared" si="85"/>
        <v>14521021.41</v>
      </c>
      <c r="AV34" s="24">
        <f t="shared" si="85"/>
        <v>243544.1</v>
      </c>
      <c r="AW34" s="24">
        <f t="shared" si="85"/>
        <v>1078683</v>
      </c>
      <c r="AX34" s="24">
        <f t="shared" si="85"/>
        <v>2.5138433557003736E-09</v>
      </c>
      <c r="AY34" s="24">
        <f t="shared" si="85"/>
        <v>467598.9</v>
      </c>
      <c r="AZ34" s="24">
        <f t="shared" si="85"/>
        <v>6887870.96</v>
      </c>
      <c r="BA34" s="24">
        <f t="shared" si="85"/>
        <v>1289000</v>
      </c>
      <c r="BB34" s="24">
        <f t="shared" si="85"/>
        <v>73657.7</v>
      </c>
      <c r="BC34" s="24">
        <f t="shared" si="85"/>
        <v>535335</v>
      </c>
      <c r="BD34" s="24">
        <f t="shared" si="85"/>
        <v>32086.3</v>
      </c>
      <c r="BE34" s="24">
        <f t="shared" si="85"/>
        <v>179517.2</v>
      </c>
      <c r="BF34" s="24">
        <f t="shared" si="85"/>
        <v>6970270.57</v>
      </c>
      <c r="BG34" s="24">
        <f t="shared" si="85"/>
        <v>196000</v>
      </c>
      <c r="BH34" s="24">
        <f t="shared" si="85"/>
        <v>1002062.75</v>
      </c>
      <c r="BI34" s="24">
        <f t="shared" si="85"/>
        <v>0</v>
      </c>
      <c r="BJ34" s="24">
        <f t="shared" si="85"/>
        <v>354000</v>
      </c>
      <c r="BK34" s="24">
        <f t="shared" si="85"/>
        <v>3000</v>
      </c>
      <c r="BL34" s="24">
        <f t="shared" si="85"/>
        <v>178310.9</v>
      </c>
      <c r="BM34" s="24">
        <f t="shared" si="85"/>
        <v>2654850.1</v>
      </c>
      <c r="BN34" s="24">
        <f aca="true" t="shared" si="86" ref="BN34:DK34">MAX(BN3:BN31)</f>
        <v>0</v>
      </c>
      <c r="BO34" s="24">
        <f t="shared" si="86"/>
        <v>2654850.1</v>
      </c>
      <c r="BP34" s="24">
        <f t="shared" si="86"/>
        <v>2654850.1</v>
      </c>
      <c r="BQ34" s="24">
        <f t="shared" si="86"/>
        <v>11964.8</v>
      </c>
      <c r="BR34" s="24">
        <f t="shared" si="86"/>
        <v>6970270.57</v>
      </c>
      <c r="BS34" s="24">
        <f t="shared" si="86"/>
        <v>0.10000000000582077</v>
      </c>
      <c r="BT34" s="24">
        <f t="shared" si="86"/>
        <v>18434560.96</v>
      </c>
      <c r="BU34" s="24">
        <f t="shared" si="86"/>
        <v>32639716.52</v>
      </c>
      <c r="BV34" s="24">
        <f t="shared" si="86"/>
        <v>1586544.8</v>
      </c>
      <c r="BW34" s="24">
        <f t="shared" si="86"/>
        <v>1792930.29</v>
      </c>
      <c r="BX34" s="24">
        <f t="shared" si="86"/>
        <v>44805196.63</v>
      </c>
      <c r="BY34" s="24">
        <f t="shared" si="86"/>
        <v>39034875.99</v>
      </c>
      <c r="BZ34" s="24">
        <f t="shared" si="86"/>
        <v>6605063.74</v>
      </c>
      <c r="CA34" s="24">
        <f t="shared" si="86"/>
        <v>12676960.77</v>
      </c>
      <c r="CB34" s="24">
        <f t="shared" si="86"/>
        <v>44805196.63</v>
      </c>
      <c r="CC34" s="24">
        <f t="shared" si="86"/>
        <v>0</v>
      </c>
      <c r="CD34" s="24">
        <f t="shared" si="86"/>
        <v>1802223.2</v>
      </c>
      <c r="CE34" s="24">
        <f t="shared" si="86"/>
        <v>1865908.2</v>
      </c>
      <c r="CF34" s="24">
        <f t="shared" si="86"/>
        <v>4315420.470000001</v>
      </c>
      <c r="CG34" s="24">
        <f t="shared" si="86"/>
        <v>11251612.770000001</v>
      </c>
      <c r="CH34" s="24">
        <f t="shared" si="86"/>
        <v>406770.64999999997</v>
      </c>
      <c r="CI34" s="24">
        <f t="shared" si="86"/>
        <v>2424993.35</v>
      </c>
      <c r="CJ34" s="93">
        <f t="shared" si="86"/>
        <v>8.093136753883892</v>
      </c>
      <c r="CK34" s="93">
        <f t="shared" si="86"/>
        <v>15.403434651219248</v>
      </c>
      <c r="CL34" s="93">
        <f t="shared" si="86"/>
        <v>0.6251079408983347</v>
      </c>
      <c r="CM34" s="93">
        <f t="shared" si="86"/>
        <v>0.6471973242866467</v>
      </c>
      <c r="CN34" s="93">
        <f t="shared" si="86"/>
        <v>0.1105157372421648</v>
      </c>
      <c r="CO34" s="93">
        <f t="shared" si="86"/>
        <v>0.23912001131309488</v>
      </c>
      <c r="CP34" s="93">
        <f t="shared" si="86"/>
        <v>0.626996436759186</v>
      </c>
      <c r="CQ34" s="93">
        <f t="shared" si="86"/>
        <v>0.19580040680279787</v>
      </c>
      <c r="CR34" s="24">
        <f t="shared" si="86"/>
        <v>180.53511060005448</v>
      </c>
      <c r="CS34" s="24">
        <f t="shared" si="86"/>
        <v>7387718.710000001</v>
      </c>
      <c r="CT34" s="24">
        <f t="shared" si="86"/>
        <v>13089894.520000003</v>
      </c>
      <c r="CU34" s="24">
        <f t="shared" si="86"/>
        <v>14182021.41</v>
      </c>
      <c r="CV34" s="24">
        <f t="shared" si="86"/>
        <v>1711416.4</v>
      </c>
      <c r="CW34" s="24">
        <f t="shared" si="86"/>
        <v>339000</v>
      </c>
      <c r="CX34" s="24">
        <f t="shared" si="86"/>
        <v>1802223.2</v>
      </c>
      <c r="CY34" s="24">
        <f t="shared" si="86"/>
        <v>243544.10000000073</v>
      </c>
      <c r="CZ34" s="24">
        <f t="shared" si="86"/>
        <v>4315420.470000001</v>
      </c>
      <c r="DA34" s="24">
        <f t="shared" si="86"/>
        <v>2018222.7</v>
      </c>
      <c r="DB34" s="24">
        <f t="shared" si="86"/>
        <v>528674.4399999995</v>
      </c>
      <c r="DC34" s="24">
        <f t="shared" si="86"/>
        <v>-18569.45</v>
      </c>
      <c r="DD34" s="24">
        <f t="shared" si="86"/>
        <v>243544.1000000008</v>
      </c>
      <c r="DE34" s="24">
        <f t="shared" si="86"/>
        <v>5786178.21</v>
      </c>
      <c r="DF34" s="24">
        <f t="shared" si="86"/>
        <v>8096.204545454545</v>
      </c>
      <c r="DG34" s="24">
        <f t="shared" si="86"/>
        <v>433.25497536945824</v>
      </c>
      <c r="DH34" s="24">
        <f t="shared" si="86"/>
        <v>1415.461931818182</v>
      </c>
      <c r="DI34" s="24">
        <f t="shared" si="86"/>
        <v>2336.602255054432</v>
      </c>
      <c r="DJ34" s="24">
        <f t="shared" si="86"/>
        <v>1238.9315340909086</v>
      </c>
      <c r="DK34" s="24">
        <f t="shared" si="86"/>
        <v>5974197.869999999</v>
      </c>
      <c r="DL34" s="13">
        <f>MAX(DL3:DL31)</f>
        <v>0</v>
      </c>
      <c r="DM34" s="26">
        <f>MAX(DM3:DM31)</f>
        <v>0</v>
      </c>
    </row>
    <row r="35" spans="1:117" ht="13.5" thickBot="1">
      <c r="A35" s="32" t="s">
        <v>49</v>
      </c>
      <c r="B35" s="27">
        <f aca="true" t="shared" si="87" ref="B35:BM35">MEDIAN(B3:B31)</f>
        <v>627</v>
      </c>
      <c r="C35" s="27">
        <f t="shared" si="87"/>
        <v>1623908</v>
      </c>
      <c r="D35" s="28">
        <f t="shared" si="87"/>
        <v>2933.89</v>
      </c>
      <c r="E35" s="28">
        <f t="shared" si="87"/>
        <v>82.09</v>
      </c>
      <c r="F35" s="118">
        <f t="shared" si="87"/>
        <v>6</v>
      </c>
      <c r="G35" s="125">
        <f t="shared" si="87"/>
        <v>545644</v>
      </c>
      <c r="H35" s="27">
        <f t="shared" si="87"/>
        <v>413427.35</v>
      </c>
      <c r="I35" s="27">
        <f t="shared" si="87"/>
        <v>19807.2</v>
      </c>
      <c r="J35" s="27">
        <f t="shared" si="87"/>
        <v>4509.5</v>
      </c>
      <c r="K35" s="27">
        <f t="shared" si="87"/>
        <v>118462.15</v>
      </c>
      <c r="L35" s="27">
        <f t="shared" si="87"/>
        <v>0</v>
      </c>
      <c r="M35" s="27">
        <f t="shared" si="87"/>
        <v>204692</v>
      </c>
      <c r="N35" s="27">
        <f t="shared" si="87"/>
        <v>0</v>
      </c>
      <c r="O35" s="27">
        <f t="shared" si="87"/>
        <v>123193.3</v>
      </c>
      <c r="P35" s="27">
        <f t="shared" si="87"/>
        <v>237655.05</v>
      </c>
      <c r="Q35" s="27">
        <f t="shared" si="87"/>
        <v>482.8</v>
      </c>
      <c r="R35" s="27">
        <f t="shared" si="87"/>
        <v>30982</v>
      </c>
      <c r="S35" s="27">
        <f t="shared" si="87"/>
        <v>0</v>
      </c>
      <c r="T35" s="27">
        <f t="shared" si="87"/>
        <v>0</v>
      </c>
      <c r="U35" s="27">
        <f t="shared" si="87"/>
        <v>0</v>
      </c>
      <c r="V35" s="27">
        <f t="shared" si="87"/>
        <v>0</v>
      </c>
      <c r="W35" s="27">
        <f t="shared" si="87"/>
        <v>36941.25</v>
      </c>
      <c r="X35" s="27">
        <f t="shared" si="87"/>
        <v>292037</v>
      </c>
      <c r="Y35" s="27">
        <f t="shared" si="87"/>
        <v>2192096</v>
      </c>
      <c r="Z35" s="27">
        <f t="shared" si="87"/>
        <v>488798.25</v>
      </c>
      <c r="AA35" s="27">
        <f t="shared" si="87"/>
        <v>20939.1</v>
      </c>
      <c r="AB35" s="27">
        <f t="shared" si="87"/>
        <v>3547.5</v>
      </c>
      <c r="AC35" s="27">
        <f>MEDIAN(AC3:AC31)</f>
        <v>0</v>
      </c>
      <c r="AD35" s="27">
        <f t="shared" si="87"/>
        <v>6586.6</v>
      </c>
      <c r="AE35" s="27">
        <f t="shared" si="87"/>
        <v>564213.4</v>
      </c>
      <c r="AF35" s="27">
        <f t="shared" si="87"/>
        <v>120</v>
      </c>
      <c r="AG35" s="27">
        <f t="shared" si="87"/>
        <v>102936.25</v>
      </c>
      <c r="AH35" s="27">
        <f t="shared" si="87"/>
        <v>0</v>
      </c>
      <c r="AI35" s="27">
        <f t="shared" si="87"/>
        <v>467030.8</v>
      </c>
      <c r="AJ35" s="27">
        <f t="shared" si="87"/>
        <v>21343.25</v>
      </c>
      <c r="AK35" s="27">
        <f t="shared" si="87"/>
        <v>29317.2</v>
      </c>
      <c r="AL35" s="27">
        <f t="shared" si="87"/>
        <v>124529.48</v>
      </c>
      <c r="AM35" s="27">
        <f t="shared" si="87"/>
        <v>0</v>
      </c>
      <c r="AN35" s="27">
        <f t="shared" si="87"/>
        <v>10004.1</v>
      </c>
      <c r="AO35" s="27">
        <f t="shared" si="87"/>
        <v>0</v>
      </c>
      <c r="AP35" s="27">
        <f t="shared" si="87"/>
        <v>0</v>
      </c>
      <c r="AQ35" s="27">
        <f t="shared" si="87"/>
        <v>0</v>
      </c>
      <c r="AR35" s="27">
        <f t="shared" si="87"/>
        <v>0</v>
      </c>
      <c r="AS35" s="27">
        <f t="shared" si="87"/>
        <v>31757.13</v>
      </c>
      <c r="AT35" s="27">
        <f t="shared" si="87"/>
        <v>292037</v>
      </c>
      <c r="AU35" s="27">
        <f t="shared" si="87"/>
        <v>1865897.8299999996</v>
      </c>
      <c r="AV35" s="27">
        <f t="shared" si="87"/>
        <v>661.24</v>
      </c>
      <c r="AW35" s="27">
        <f t="shared" si="87"/>
        <v>0</v>
      </c>
      <c r="AX35" s="27">
        <f t="shared" si="87"/>
        <v>0</v>
      </c>
      <c r="AY35" s="27">
        <f t="shared" si="87"/>
        <v>9895</v>
      </c>
      <c r="AZ35" s="27">
        <f t="shared" si="87"/>
        <v>319814.9</v>
      </c>
      <c r="BA35" s="27">
        <f t="shared" si="87"/>
        <v>0</v>
      </c>
      <c r="BB35" s="27">
        <f t="shared" si="87"/>
        <v>0</v>
      </c>
      <c r="BC35" s="27">
        <f t="shared" si="87"/>
        <v>0</v>
      </c>
      <c r="BD35" s="27">
        <f t="shared" si="87"/>
        <v>0</v>
      </c>
      <c r="BE35" s="27">
        <f t="shared" si="87"/>
        <v>0</v>
      </c>
      <c r="BF35" s="27">
        <f t="shared" si="87"/>
        <v>531476.1</v>
      </c>
      <c r="BG35" s="27">
        <f t="shared" si="87"/>
        <v>0</v>
      </c>
      <c r="BH35" s="27">
        <f t="shared" si="87"/>
        <v>1700</v>
      </c>
      <c r="BI35" s="27">
        <f t="shared" si="87"/>
        <v>0</v>
      </c>
      <c r="BJ35" s="27">
        <f t="shared" si="87"/>
        <v>0</v>
      </c>
      <c r="BK35" s="27">
        <f t="shared" si="87"/>
        <v>0</v>
      </c>
      <c r="BL35" s="27">
        <f t="shared" si="87"/>
        <v>0</v>
      </c>
      <c r="BM35" s="27">
        <f t="shared" si="87"/>
        <v>39784.55</v>
      </c>
      <c r="BN35" s="27">
        <f aca="true" t="shared" si="88" ref="BN35:DK35">MEDIAN(BN3:BN31)</f>
        <v>0</v>
      </c>
      <c r="BO35" s="27">
        <f t="shared" si="88"/>
        <v>184552</v>
      </c>
      <c r="BP35" s="27">
        <f t="shared" si="88"/>
        <v>146681.25</v>
      </c>
      <c r="BQ35" s="27">
        <f t="shared" si="88"/>
        <v>0</v>
      </c>
      <c r="BR35" s="27">
        <f t="shared" si="88"/>
        <v>369839.87</v>
      </c>
      <c r="BS35" s="27">
        <f t="shared" si="88"/>
        <v>0</v>
      </c>
      <c r="BT35" s="27">
        <f t="shared" si="88"/>
        <v>2435910.4</v>
      </c>
      <c r="BU35" s="27">
        <f t="shared" si="88"/>
        <v>983539.25</v>
      </c>
      <c r="BV35" s="27">
        <f t="shared" si="88"/>
        <v>2513.4</v>
      </c>
      <c r="BW35" s="27">
        <f t="shared" si="88"/>
        <v>0</v>
      </c>
      <c r="BX35" s="27">
        <f t="shared" si="88"/>
        <v>3442223.22</v>
      </c>
      <c r="BY35" s="27">
        <f t="shared" si="88"/>
        <v>2187973</v>
      </c>
      <c r="BZ35" s="27">
        <f t="shared" si="88"/>
        <v>1093340.86</v>
      </c>
      <c r="CA35" s="27">
        <f t="shared" si="88"/>
        <v>703144</v>
      </c>
      <c r="CB35" s="27">
        <f t="shared" si="88"/>
        <v>3442223.22</v>
      </c>
      <c r="CC35" s="27">
        <f t="shared" si="88"/>
        <v>0</v>
      </c>
      <c r="CD35" s="27">
        <f t="shared" si="88"/>
        <v>191405.35</v>
      </c>
      <c r="CE35" s="27">
        <f t="shared" si="88"/>
        <v>184007.89</v>
      </c>
      <c r="CF35" s="27">
        <f t="shared" si="88"/>
        <v>177041.75</v>
      </c>
      <c r="CG35" s="27">
        <f t="shared" si="88"/>
        <v>1591642.2799999996</v>
      </c>
      <c r="CH35" s="27">
        <f t="shared" si="88"/>
        <v>-18427.949999999997</v>
      </c>
      <c r="CI35" s="27">
        <f t="shared" si="88"/>
        <v>96244.35</v>
      </c>
      <c r="CJ35" s="94">
        <f t="shared" si="88"/>
        <v>1.1995346887661216</v>
      </c>
      <c r="CK35" s="94">
        <f t="shared" si="88"/>
        <v>1.241922538758326</v>
      </c>
      <c r="CL35" s="94">
        <f t="shared" si="88"/>
        <v>0.1271930450553534</v>
      </c>
      <c r="CM35" s="94">
        <f t="shared" si="88"/>
        <v>0.12068855656376279</v>
      </c>
      <c r="CN35" s="94">
        <f t="shared" si="88"/>
        <v>-0.013002333163089075</v>
      </c>
      <c r="CO35" s="94">
        <f t="shared" si="88"/>
        <v>0.03587671149611307</v>
      </c>
      <c r="CP35" s="94">
        <f t="shared" si="88"/>
        <v>0.10429880614209425</v>
      </c>
      <c r="CQ35" s="94">
        <f t="shared" si="88"/>
        <v>0.10030384931759807</v>
      </c>
      <c r="CR35" s="27">
        <f t="shared" si="88"/>
        <v>0.43205693970652753</v>
      </c>
      <c r="CS35" s="27">
        <f t="shared" si="88"/>
        <v>833343.77</v>
      </c>
      <c r="CT35" s="27">
        <f t="shared" si="88"/>
        <v>1532834.2999999998</v>
      </c>
      <c r="CU35" s="27">
        <f t="shared" si="88"/>
        <v>1865897.8299999996</v>
      </c>
      <c r="CV35" s="27">
        <f t="shared" si="88"/>
        <v>191405.34999999963</v>
      </c>
      <c r="CW35" s="27">
        <f t="shared" si="88"/>
        <v>0</v>
      </c>
      <c r="CX35" s="27">
        <f t="shared" si="88"/>
        <v>191405.34999999963</v>
      </c>
      <c r="CY35" s="27">
        <f t="shared" si="88"/>
        <v>661.2399999993504</v>
      </c>
      <c r="CZ35" s="27">
        <f t="shared" si="88"/>
        <v>177041.75</v>
      </c>
      <c r="DA35" s="27">
        <f t="shared" si="88"/>
        <v>204692</v>
      </c>
      <c r="DB35" s="27">
        <f t="shared" si="88"/>
        <v>49908.899999997666</v>
      </c>
      <c r="DC35" s="27">
        <f t="shared" si="88"/>
        <v>-351373.25</v>
      </c>
      <c r="DD35" s="27">
        <f t="shared" si="88"/>
        <v>661.2399999992922</v>
      </c>
      <c r="DE35" s="27">
        <f t="shared" si="88"/>
        <v>514456.35</v>
      </c>
      <c r="DF35" s="27">
        <f t="shared" si="88"/>
        <v>1192.3486394101876</v>
      </c>
      <c r="DG35" s="27">
        <f t="shared" si="88"/>
        <v>-27.832075818917883</v>
      </c>
      <c r="DH35" s="27">
        <f t="shared" si="88"/>
        <v>959.6822782480677</v>
      </c>
      <c r="DI35" s="27">
        <f t="shared" si="88"/>
        <v>112.95890050329074</v>
      </c>
      <c r="DJ35" s="27">
        <f t="shared" si="88"/>
        <v>40.72406015037673</v>
      </c>
      <c r="DK35" s="27">
        <f t="shared" si="88"/>
        <v>-302810.63</v>
      </c>
      <c r="DL35" s="29" t="e">
        <f>MEDIAN(DL3:DL31)</f>
        <v>#NUM!</v>
      </c>
      <c r="DM35" s="30" t="e">
        <f>MEDIAN(DM3:DM31)</f>
        <v>#NUM!</v>
      </c>
    </row>
    <row r="37" spans="1:118" s="9" customFormat="1" ht="12.75">
      <c r="A37" s="3" t="s">
        <v>247</v>
      </c>
      <c r="B37" s="17">
        <f>SUM(B3:B31)</f>
        <v>38210</v>
      </c>
      <c r="C37" s="17">
        <f>SUM(C3:C31)</f>
        <v>136563571</v>
      </c>
      <c r="D37" s="17">
        <f>D35</f>
        <v>2933.89</v>
      </c>
      <c r="E37" s="146">
        <f>E35</f>
        <v>82.09</v>
      </c>
      <c r="F37" s="17">
        <f>SUM(F3:F31)</f>
        <v>179</v>
      </c>
      <c r="G37" s="17">
        <f aca="true" t="shared" si="89" ref="G37:BN37">SUM(G3:G31)</f>
        <v>27912900.930000003</v>
      </c>
      <c r="H37" s="17">
        <f t="shared" si="89"/>
        <v>30110063.8</v>
      </c>
      <c r="I37" s="17">
        <f t="shared" si="89"/>
        <v>2455569.0500000007</v>
      </c>
      <c r="J37" s="17">
        <f t="shared" si="89"/>
        <v>3143059.9700000007</v>
      </c>
      <c r="K37" s="17">
        <f t="shared" si="89"/>
        <v>8913601.170000002</v>
      </c>
      <c r="L37" s="17">
        <f t="shared" si="89"/>
        <v>2998725.03</v>
      </c>
      <c r="M37" s="17">
        <f t="shared" si="89"/>
        <v>11912326.2</v>
      </c>
      <c r="N37" s="17">
        <f t="shared" si="89"/>
        <v>324345.64</v>
      </c>
      <c r="O37" s="17">
        <f t="shared" si="89"/>
        <v>5125398.029999999</v>
      </c>
      <c r="P37" s="17">
        <f t="shared" si="89"/>
        <v>13171270.170000004</v>
      </c>
      <c r="Q37" s="17">
        <f t="shared" si="89"/>
        <v>222770.19999999998</v>
      </c>
      <c r="R37" s="17">
        <f t="shared" si="89"/>
        <v>1848723.6799999997</v>
      </c>
      <c r="S37" s="17">
        <f t="shared" si="89"/>
        <v>284282.65</v>
      </c>
      <c r="T37" s="17">
        <f t="shared" si="89"/>
        <v>482217.4</v>
      </c>
      <c r="U37" s="17">
        <f t="shared" si="89"/>
        <v>190684.95</v>
      </c>
      <c r="V37" s="17">
        <f t="shared" si="89"/>
        <v>0</v>
      </c>
      <c r="W37" s="17">
        <f t="shared" si="89"/>
        <v>2805908.6800000006</v>
      </c>
      <c r="X37" s="17">
        <f t="shared" si="89"/>
        <v>17298204.87</v>
      </c>
      <c r="Y37" s="17">
        <f t="shared" si="89"/>
        <v>114481817.54</v>
      </c>
      <c r="Z37" s="17">
        <f t="shared" si="89"/>
        <v>31205383.979999997</v>
      </c>
      <c r="AA37" s="17">
        <f t="shared" si="89"/>
        <v>3659385.74</v>
      </c>
      <c r="AB37" s="17">
        <f t="shared" si="89"/>
        <v>581939.65</v>
      </c>
      <c r="AC37" s="17">
        <f t="shared" si="89"/>
        <v>162320.9</v>
      </c>
      <c r="AD37" s="17">
        <f t="shared" si="89"/>
        <v>455070.49999999994</v>
      </c>
      <c r="AE37" s="17">
        <f t="shared" si="89"/>
        <v>36064100.77</v>
      </c>
      <c r="AF37" s="17">
        <f t="shared" si="89"/>
        <v>728881.0999999999</v>
      </c>
      <c r="AG37" s="17">
        <f t="shared" si="89"/>
        <v>8536282.030000003</v>
      </c>
      <c r="AH37" s="17">
        <f t="shared" si="89"/>
        <v>1293743.85</v>
      </c>
      <c r="AI37" s="17">
        <f t="shared" si="89"/>
        <v>35576832.46999999</v>
      </c>
      <c r="AJ37" s="17">
        <f t="shared" si="89"/>
        <v>3477967.7500000014</v>
      </c>
      <c r="AK37" s="17">
        <f t="shared" si="89"/>
        <v>1975360.1999999997</v>
      </c>
      <c r="AL37" s="17">
        <f t="shared" si="89"/>
        <v>6188603.05</v>
      </c>
      <c r="AM37" s="17">
        <f t="shared" si="89"/>
        <v>350347.24999999994</v>
      </c>
      <c r="AN37" s="17">
        <f t="shared" si="89"/>
        <v>826410.48</v>
      </c>
      <c r="AO37" s="17">
        <f t="shared" si="89"/>
        <v>163557.68</v>
      </c>
      <c r="AP37" s="17">
        <f t="shared" si="89"/>
        <v>589587.73</v>
      </c>
      <c r="AQ37" s="17">
        <f t="shared" si="89"/>
        <v>1000</v>
      </c>
      <c r="AR37" s="17">
        <f t="shared" si="89"/>
        <v>654201.55</v>
      </c>
      <c r="AS37" s="17">
        <f t="shared" si="89"/>
        <v>2234757.4399999995</v>
      </c>
      <c r="AT37" s="17">
        <f t="shared" si="89"/>
        <v>17328955.03</v>
      </c>
      <c r="AU37" s="17">
        <f t="shared" si="89"/>
        <v>112462087.09</v>
      </c>
      <c r="AV37" s="17">
        <f t="shared" si="89"/>
        <v>977879.3400000001</v>
      </c>
      <c r="AW37" s="17">
        <f t="shared" si="89"/>
        <v>2997609.7899999996</v>
      </c>
      <c r="AX37" s="4">
        <f>Y37-AU37+AV37-AW37</f>
        <v>0</v>
      </c>
      <c r="AY37" s="17">
        <f t="shared" si="89"/>
        <v>2051524.0699999998</v>
      </c>
      <c r="AZ37" s="17">
        <f t="shared" si="89"/>
        <v>20708627.63</v>
      </c>
      <c r="BA37" s="17">
        <f t="shared" si="89"/>
        <v>1321191</v>
      </c>
      <c r="BB37" s="17">
        <f t="shared" si="89"/>
        <v>156675.5</v>
      </c>
      <c r="BC37" s="17">
        <f t="shared" si="89"/>
        <v>1870065.6</v>
      </c>
      <c r="BD37" s="17">
        <f t="shared" si="89"/>
        <v>32086.3</v>
      </c>
      <c r="BE37" s="17">
        <f t="shared" si="89"/>
        <v>740262.16</v>
      </c>
      <c r="BF37" s="17">
        <f t="shared" si="89"/>
        <v>24828908.19</v>
      </c>
      <c r="BG37" s="17">
        <f t="shared" si="89"/>
        <v>380082.5</v>
      </c>
      <c r="BH37" s="17">
        <f t="shared" si="89"/>
        <v>1865361.75</v>
      </c>
      <c r="BI37" s="17">
        <f t="shared" si="89"/>
        <v>0</v>
      </c>
      <c r="BJ37" s="17">
        <f t="shared" si="89"/>
        <v>494082.95</v>
      </c>
      <c r="BK37" s="17">
        <f t="shared" si="89"/>
        <v>3000</v>
      </c>
      <c r="BL37" s="17">
        <f t="shared" si="89"/>
        <v>472116.3499999999</v>
      </c>
      <c r="BM37" s="17">
        <f t="shared" si="89"/>
        <v>6365825.85</v>
      </c>
      <c r="BN37" s="17">
        <f t="shared" si="89"/>
        <v>0</v>
      </c>
      <c r="BO37" s="17">
        <f>SUM(BO3:BO31)</f>
        <v>9580469.400000002</v>
      </c>
      <c r="BP37" s="17">
        <f>SUM(BP3:BP31)</f>
        <v>8688677.65</v>
      </c>
      <c r="BQ37" s="17">
        <f>SUM(BQ3:BQ31)</f>
        <v>11964.8</v>
      </c>
      <c r="BR37" s="17">
        <f>SUM(BR3:BR31)</f>
        <v>23949081.14</v>
      </c>
      <c r="BS37" s="43">
        <f>+BF37-BO37+BP37+BQ37-BR37</f>
        <v>0.09999999776482582</v>
      </c>
      <c r="BT37" s="17">
        <f aca="true" t="shared" si="90" ref="BT37:CB37">SUM(BT3:BT31)</f>
        <v>129106193.69000001</v>
      </c>
      <c r="BU37" s="17">
        <f t="shared" si="90"/>
        <v>91814950.38</v>
      </c>
      <c r="BV37" s="17">
        <f t="shared" si="90"/>
        <v>2846294.6799999997</v>
      </c>
      <c r="BW37" s="17">
        <f t="shared" si="90"/>
        <v>3190934.65</v>
      </c>
      <c r="BX37" s="17">
        <f t="shared" si="90"/>
        <v>226958373.4</v>
      </c>
      <c r="BY37" s="17">
        <f t="shared" si="90"/>
        <v>128074653.66000001</v>
      </c>
      <c r="BZ37" s="17">
        <f t="shared" si="90"/>
        <v>44570253.05</v>
      </c>
      <c r="CA37" s="17">
        <f t="shared" si="90"/>
        <v>54313466.690000005</v>
      </c>
      <c r="CB37" s="17">
        <f t="shared" si="90"/>
        <v>226958373.4</v>
      </c>
      <c r="CC37" s="4">
        <f>BX37-CB37</f>
        <v>0</v>
      </c>
      <c r="CD37" s="74">
        <f>K37+L37+AV37-AW37</f>
        <v>9892595.750000002</v>
      </c>
      <c r="CE37" s="76">
        <f>CD37+W37-AS37</f>
        <v>10463746.990000004</v>
      </c>
      <c r="CF37" s="76">
        <f>BR37-BP37</f>
        <v>15260403.49</v>
      </c>
      <c r="CG37" s="76">
        <f>AU37-AM37-AT37-AS37</f>
        <v>92548027.37</v>
      </c>
      <c r="CH37" s="76">
        <f>I37-AG37+AY37+AH37+BQ37</f>
        <v>-2723480.2600000026</v>
      </c>
      <c r="CI37" s="37">
        <f>CH37+K37</f>
        <v>6190120.909999999</v>
      </c>
      <c r="CJ37" s="59">
        <f>CD37/CF37</f>
        <v>0.6482525679273505</v>
      </c>
      <c r="CK37" s="140">
        <f>CE37/CF37</f>
        <v>0.6856795756977723</v>
      </c>
      <c r="CL37" s="64">
        <f>CD37/CG37*1</f>
        <v>0.10689148144076754</v>
      </c>
      <c r="CM37" s="64">
        <f>CE37/CG37</f>
        <v>0.11306288515655483</v>
      </c>
      <c r="CN37" s="64">
        <f>CH37/CG37</f>
        <v>-0.02942775051392219</v>
      </c>
      <c r="CO37" s="64">
        <f>CI37/CG37</f>
        <v>0.06688549811280542</v>
      </c>
      <c r="CP37" s="64">
        <f>(K37+L37)/(BU37+K37+L37)</f>
        <v>0.11484275489304475</v>
      </c>
      <c r="CQ37" s="64">
        <f>(K37)/(BU37+K37+L37)</f>
        <v>0.08593304927971726</v>
      </c>
      <c r="CR37" s="75">
        <f>CS37/CE37</f>
        <v>0.09858227946316206</v>
      </c>
      <c r="CS37" s="76">
        <f>BT37-BY37</f>
        <v>1031540.0300000012</v>
      </c>
      <c r="CT37" s="80">
        <f>Y37-K37-L37-V37</f>
        <v>102569491.34</v>
      </c>
      <c r="CU37" s="80">
        <f>AU37-AR37</f>
        <v>111807885.54</v>
      </c>
      <c r="CV37" s="80">
        <f>CU37-CT37</f>
        <v>9238394.200000003</v>
      </c>
      <c r="CW37" s="80">
        <f>-V37+AR37</f>
        <v>654201.55</v>
      </c>
      <c r="CX37" s="80">
        <f>CV37+CW37</f>
        <v>9892595.750000004</v>
      </c>
      <c r="CY37" s="80">
        <f>CX37-K37-L37</f>
        <v>-2019730.4499999979</v>
      </c>
      <c r="CZ37" s="80">
        <f>BR37-BP37</f>
        <v>15260403.49</v>
      </c>
      <c r="DA37" s="80">
        <f>K37+L37</f>
        <v>11912326.200000001</v>
      </c>
      <c r="DB37" s="80">
        <f>-CZ37+DA37+CY37</f>
        <v>-5367807.7399999965</v>
      </c>
      <c r="DC37" s="80">
        <f>-BP37-DA37</f>
        <v>-20601003.85</v>
      </c>
      <c r="DD37" s="80">
        <f>DB37+DC37+BR37</f>
        <v>-2019730.4499999955</v>
      </c>
      <c r="DE37" s="80">
        <f>Z37+AA37+AB37</f>
        <v>35446709.37</v>
      </c>
      <c r="DF37" s="80">
        <f>CS37/B37</f>
        <v>26.996598534415106</v>
      </c>
      <c r="DG37" s="80">
        <f>CH37/B37</f>
        <v>-71.27663595917306</v>
      </c>
      <c r="DH37" s="80">
        <f>DE37/B37</f>
        <v>927.6814805024862</v>
      </c>
      <c r="DI37" s="81">
        <f>CZ37/B37</f>
        <v>399.38245197592255</v>
      </c>
      <c r="DJ37" s="76">
        <f>DB37/B37</f>
        <v>-140.48175189740897</v>
      </c>
      <c r="DK37" s="147">
        <f>CA37-BW37-BU37</f>
        <v>-40692418.33999999</v>
      </c>
      <c r="DL37" s="67"/>
      <c r="DM37" s="67"/>
      <c r="DN37" s="68"/>
    </row>
    <row r="60" spans="1:115" ht="12.75">
      <c r="A60" s="3" t="s">
        <v>252</v>
      </c>
      <c r="B60" s="62">
        <f>B10+B20+B26</f>
        <v>1419</v>
      </c>
      <c r="C60" s="62">
        <f aca="true" t="shared" si="91" ref="C60:BN60">C10+C20+C26</f>
        <v>4332447</v>
      </c>
      <c r="D60" s="62">
        <f>(D10+D20+D26)/3</f>
        <v>3071.933333333333</v>
      </c>
      <c r="E60" s="62">
        <f>(E10+E20+E26)/3</f>
        <v>85.95333333333332</v>
      </c>
      <c r="F60" s="62">
        <f>(F10+F20+F26)/3</f>
        <v>8</v>
      </c>
      <c r="G60" s="19">
        <f t="shared" si="91"/>
        <v>1330825.2000000002</v>
      </c>
      <c r="H60" s="19">
        <f t="shared" si="91"/>
        <v>786523.45</v>
      </c>
      <c r="I60" s="19">
        <f t="shared" si="91"/>
        <v>30383.75</v>
      </c>
      <c r="J60" s="19">
        <f t="shared" si="91"/>
        <v>8364</v>
      </c>
      <c r="K60" s="19">
        <f t="shared" si="91"/>
        <v>309452.3</v>
      </c>
      <c r="L60" s="19">
        <f t="shared" si="91"/>
        <v>0</v>
      </c>
      <c r="M60" s="19">
        <f t="shared" si="91"/>
        <v>309452.3</v>
      </c>
      <c r="N60" s="19">
        <f t="shared" si="91"/>
        <v>0</v>
      </c>
      <c r="O60" s="19">
        <f t="shared" si="91"/>
        <v>294290.35</v>
      </c>
      <c r="P60" s="19">
        <f t="shared" si="91"/>
        <v>518046.65</v>
      </c>
      <c r="Q60" s="19">
        <f t="shared" si="91"/>
        <v>10936.9</v>
      </c>
      <c r="R60" s="19">
        <f t="shared" si="91"/>
        <v>106749.54000000001</v>
      </c>
      <c r="S60" s="19">
        <f t="shared" si="91"/>
        <v>59695</v>
      </c>
      <c r="T60" s="19">
        <f t="shared" si="91"/>
        <v>193000</v>
      </c>
      <c r="U60" s="19">
        <f t="shared" si="91"/>
        <v>0</v>
      </c>
      <c r="V60" s="19">
        <f t="shared" si="91"/>
        <v>0</v>
      </c>
      <c r="W60" s="19">
        <f t="shared" si="91"/>
        <v>359444.54</v>
      </c>
      <c r="X60" s="19">
        <f t="shared" si="91"/>
        <v>535738</v>
      </c>
      <c r="Y60" s="19">
        <f t="shared" si="91"/>
        <v>4184005.14</v>
      </c>
      <c r="Z60" s="19">
        <f t="shared" si="91"/>
        <v>1373419</v>
      </c>
      <c r="AA60" s="19">
        <f t="shared" si="91"/>
        <v>45735.34999999999</v>
      </c>
      <c r="AB60" s="19">
        <f t="shared" si="91"/>
        <v>4085.5</v>
      </c>
      <c r="AC60" s="19">
        <f t="shared" si="91"/>
        <v>0</v>
      </c>
      <c r="AD60" s="19">
        <f t="shared" si="91"/>
        <v>53657.05</v>
      </c>
      <c r="AE60" s="19">
        <f t="shared" si="91"/>
        <v>1476896.9</v>
      </c>
      <c r="AF60" s="19">
        <f t="shared" si="91"/>
        <v>1309.2</v>
      </c>
      <c r="AG60" s="19">
        <f t="shared" si="91"/>
        <v>370300.9</v>
      </c>
      <c r="AH60" s="19">
        <f t="shared" si="91"/>
        <v>0</v>
      </c>
      <c r="AI60" s="19">
        <f t="shared" si="91"/>
        <v>1366139.75</v>
      </c>
      <c r="AJ60" s="19">
        <f t="shared" si="91"/>
        <v>19568.15</v>
      </c>
      <c r="AK60" s="19">
        <f t="shared" si="91"/>
        <v>105261.05</v>
      </c>
      <c r="AL60" s="19">
        <f t="shared" si="91"/>
        <v>180669.84</v>
      </c>
      <c r="AM60" s="19">
        <f t="shared" si="91"/>
        <v>11476.9</v>
      </c>
      <c r="AN60" s="19">
        <f t="shared" si="91"/>
        <v>85544.54999999999</v>
      </c>
      <c r="AO60" s="19">
        <f t="shared" si="91"/>
        <v>12777.65</v>
      </c>
      <c r="AP60" s="19">
        <f t="shared" si="91"/>
        <v>53826.65</v>
      </c>
      <c r="AQ60" s="19">
        <f t="shared" si="91"/>
        <v>0</v>
      </c>
      <c r="AR60" s="19">
        <f t="shared" si="91"/>
        <v>0</v>
      </c>
      <c r="AS60" s="19">
        <f t="shared" si="91"/>
        <v>152148.84999999998</v>
      </c>
      <c r="AT60" s="19">
        <f t="shared" si="91"/>
        <v>554550</v>
      </c>
      <c r="AU60" s="19">
        <f t="shared" si="91"/>
        <v>4238321.54</v>
      </c>
      <c r="AV60" s="19">
        <f t="shared" si="91"/>
        <v>54316.4</v>
      </c>
      <c r="AW60" s="19">
        <f t="shared" si="91"/>
        <v>0</v>
      </c>
      <c r="AX60" s="19">
        <f t="shared" si="91"/>
        <v>-3.7607605918310583E-10</v>
      </c>
      <c r="AY60" s="19">
        <f t="shared" si="91"/>
        <v>5169.85</v>
      </c>
      <c r="AZ60" s="19">
        <f t="shared" si="91"/>
        <v>771383</v>
      </c>
      <c r="BA60" s="19">
        <f t="shared" si="91"/>
        <v>0</v>
      </c>
      <c r="BB60" s="19">
        <f t="shared" si="91"/>
        <v>0</v>
      </c>
      <c r="BC60" s="19">
        <f t="shared" si="91"/>
        <v>87083.2</v>
      </c>
      <c r="BD60" s="19">
        <f t="shared" si="91"/>
        <v>32086.3</v>
      </c>
      <c r="BE60" s="19">
        <f t="shared" si="91"/>
        <v>0</v>
      </c>
      <c r="BF60" s="19">
        <f t="shared" si="91"/>
        <v>890552.5</v>
      </c>
      <c r="BG60" s="19">
        <f t="shared" si="91"/>
        <v>0</v>
      </c>
      <c r="BH60" s="19">
        <f t="shared" si="91"/>
        <v>3820</v>
      </c>
      <c r="BI60" s="19">
        <f t="shared" si="91"/>
        <v>0</v>
      </c>
      <c r="BJ60" s="19">
        <f t="shared" si="91"/>
        <v>1500</v>
      </c>
      <c r="BK60" s="19">
        <f t="shared" si="91"/>
        <v>0</v>
      </c>
      <c r="BL60" s="19">
        <f t="shared" si="91"/>
        <v>178310.9</v>
      </c>
      <c r="BM60" s="19">
        <f t="shared" si="91"/>
        <v>487820</v>
      </c>
      <c r="BN60" s="19">
        <f t="shared" si="91"/>
        <v>0</v>
      </c>
      <c r="BO60" s="19">
        <f aca="true" t="shared" si="92" ref="BO60:CI60">BO10+BO20+BO26</f>
        <v>671450.9</v>
      </c>
      <c r="BP60" s="19">
        <f t="shared" si="92"/>
        <v>570950.9</v>
      </c>
      <c r="BQ60" s="19">
        <f t="shared" si="92"/>
        <v>0</v>
      </c>
      <c r="BR60" s="19">
        <f t="shared" si="92"/>
        <v>790052.5</v>
      </c>
      <c r="BS60" s="19">
        <f t="shared" si="92"/>
        <v>0</v>
      </c>
      <c r="BT60" s="19">
        <f t="shared" si="92"/>
        <v>6119925.79</v>
      </c>
      <c r="BU60" s="19">
        <f t="shared" si="92"/>
        <v>1899570.2999999998</v>
      </c>
      <c r="BV60" s="19">
        <f t="shared" si="92"/>
        <v>72954.2</v>
      </c>
      <c r="BW60" s="19">
        <f t="shared" si="92"/>
        <v>0</v>
      </c>
      <c r="BX60" s="19">
        <f t="shared" si="92"/>
        <v>8092450.29</v>
      </c>
      <c r="BY60" s="19">
        <f t="shared" si="92"/>
        <v>3039002.1</v>
      </c>
      <c r="BZ60" s="19">
        <f t="shared" si="92"/>
        <v>3650494.6399999997</v>
      </c>
      <c r="CA60" s="19">
        <f t="shared" si="92"/>
        <v>1402953.55</v>
      </c>
      <c r="CB60" s="19">
        <f t="shared" si="92"/>
        <v>8092450.289999999</v>
      </c>
      <c r="CC60" s="19">
        <f t="shared" si="92"/>
        <v>0</v>
      </c>
      <c r="CD60" s="19">
        <f t="shared" si="92"/>
        <v>363768.69999999995</v>
      </c>
      <c r="CE60" s="19">
        <f t="shared" si="92"/>
        <v>571064.39</v>
      </c>
      <c r="CF60" s="19">
        <f t="shared" si="92"/>
        <v>219101.59999999995</v>
      </c>
      <c r="CG60" s="19">
        <f t="shared" si="92"/>
        <v>3520145.790000001</v>
      </c>
      <c r="CH60" s="19">
        <f t="shared" si="92"/>
        <v>-334747.30000000005</v>
      </c>
      <c r="CI60" s="19">
        <f t="shared" si="92"/>
        <v>-25295.00000000003</v>
      </c>
      <c r="CJ60" s="154">
        <f aca="true" t="shared" si="93" ref="CJ60:CJ65">CD60/CF60</f>
        <v>1.660274046378484</v>
      </c>
      <c r="CK60" s="154">
        <f aca="true" t="shared" si="94" ref="CK60:CK65">CE60/CF60</f>
        <v>2.6063907794374854</v>
      </c>
      <c r="CL60" s="154">
        <f aca="true" t="shared" si="95" ref="CL60:CL65">CD60/CG60*1</f>
        <v>0.10333910062287502</v>
      </c>
      <c r="CM60" s="154">
        <f aca="true" t="shared" si="96" ref="CM60:CM65">CE60/CG60</f>
        <v>0.16222748262934866</v>
      </c>
      <c r="CN60" s="154">
        <f aca="true" t="shared" si="97" ref="CN60:CN65">CH60/CG60</f>
        <v>-0.09509472617609964</v>
      </c>
      <c r="CO60" s="154">
        <f aca="true" t="shared" si="98" ref="CO60:CO65">CI60/CG60</f>
        <v>-0.007185781927515003</v>
      </c>
      <c r="CP60" s="154">
        <f aca="true" t="shared" si="99" ref="CP60:CP65">(K60+L60)/(BU60+K60+L60)</f>
        <v>0.1400856197668598</v>
      </c>
      <c r="CQ60" s="154">
        <f aca="true" t="shared" si="100" ref="CQ60:CQ65">(K60)/(BU60+K60+L60)</f>
        <v>0.1400856197668598</v>
      </c>
      <c r="CR60" s="19">
        <f aca="true" t="shared" si="101" ref="CR60:CR65">CS60/CE60</f>
        <v>5.3950548203504685</v>
      </c>
      <c r="CS60" s="19">
        <f aca="true" t="shared" si="102" ref="CS60:CS65">BT60-BY60</f>
        <v>3080923.69</v>
      </c>
      <c r="CT60" s="19">
        <f aca="true" t="shared" si="103" ref="CT60:CT65">Y60-K60-L60-V60</f>
        <v>3874552.8400000003</v>
      </c>
      <c r="CU60" s="19">
        <f aca="true" t="shared" si="104" ref="CU60:CU65">AU60-AR60</f>
        <v>4238321.54</v>
      </c>
      <c r="CV60" s="19">
        <f aca="true" t="shared" si="105" ref="CV60:CV65">CU60-CT60</f>
        <v>363768.6999999997</v>
      </c>
      <c r="CW60" s="19">
        <f aca="true" t="shared" si="106" ref="CW60:CW65">-V60+AR60</f>
        <v>0</v>
      </c>
      <c r="CX60" s="19">
        <f aca="true" t="shared" si="107" ref="CX60:CX65">CV60+CW60</f>
        <v>363768.6999999997</v>
      </c>
      <c r="CY60" s="19">
        <f aca="true" t="shared" si="108" ref="CY60:CY65">CX60-K60-L60</f>
        <v>54316.39999999973</v>
      </c>
      <c r="CZ60" s="19">
        <f aca="true" t="shared" si="109" ref="CZ60:CZ65">BR60-BP60</f>
        <v>219101.59999999998</v>
      </c>
      <c r="DA60" s="19">
        <f aca="true" t="shared" si="110" ref="DA60:DA65">K60+L60</f>
        <v>309452.3</v>
      </c>
      <c r="DB60" s="19">
        <f aca="true" t="shared" si="111" ref="DB60:DB65">-CZ60+DA60+CY60</f>
        <v>144667.09999999974</v>
      </c>
      <c r="DC60" s="19">
        <f aca="true" t="shared" si="112" ref="DC60:DC65">-BP60-DA60</f>
        <v>-880403.2</v>
      </c>
      <c r="DD60" s="19">
        <f aca="true" t="shared" si="113" ref="DD60:DD65">DB60+DC60+BR60</f>
        <v>54316.39999999979</v>
      </c>
      <c r="DE60" s="19">
        <f aca="true" t="shared" si="114" ref="DE60:DE65">Z60+AA60+AB60</f>
        <v>1423239.85</v>
      </c>
      <c r="DF60" s="19">
        <f aca="true" t="shared" si="115" ref="DF60:DF65">CS60/B60</f>
        <v>2171.1935799859057</v>
      </c>
      <c r="DG60" s="19">
        <f aca="true" t="shared" si="116" ref="DG60:DG65">CH60/B60</f>
        <v>-235.9036645525018</v>
      </c>
      <c r="DH60" s="19">
        <f aca="true" t="shared" si="117" ref="DH60:DH65">DE60/B60</f>
        <v>1002.9879140239606</v>
      </c>
      <c r="DI60" s="19">
        <f aca="true" t="shared" si="118" ref="DI60:DI65">CZ60/B60</f>
        <v>154.4056377730796</v>
      </c>
      <c r="DJ60" s="19">
        <f aca="true" t="shared" si="119" ref="DJ60:DJ65">DB60/B60</f>
        <v>101.95003523608156</v>
      </c>
      <c r="DK60" s="19">
        <f aca="true" t="shared" si="120" ref="DK60:DK65">CA60-BW60-BU60</f>
        <v>-496616.74999999977</v>
      </c>
    </row>
    <row r="61" spans="1:115" ht="12.75">
      <c r="A61" s="3" t="s">
        <v>253</v>
      </c>
      <c r="B61" s="62">
        <f>B4+B19+B21+B24+B25</f>
        <v>14473</v>
      </c>
      <c r="C61" s="62">
        <f aca="true" t="shared" si="121" ref="C61:BN61">C4+C19+C21+C24+C25</f>
        <v>52814562</v>
      </c>
      <c r="D61" s="62">
        <f>(D4+D19+D21+D24+D25)/5</f>
        <v>3521.642</v>
      </c>
      <c r="E61" s="62">
        <f>(E4+E19+E21+E24+E25)/5</f>
        <v>98.53600000000002</v>
      </c>
      <c r="F61" s="62">
        <f>(F4+F19+F21+F24+F25)/5</f>
        <v>5.8</v>
      </c>
      <c r="G61" s="19">
        <f t="shared" si="121"/>
        <v>9559557.129999999</v>
      </c>
      <c r="H61" s="19">
        <f t="shared" si="121"/>
        <v>12264476.410000002</v>
      </c>
      <c r="I61" s="19">
        <f t="shared" si="121"/>
        <v>559900.35</v>
      </c>
      <c r="J61" s="19">
        <f t="shared" si="121"/>
        <v>18619.37</v>
      </c>
      <c r="K61" s="19">
        <f t="shared" si="121"/>
        <v>3585210.0900000003</v>
      </c>
      <c r="L61" s="19">
        <f t="shared" si="121"/>
        <v>443442.47</v>
      </c>
      <c r="M61" s="19">
        <f t="shared" si="121"/>
        <v>4028652.5600000005</v>
      </c>
      <c r="N61" s="19">
        <f t="shared" si="121"/>
        <v>146025.64</v>
      </c>
      <c r="O61" s="19">
        <f t="shared" si="121"/>
        <v>1902283.81</v>
      </c>
      <c r="P61" s="19">
        <f t="shared" si="121"/>
        <v>5484404.67</v>
      </c>
      <c r="Q61" s="19">
        <f t="shared" si="121"/>
        <v>147689.30000000002</v>
      </c>
      <c r="R61" s="19">
        <f t="shared" si="121"/>
        <v>519352.12</v>
      </c>
      <c r="S61" s="19">
        <f t="shared" si="121"/>
        <v>174639.2</v>
      </c>
      <c r="T61" s="19">
        <f t="shared" si="121"/>
        <v>0</v>
      </c>
      <c r="U61" s="19">
        <f t="shared" si="121"/>
        <v>0</v>
      </c>
      <c r="V61" s="19">
        <f t="shared" si="121"/>
        <v>0</v>
      </c>
      <c r="W61" s="19">
        <f t="shared" si="121"/>
        <v>693991.3200000001</v>
      </c>
      <c r="X61" s="19">
        <f t="shared" si="121"/>
        <v>5992753.359999999</v>
      </c>
      <c r="Y61" s="19">
        <f t="shared" si="121"/>
        <v>40798353.92</v>
      </c>
      <c r="Z61" s="19">
        <f t="shared" si="121"/>
        <v>11981204.71</v>
      </c>
      <c r="AA61" s="19">
        <f t="shared" si="121"/>
        <v>1665995.6900000002</v>
      </c>
      <c r="AB61" s="19">
        <f t="shared" si="121"/>
        <v>224313.75</v>
      </c>
      <c r="AC61" s="19">
        <f t="shared" si="121"/>
        <v>133103.85</v>
      </c>
      <c r="AD61" s="19">
        <f t="shared" si="121"/>
        <v>79080.34999999999</v>
      </c>
      <c r="AE61" s="19">
        <f t="shared" si="121"/>
        <v>14083698.35</v>
      </c>
      <c r="AF61" s="19">
        <f t="shared" si="121"/>
        <v>136690</v>
      </c>
      <c r="AG61" s="19">
        <f t="shared" si="121"/>
        <v>838390.2000000001</v>
      </c>
      <c r="AH61" s="19">
        <f t="shared" si="121"/>
        <v>37955.05</v>
      </c>
      <c r="AI61" s="19">
        <f t="shared" si="121"/>
        <v>14966531.939999998</v>
      </c>
      <c r="AJ61" s="19">
        <f t="shared" si="121"/>
        <v>972142.85</v>
      </c>
      <c r="AK61" s="19">
        <f t="shared" si="121"/>
        <v>698989.2</v>
      </c>
      <c r="AL61" s="19">
        <f t="shared" si="121"/>
        <v>2073401.23</v>
      </c>
      <c r="AM61" s="19">
        <f t="shared" si="121"/>
        <v>147206.94999999998</v>
      </c>
      <c r="AN61" s="19">
        <f t="shared" si="121"/>
        <v>365268.49</v>
      </c>
      <c r="AO61" s="19">
        <f t="shared" si="121"/>
        <v>55103.130000000005</v>
      </c>
      <c r="AP61" s="19">
        <f t="shared" si="121"/>
        <v>137532.83</v>
      </c>
      <c r="AQ61" s="19">
        <f t="shared" si="121"/>
        <v>0</v>
      </c>
      <c r="AR61" s="19">
        <f t="shared" si="121"/>
        <v>74394.75</v>
      </c>
      <c r="AS61" s="19">
        <f t="shared" si="121"/>
        <v>632299.2</v>
      </c>
      <c r="AT61" s="19">
        <f t="shared" si="121"/>
        <v>6000121.56</v>
      </c>
      <c r="AU61" s="19">
        <f t="shared" si="121"/>
        <v>40549471.48</v>
      </c>
      <c r="AV61" s="19">
        <f t="shared" si="121"/>
        <v>287679.41000000003</v>
      </c>
      <c r="AW61" s="19">
        <f t="shared" si="121"/>
        <v>536561.85</v>
      </c>
      <c r="AX61" s="19">
        <f t="shared" si="121"/>
        <v>-4.9112713895738125E-11</v>
      </c>
      <c r="AY61" s="19">
        <f t="shared" si="121"/>
        <v>314194.57</v>
      </c>
      <c r="AZ61" s="19">
        <f t="shared" si="121"/>
        <v>5889612.96</v>
      </c>
      <c r="BA61" s="19">
        <f t="shared" si="121"/>
        <v>1319100</v>
      </c>
      <c r="BB61" s="19">
        <f t="shared" si="121"/>
        <v>121960.7</v>
      </c>
      <c r="BC61" s="19">
        <f t="shared" si="121"/>
        <v>1408138.4</v>
      </c>
      <c r="BD61" s="19">
        <f t="shared" si="121"/>
        <v>0</v>
      </c>
      <c r="BE61" s="19">
        <f t="shared" si="121"/>
        <v>346600.75</v>
      </c>
      <c r="BF61" s="19">
        <f t="shared" si="121"/>
        <v>9085412.81</v>
      </c>
      <c r="BG61" s="19">
        <f t="shared" si="121"/>
        <v>0</v>
      </c>
      <c r="BH61" s="19">
        <f t="shared" si="121"/>
        <v>1551676.75</v>
      </c>
      <c r="BI61" s="19">
        <f t="shared" si="121"/>
        <v>0</v>
      </c>
      <c r="BJ61" s="19">
        <f t="shared" si="121"/>
        <v>118520.5</v>
      </c>
      <c r="BK61" s="19">
        <f t="shared" si="121"/>
        <v>0</v>
      </c>
      <c r="BL61" s="19">
        <f t="shared" si="121"/>
        <v>60779.35</v>
      </c>
      <c r="BM61" s="19">
        <f t="shared" si="121"/>
        <v>994043.8500000001</v>
      </c>
      <c r="BN61" s="19">
        <f t="shared" si="121"/>
        <v>0</v>
      </c>
      <c r="BO61" s="19">
        <f aca="true" t="shared" si="122" ref="BO61:CI61">BO4+BO19+BO21+BO24+BO25</f>
        <v>2725020.4499999997</v>
      </c>
      <c r="BP61" s="19">
        <f t="shared" si="122"/>
        <v>2711129.4499999997</v>
      </c>
      <c r="BQ61" s="19">
        <f t="shared" si="122"/>
        <v>0</v>
      </c>
      <c r="BR61" s="19">
        <f t="shared" si="122"/>
        <v>9071521.81</v>
      </c>
      <c r="BS61" s="19">
        <f t="shared" si="122"/>
        <v>0</v>
      </c>
      <c r="BT61" s="19">
        <f t="shared" si="122"/>
        <v>38084239.33</v>
      </c>
      <c r="BU61" s="19">
        <f t="shared" si="122"/>
        <v>35238451.41</v>
      </c>
      <c r="BV61" s="19">
        <f t="shared" si="122"/>
        <v>926547.71</v>
      </c>
      <c r="BW61" s="19">
        <f t="shared" si="122"/>
        <v>340679.36</v>
      </c>
      <c r="BX61" s="19">
        <f t="shared" si="122"/>
        <v>74589917.80999999</v>
      </c>
      <c r="BY61" s="19">
        <f t="shared" si="122"/>
        <v>32954254.400000002</v>
      </c>
      <c r="BZ61" s="19">
        <f t="shared" si="122"/>
        <v>17633103.900000002</v>
      </c>
      <c r="CA61" s="19">
        <f t="shared" si="122"/>
        <v>24002559.51</v>
      </c>
      <c r="CB61" s="19">
        <f t="shared" si="122"/>
        <v>74589917.81</v>
      </c>
      <c r="CC61" s="19">
        <f t="shared" si="122"/>
        <v>0</v>
      </c>
      <c r="CD61" s="19">
        <f t="shared" si="122"/>
        <v>3779770.1200000006</v>
      </c>
      <c r="CE61" s="19">
        <f t="shared" si="122"/>
        <v>3841462.24</v>
      </c>
      <c r="CF61" s="19">
        <f t="shared" si="122"/>
        <v>6360392.359999999</v>
      </c>
      <c r="CG61" s="19">
        <f t="shared" si="122"/>
        <v>33769843.769999996</v>
      </c>
      <c r="CH61" s="19">
        <f t="shared" si="122"/>
        <v>73659.77</v>
      </c>
      <c r="CI61" s="19">
        <f t="shared" si="122"/>
        <v>3658869.8600000003</v>
      </c>
      <c r="CJ61" s="154">
        <f t="shared" si="93"/>
        <v>0.5942668165836236</v>
      </c>
      <c r="CK61" s="154">
        <f t="shared" si="94"/>
        <v>0.6039662370766071</v>
      </c>
      <c r="CL61" s="154">
        <f t="shared" si="95"/>
        <v>0.11192737952071376</v>
      </c>
      <c r="CM61" s="154">
        <f t="shared" si="96"/>
        <v>0.11375422007171461</v>
      </c>
      <c r="CN61" s="154">
        <f t="shared" si="97"/>
        <v>0.0021812292204157866</v>
      </c>
      <c r="CO61" s="154">
        <f t="shared" si="98"/>
        <v>0.1083472545777786</v>
      </c>
      <c r="CP61" s="154">
        <f t="shared" si="99"/>
        <v>0.10259612124891829</v>
      </c>
      <c r="CQ61" s="154">
        <f t="shared" si="100"/>
        <v>0.0913031450635905</v>
      </c>
      <c r="CR61" s="19">
        <f t="shared" si="101"/>
        <v>1.3354250567877495</v>
      </c>
      <c r="CS61" s="19">
        <f t="shared" si="102"/>
        <v>5129984.929999996</v>
      </c>
      <c r="CT61" s="19">
        <f t="shared" si="103"/>
        <v>36769701.36</v>
      </c>
      <c r="CU61" s="19">
        <f t="shared" si="104"/>
        <v>40475076.73</v>
      </c>
      <c r="CV61" s="19">
        <f t="shared" si="105"/>
        <v>3705375.3699999973</v>
      </c>
      <c r="CW61" s="19">
        <f t="shared" si="106"/>
        <v>74394.75</v>
      </c>
      <c r="CX61" s="19">
        <f t="shared" si="107"/>
        <v>3779770.1199999973</v>
      </c>
      <c r="CY61" s="19">
        <f t="shared" si="108"/>
        <v>-248882.44000000297</v>
      </c>
      <c r="CZ61" s="19">
        <f t="shared" si="109"/>
        <v>6360392.360000001</v>
      </c>
      <c r="DA61" s="19">
        <f t="shared" si="110"/>
        <v>4028652.5600000005</v>
      </c>
      <c r="DB61" s="19">
        <f t="shared" si="111"/>
        <v>-2580622.240000004</v>
      </c>
      <c r="DC61" s="19">
        <f t="shared" si="112"/>
        <v>-6739782.01</v>
      </c>
      <c r="DD61" s="19">
        <f t="shared" si="113"/>
        <v>-248882.4400000032</v>
      </c>
      <c r="DE61" s="19">
        <f t="shared" si="114"/>
        <v>13871514.15</v>
      </c>
      <c r="DF61" s="19">
        <f t="shared" si="115"/>
        <v>354.45207835279456</v>
      </c>
      <c r="DG61" s="19">
        <f t="shared" si="116"/>
        <v>5.089461065432184</v>
      </c>
      <c r="DH61" s="19">
        <f t="shared" si="117"/>
        <v>958.4408312029296</v>
      </c>
      <c r="DI61" s="19">
        <f t="shared" si="118"/>
        <v>439.4660650867133</v>
      </c>
      <c r="DJ61" s="19">
        <f t="shared" si="119"/>
        <v>-178.30596559110094</v>
      </c>
      <c r="DK61" s="19">
        <f t="shared" si="120"/>
        <v>-11576571.259999994</v>
      </c>
    </row>
    <row r="62" spans="1:115" ht="12.75">
      <c r="A62" s="3" t="s">
        <v>254</v>
      </c>
      <c r="B62" s="62">
        <f>B9+B11+B22+B27</f>
        <v>11838</v>
      </c>
      <c r="C62" s="62">
        <f aca="true" t="shared" si="123" ref="C62:BN62">C9+C11+C22+C27</f>
        <v>46223234</v>
      </c>
      <c r="D62" s="62">
        <f>(D9+D11+D22+D27)/4</f>
        <v>3638.7675</v>
      </c>
      <c r="E62" s="62">
        <f>(E9+E11+E22+E27)/4</f>
        <v>101.8125</v>
      </c>
      <c r="F62" s="62">
        <f>(F9+F11+F22+F27)/4</f>
        <v>3</v>
      </c>
      <c r="G62" s="19">
        <f t="shared" si="123"/>
        <v>8312275.850000001</v>
      </c>
      <c r="H62" s="19">
        <f t="shared" si="123"/>
        <v>9812706.079999998</v>
      </c>
      <c r="I62" s="19">
        <f t="shared" si="123"/>
        <v>1042168.2999999999</v>
      </c>
      <c r="J62" s="19">
        <f t="shared" si="123"/>
        <v>2622488.8000000003</v>
      </c>
      <c r="K62" s="19">
        <f t="shared" si="123"/>
        <v>3344610.4</v>
      </c>
      <c r="L62" s="19">
        <f t="shared" si="123"/>
        <v>1380234.6</v>
      </c>
      <c r="M62" s="19">
        <f t="shared" si="123"/>
        <v>4724845</v>
      </c>
      <c r="N62" s="19">
        <f t="shared" si="123"/>
        <v>150000</v>
      </c>
      <c r="O62" s="19">
        <f t="shared" si="123"/>
        <v>1270570.37</v>
      </c>
      <c r="P62" s="19">
        <f t="shared" si="123"/>
        <v>3465013.5000000005</v>
      </c>
      <c r="Q62" s="19">
        <f t="shared" si="123"/>
        <v>60215.8</v>
      </c>
      <c r="R62" s="19">
        <f t="shared" si="123"/>
        <v>869532.3599999999</v>
      </c>
      <c r="S62" s="19">
        <f t="shared" si="123"/>
        <v>17822.2</v>
      </c>
      <c r="T62" s="19">
        <f t="shared" si="123"/>
        <v>89217.4</v>
      </c>
      <c r="U62" s="19">
        <f t="shared" si="123"/>
        <v>0</v>
      </c>
      <c r="V62" s="19">
        <f t="shared" si="123"/>
        <v>0</v>
      </c>
      <c r="W62" s="19">
        <f t="shared" si="123"/>
        <v>976571.96</v>
      </c>
      <c r="X62" s="19">
        <f t="shared" si="123"/>
        <v>4764911.149999999</v>
      </c>
      <c r="Y62" s="19">
        <f t="shared" si="123"/>
        <v>37201766.81</v>
      </c>
      <c r="Z62" s="19">
        <f t="shared" si="123"/>
        <v>10334747.01</v>
      </c>
      <c r="AA62" s="19">
        <f t="shared" si="123"/>
        <v>685715.6</v>
      </c>
      <c r="AB62" s="19">
        <f t="shared" si="123"/>
        <v>266718.5</v>
      </c>
      <c r="AC62" s="19">
        <f t="shared" si="123"/>
        <v>0</v>
      </c>
      <c r="AD62" s="19">
        <f t="shared" si="123"/>
        <v>47758</v>
      </c>
      <c r="AE62" s="19">
        <f t="shared" si="123"/>
        <v>11334939.11</v>
      </c>
      <c r="AF62" s="19">
        <f t="shared" si="123"/>
        <v>134847.35</v>
      </c>
      <c r="AG62" s="19">
        <f t="shared" si="123"/>
        <v>5064946.050000001</v>
      </c>
      <c r="AH62" s="19">
        <f t="shared" si="123"/>
        <v>1090000</v>
      </c>
      <c r="AI62" s="19">
        <f t="shared" si="123"/>
        <v>12032300.62</v>
      </c>
      <c r="AJ62" s="19">
        <f t="shared" si="123"/>
        <v>146330.8</v>
      </c>
      <c r="AK62" s="19">
        <f t="shared" si="123"/>
        <v>552560.83</v>
      </c>
      <c r="AL62" s="19">
        <f t="shared" si="123"/>
        <v>940865.4</v>
      </c>
      <c r="AM62" s="19">
        <f t="shared" si="123"/>
        <v>0</v>
      </c>
      <c r="AN62" s="19">
        <f t="shared" si="123"/>
        <v>40068.44</v>
      </c>
      <c r="AO62" s="19">
        <f t="shared" si="123"/>
        <v>50000</v>
      </c>
      <c r="AP62" s="19">
        <f t="shared" si="123"/>
        <v>0</v>
      </c>
      <c r="AQ62" s="19">
        <f t="shared" si="123"/>
        <v>0</v>
      </c>
      <c r="AR62" s="19">
        <f t="shared" si="123"/>
        <v>429806.8</v>
      </c>
      <c r="AS62" s="19">
        <f t="shared" si="123"/>
        <v>519875.24</v>
      </c>
      <c r="AT62" s="19">
        <f t="shared" si="123"/>
        <v>4764911.149999999</v>
      </c>
      <c r="AU62" s="19">
        <f t="shared" si="123"/>
        <v>35491576.55</v>
      </c>
      <c r="AV62" s="19">
        <f t="shared" si="123"/>
        <v>22293.05</v>
      </c>
      <c r="AW62" s="19">
        <f t="shared" si="123"/>
        <v>1732483.31</v>
      </c>
      <c r="AX62" s="19">
        <f t="shared" si="123"/>
        <v>2.5138433557003736E-09</v>
      </c>
      <c r="AY62" s="19">
        <f t="shared" si="123"/>
        <v>1007188.55</v>
      </c>
      <c r="AZ62" s="19">
        <f t="shared" si="123"/>
        <v>9024589.36</v>
      </c>
      <c r="BA62" s="19">
        <f t="shared" si="123"/>
        <v>0</v>
      </c>
      <c r="BB62" s="19">
        <f t="shared" si="123"/>
        <v>19895</v>
      </c>
      <c r="BC62" s="19">
        <f t="shared" si="123"/>
        <v>325000</v>
      </c>
      <c r="BD62" s="19">
        <f t="shared" si="123"/>
        <v>0</v>
      </c>
      <c r="BE62" s="19">
        <f t="shared" si="123"/>
        <v>226403.76</v>
      </c>
      <c r="BF62" s="19">
        <f t="shared" si="123"/>
        <v>9595888.120000001</v>
      </c>
      <c r="BG62" s="19">
        <f t="shared" si="123"/>
        <v>0</v>
      </c>
      <c r="BH62" s="19">
        <f t="shared" si="123"/>
        <v>29870.65</v>
      </c>
      <c r="BI62" s="19">
        <f t="shared" si="123"/>
        <v>0</v>
      </c>
      <c r="BJ62" s="19">
        <f t="shared" si="123"/>
        <v>4467.75</v>
      </c>
      <c r="BK62" s="19">
        <f t="shared" si="123"/>
        <v>0</v>
      </c>
      <c r="BL62" s="19">
        <f t="shared" si="123"/>
        <v>122495.05</v>
      </c>
      <c r="BM62" s="19">
        <f t="shared" si="123"/>
        <v>2694634.65</v>
      </c>
      <c r="BN62" s="19">
        <f t="shared" si="123"/>
        <v>0</v>
      </c>
      <c r="BO62" s="19">
        <f aca="true" t="shared" si="124" ref="BO62:CI62">BO9+BO11+BO22+BO27</f>
        <v>2851468.1</v>
      </c>
      <c r="BP62" s="19">
        <f t="shared" si="124"/>
        <v>2721144.0500000003</v>
      </c>
      <c r="BQ62" s="19">
        <f t="shared" si="124"/>
        <v>0</v>
      </c>
      <c r="BR62" s="19">
        <f t="shared" si="124"/>
        <v>9465564.07</v>
      </c>
      <c r="BS62" s="19">
        <f t="shared" si="124"/>
        <v>0</v>
      </c>
      <c r="BT62" s="19">
        <f t="shared" si="124"/>
        <v>39827913.1</v>
      </c>
      <c r="BU62" s="19">
        <f t="shared" si="124"/>
        <v>40739508.519999996</v>
      </c>
      <c r="BV62" s="19">
        <f t="shared" si="124"/>
        <v>1663224.04</v>
      </c>
      <c r="BW62" s="19">
        <f t="shared" si="124"/>
        <v>0</v>
      </c>
      <c r="BX62" s="19">
        <f t="shared" si="124"/>
        <v>82230645.66000001</v>
      </c>
      <c r="BY62" s="19">
        <f t="shared" si="124"/>
        <v>58660062.84</v>
      </c>
      <c r="BZ62" s="19">
        <f t="shared" si="124"/>
        <v>6551788.37</v>
      </c>
      <c r="CA62" s="19">
        <f t="shared" si="124"/>
        <v>17018794.450000003</v>
      </c>
      <c r="CB62" s="19">
        <f t="shared" si="124"/>
        <v>82230645.66000001</v>
      </c>
      <c r="CC62" s="19">
        <f t="shared" si="124"/>
        <v>0</v>
      </c>
      <c r="CD62" s="19">
        <f t="shared" si="124"/>
        <v>3014654.74</v>
      </c>
      <c r="CE62" s="19">
        <f t="shared" si="124"/>
        <v>3471351.46</v>
      </c>
      <c r="CF62" s="19">
        <f t="shared" si="124"/>
        <v>6744420.0200000005</v>
      </c>
      <c r="CG62" s="19">
        <f t="shared" si="124"/>
        <v>30206790.16</v>
      </c>
      <c r="CH62" s="19">
        <f t="shared" si="124"/>
        <v>-1925589.2000000002</v>
      </c>
      <c r="CI62" s="19">
        <f t="shared" si="124"/>
        <v>1419021.2000000002</v>
      </c>
      <c r="CJ62" s="154">
        <f t="shared" si="93"/>
        <v>0.4469850233319247</v>
      </c>
      <c r="CK62" s="154">
        <f t="shared" si="94"/>
        <v>0.5146997739918339</v>
      </c>
      <c r="CL62" s="154">
        <f t="shared" si="95"/>
        <v>0.09980056550305112</v>
      </c>
      <c r="CM62" s="154">
        <f t="shared" si="96"/>
        <v>0.11491957409618395</v>
      </c>
      <c r="CN62" s="154">
        <f t="shared" si="97"/>
        <v>-0.06374689895220566</v>
      </c>
      <c r="CO62" s="154">
        <f t="shared" si="98"/>
        <v>0.046976894681086505</v>
      </c>
      <c r="CP62" s="154">
        <f t="shared" si="99"/>
        <v>0.10392416550961221</v>
      </c>
      <c r="CQ62" s="154">
        <f t="shared" si="100"/>
        <v>0.07356555501286714</v>
      </c>
      <c r="CR62" s="19">
        <f t="shared" si="101"/>
        <v>-5.425019608933519</v>
      </c>
      <c r="CS62" s="19">
        <f t="shared" si="102"/>
        <v>-18832149.740000002</v>
      </c>
      <c r="CT62" s="19">
        <f t="shared" si="103"/>
        <v>32476921.810000002</v>
      </c>
      <c r="CU62" s="19">
        <f t="shared" si="104"/>
        <v>35061769.75</v>
      </c>
      <c r="CV62" s="19">
        <f t="shared" si="105"/>
        <v>2584847.9399999976</v>
      </c>
      <c r="CW62" s="19">
        <f t="shared" si="106"/>
        <v>429806.8</v>
      </c>
      <c r="CX62" s="19">
        <f t="shared" si="107"/>
        <v>3014654.7399999974</v>
      </c>
      <c r="CY62" s="19">
        <f t="shared" si="108"/>
        <v>-1710190.2600000026</v>
      </c>
      <c r="CZ62" s="19">
        <f t="shared" si="109"/>
        <v>6744420.02</v>
      </c>
      <c r="DA62" s="19">
        <f t="shared" si="110"/>
        <v>4724845</v>
      </c>
      <c r="DB62" s="19">
        <f t="shared" si="111"/>
        <v>-3729765.280000002</v>
      </c>
      <c r="DC62" s="19">
        <f t="shared" si="112"/>
        <v>-7445989.050000001</v>
      </c>
      <c r="DD62" s="19">
        <f t="shared" si="113"/>
        <v>-1710190.2600000016</v>
      </c>
      <c r="DE62" s="19">
        <f t="shared" si="114"/>
        <v>11287181.11</v>
      </c>
      <c r="DF62" s="19">
        <f t="shared" si="115"/>
        <v>-1590.8219074167935</v>
      </c>
      <c r="DG62" s="19">
        <f t="shared" si="116"/>
        <v>-162.66169961142086</v>
      </c>
      <c r="DH62" s="19">
        <f t="shared" si="117"/>
        <v>953.4702745396181</v>
      </c>
      <c r="DI62" s="19">
        <f t="shared" si="118"/>
        <v>569.7263068085825</v>
      </c>
      <c r="DJ62" s="19">
        <f t="shared" si="119"/>
        <v>-315.06718026693716</v>
      </c>
      <c r="DK62" s="19">
        <f t="shared" si="120"/>
        <v>-23720714.069999993</v>
      </c>
    </row>
    <row r="63" spans="1:115" ht="12.75">
      <c r="A63" s="3" t="s">
        <v>255</v>
      </c>
      <c r="B63" s="62">
        <f>B7+B8+B17</f>
        <v>1759</v>
      </c>
      <c r="C63" s="62">
        <f aca="true" t="shared" si="125" ref="C63:BN63">C7+C8+C17</f>
        <v>4460864</v>
      </c>
      <c r="D63" s="62">
        <f>(D7+D8+D17)/3</f>
        <v>2609.6766666666667</v>
      </c>
      <c r="E63" s="62">
        <f>(E7+E8+E17)/3</f>
        <v>73.01666666666667</v>
      </c>
      <c r="F63" s="62">
        <f>(F7+F8+F17)/3</f>
        <v>8</v>
      </c>
      <c r="G63" s="19">
        <f t="shared" si="125"/>
        <v>2125817.7</v>
      </c>
      <c r="H63" s="19">
        <f t="shared" si="125"/>
        <v>2208175.25</v>
      </c>
      <c r="I63" s="19">
        <f t="shared" si="125"/>
        <v>102585.15</v>
      </c>
      <c r="J63" s="19">
        <f t="shared" si="125"/>
        <v>227705.85</v>
      </c>
      <c r="K63" s="19">
        <f t="shared" si="125"/>
        <v>181858.69999999998</v>
      </c>
      <c r="L63" s="19">
        <f t="shared" si="125"/>
        <v>72700</v>
      </c>
      <c r="M63" s="19">
        <f t="shared" si="125"/>
        <v>254558.7</v>
      </c>
      <c r="N63" s="19">
        <f t="shared" si="125"/>
        <v>0</v>
      </c>
      <c r="O63" s="19">
        <f t="shared" si="125"/>
        <v>309783.2</v>
      </c>
      <c r="P63" s="19">
        <f t="shared" si="125"/>
        <v>587896.8</v>
      </c>
      <c r="Q63" s="19">
        <f t="shared" si="125"/>
        <v>4303.9</v>
      </c>
      <c r="R63" s="19">
        <f t="shared" si="125"/>
        <v>82149.7</v>
      </c>
      <c r="S63" s="19">
        <f t="shared" si="125"/>
        <v>0</v>
      </c>
      <c r="T63" s="19">
        <f t="shared" si="125"/>
        <v>0</v>
      </c>
      <c r="U63" s="19">
        <f t="shared" si="125"/>
        <v>0</v>
      </c>
      <c r="V63" s="19">
        <f t="shared" si="125"/>
        <v>0</v>
      </c>
      <c r="W63" s="19">
        <f t="shared" si="125"/>
        <v>82149.7</v>
      </c>
      <c r="X63" s="19">
        <f t="shared" si="125"/>
        <v>1222761.3</v>
      </c>
      <c r="Y63" s="19">
        <f t="shared" si="125"/>
        <v>7125737.550000001</v>
      </c>
      <c r="Z63" s="19">
        <f t="shared" si="125"/>
        <v>1703618.21</v>
      </c>
      <c r="AA63" s="19">
        <f t="shared" si="125"/>
        <v>130815.5</v>
      </c>
      <c r="AB63" s="19">
        <f t="shared" si="125"/>
        <v>20144.75</v>
      </c>
      <c r="AC63" s="19">
        <f t="shared" si="125"/>
        <v>0</v>
      </c>
      <c r="AD63" s="19">
        <f t="shared" si="125"/>
        <v>7046</v>
      </c>
      <c r="AE63" s="19">
        <f t="shared" si="125"/>
        <v>1861624.46</v>
      </c>
      <c r="AF63" s="19">
        <f t="shared" si="125"/>
        <v>136164.35</v>
      </c>
      <c r="AG63" s="19">
        <f t="shared" si="125"/>
        <v>536768.3</v>
      </c>
      <c r="AH63" s="19">
        <f t="shared" si="125"/>
        <v>0</v>
      </c>
      <c r="AI63" s="19">
        <f t="shared" si="125"/>
        <v>1528598.75</v>
      </c>
      <c r="AJ63" s="19">
        <f t="shared" si="125"/>
        <v>28034.699999999997</v>
      </c>
      <c r="AK63" s="19">
        <f t="shared" si="125"/>
        <v>128688.05</v>
      </c>
      <c r="AL63" s="19">
        <f t="shared" si="125"/>
        <v>1493882.95</v>
      </c>
      <c r="AM63" s="19">
        <f t="shared" si="125"/>
        <v>0</v>
      </c>
      <c r="AN63" s="19">
        <f t="shared" si="125"/>
        <v>6478.15</v>
      </c>
      <c r="AO63" s="19">
        <f t="shared" si="125"/>
        <v>0</v>
      </c>
      <c r="AP63" s="19">
        <f t="shared" si="125"/>
        <v>0</v>
      </c>
      <c r="AQ63" s="19">
        <f t="shared" si="125"/>
        <v>1000</v>
      </c>
      <c r="AR63" s="19">
        <f t="shared" si="125"/>
        <v>150000</v>
      </c>
      <c r="AS63" s="19">
        <f t="shared" si="125"/>
        <v>157478.15</v>
      </c>
      <c r="AT63" s="19">
        <f t="shared" si="125"/>
        <v>1215005.6</v>
      </c>
      <c r="AU63" s="19">
        <f t="shared" si="125"/>
        <v>7086245.3100000005</v>
      </c>
      <c r="AV63" s="19">
        <f t="shared" si="125"/>
        <v>121877.3</v>
      </c>
      <c r="AW63" s="19">
        <f t="shared" si="125"/>
        <v>161369.54</v>
      </c>
      <c r="AX63" s="19">
        <f t="shared" si="125"/>
        <v>1.8917489796876907E-10</v>
      </c>
      <c r="AY63" s="19">
        <f t="shared" si="125"/>
        <v>97401.65</v>
      </c>
      <c r="AZ63" s="19">
        <f t="shared" si="125"/>
        <v>1323352.35</v>
      </c>
      <c r="BA63" s="19">
        <f t="shared" si="125"/>
        <v>0</v>
      </c>
      <c r="BB63" s="19">
        <f t="shared" si="125"/>
        <v>0</v>
      </c>
      <c r="BC63" s="19">
        <f t="shared" si="125"/>
        <v>0</v>
      </c>
      <c r="BD63" s="19">
        <f t="shared" si="125"/>
        <v>0</v>
      </c>
      <c r="BE63" s="19">
        <f t="shared" si="125"/>
        <v>84035.5</v>
      </c>
      <c r="BF63" s="19">
        <f t="shared" si="125"/>
        <v>1407387.85</v>
      </c>
      <c r="BG63" s="19">
        <f t="shared" si="125"/>
        <v>0</v>
      </c>
      <c r="BH63" s="19">
        <f t="shared" si="125"/>
        <v>14599.5</v>
      </c>
      <c r="BI63" s="19">
        <f t="shared" si="125"/>
        <v>0</v>
      </c>
      <c r="BJ63" s="19">
        <f t="shared" si="125"/>
        <v>0</v>
      </c>
      <c r="BK63" s="19">
        <f t="shared" si="125"/>
        <v>0</v>
      </c>
      <c r="BL63" s="19">
        <f t="shared" si="125"/>
        <v>10000</v>
      </c>
      <c r="BM63" s="19">
        <f t="shared" si="125"/>
        <v>1118049.05</v>
      </c>
      <c r="BN63" s="19">
        <f t="shared" si="125"/>
        <v>0</v>
      </c>
      <c r="BO63" s="19">
        <f aca="true" t="shared" si="126" ref="BO63:CI63">BO7+BO8+BO17</f>
        <v>1142648.55</v>
      </c>
      <c r="BP63" s="19">
        <f t="shared" si="126"/>
        <v>510271.55</v>
      </c>
      <c r="BQ63" s="19">
        <f t="shared" si="126"/>
        <v>0</v>
      </c>
      <c r="BR63" s="19">
        <f t="shared" si="126"/>
        <v>775010.8499999999</v>
      </c>
      <c r="BS63" s="19">
        <f t="shared" si="126"/>
        <v>0</v>
      </c>
      <c r="BT63" s="19">
        <f t="shared" si="126"/>
        <v>6824643.949999999</v>
      </c>
      <c r="BU63" s="19">
        <f t="shared" si="126"/>
        <v>2228787.2</v>
      </c>
      <c r="BV63" s="19">
        <f t="shared" si="126"/>
        <v>9820.95</v>
      </c>
      <c r="BW63" s="19">
        <f t="shared" si="126"/>
        <v>256487.22</v>
      </c>
      <c r="BX63" s="19">
        <f t="shared" si="126"/>
        <v>9319739.32</v>
      </c>
      <c r="BY63" s="19">
        <f t="shared" si="126"/>
        <v>5111036.95</v>
      </c>
      <c r="BZ63" s="19">
        <f t="shared" si="126"/>
        <v>2997362.8000000003</v>
      </c>
      <c r="CA63" s="19">
        <f t="shared" si="126"/>
        <v>1211339.57</v>
      </c>
      <c r="CB63" s="19">
        <f t="shared" si="126"/>
        <v>9319739.32</v>
      </c>
      <c r="CC63" s="19">
        <f t="shared" si="126"/>
        <v>0</v>
      </c>
      <c r="CD63" s="19">
        <f t="shared" si="126"/>
        <v>215066.46000000002</v>
      </c>
      <c r="CE63" s="19">
        <f t="shared" si="126"/>
        <v>139738.01</v>
      </c>
      <c r="CF63" s="19">
        <f t="shared" si="126"/>
        <v>264739.3</v>
      </c>
      <c r="CG63" s="19">
        <f t="shared" si="126"/>
        <v>5713761.5600000005</v>
      </c>
      <c r="CH63" s="19">
        <f t="shared" si="126"/>
        <v>-336781.5</v>
      </c>
      <c r="CI63" s="19">
        <f t="shared" si="126"/>
        <v>-154922.80000000002</v>
      </c>
      <c r="CJ63" s="154">
        <f t="shared" si="93"/>
        <v>0.812370736041079</v>
      </c>
      <c r="CK63" s="154">
        <f t="shared" si="94"/>
        <v>0.5278325129665298</v>
      </c>
      <c r="CL63" s="154">
        <f t="shared" si="95"/>
        <v>0.03764008311190361</v>
      </c>
      <c r="CM63" s="154">
        <f t="shared" si="96"/>
        <v>0.02445639506174983</v>
      </c>
      <c r="CN63" s="154">
        <f t="shared" si="97"/>
        <v>-0.05894216908834396</v>
      </c>
      <c r="CO63" s="154">
        <f t="shared" si="98"/>
        <v>-0.027113977083775963</v>
      </c>
      <c r="CP63" s="154">
        <f t="shared" si="99"/>
        <v>0.10250634033704284</v>
      </c>
      <c r="CQ63" s="154">
        <f t="shared" si="100"/>
        <v>0.07323132069519593</v>
      </c>
      <c r="CR63" s="19">
        <f t="shared" si="101"/>
        <v>12.262998449741763</v>
      </c>
      <c r="CS63" s="19">
        <f t="shared" si="102"/>
        <v>1713606.999999999</v>
      </c>
      <c r="CT63" s="19">
        <f t="shared" si="103"/>
        <v>6871178.850000001</v>
      </c>
      <c r="CU63" s="19">
        <f t="shared" si="104"/>
        <v>6936245.3100000005</v>
      </c>
      <c r="CV63" s="19">
        <f t="shared" si="105"/>
        <v>65066.45999999996</v>
      </c>
      <c r="CW63" s="19">
        <f t="shared" si="106"/>
        <v>150000</v>
      </c>
      <c r="CX63" s="19">
        <f t="shared" si="107"/>
        <v>215066.45999999996</v>
      </c>
      <c r="CY63" s="19">
        <f t="shared" si="108"/>
        <v>-39492.24000000002</v>
      </c>
      <c r="CZ63" s="19">
        <f t="shared" si="109"/>
        <v>264739.2999999999</v>
      </c>
      <c r="DA63" s="19">
        <f t="shared" si="110"/>
        <v>254558.69999999998</v>
      </c>
      <c r="DB63" s="19">
        <f t="shared" si="111"/>
        <v>-49672.83999999991</v>
      </c>
      <c r="DC63" s="19">
        <f t="shared" si="112"/>
        <v>-764830.25</v>
      </c>
      <c r="DD63" s="19">
        <f t="shared" si="113"/>
        <v>-39492.23999999999</v>
      </c>
      <c r="DE63" s="19">
        <f t="shared" si="114"/>
        <v>1854578.46</v>
      </c>
      <c r="DF63" s="19">
        <f t="shared" si="115"/>
        <v>974.1938601478107</v>
      </c>
      <c r="DG63" s="19">
        <f t="shared" si="116"/>
        <v>-191.4619101762365</v>
      </c>
      <c r="DH63" s="19">
        <f t="shared" si="117"/>
        <v>1054.3368163729392</v>
      </c>
      <c r="DI63" s="19">
        <f t="shared" si="118"/>
        <v>150.50557134735638</v>
      </c>
      <c r="DJ63" s="19">
        <f t="shared" si="119"/>
        <v>-28.239249573621326</v>
      </c>
      <c r="DK63" s="19">
        <f t="shared" si="120"/>
        <v>-1273934.85</v>
      </c>
    </row>
    <row r="64" spans="1:115" ht="12.75">
      <c r="A64" s="3" t="s">
        <v>256</v>
      </c>
      <c r="B64" s="62">
        <f>B3+B5+B6+B12+B13+B14+B15+B16+B18+B23+B28+B29+B30+B31</f>
        <v>8721</v>
      </c>
      <c r="C64" s="62">
        <f>C3+C5+C6+C12+C13+C14+C15+C16+C18+C23+C28+C29+C30+C31</f>
        <v>28732464</v>
      </c>
      <c r="D64" s="62">
        <f>(D3+D5+D6+D12+D13+D14+D15+D16+D18+D23+D28+D29+D30+D31)/14</f>
        <v>2987.77</v>
      </c>
      <c r="E64" s="62">
        <f>(E3+E5+E6+E12+E13+E14+E15+E16+E18+E23+E28+E29+E30+E31)/14</f>
        <v>83.59642857142858</v>
      </c>
      <c r="F64" s="62">
        <f>(F3+F5+F6+F12+F13+F14+F15+F16+F18+F23+F28+F29+F30+F31)/14</f>
        <v>6.428571428571429</v>
      </c>
      <c r="G64" s="19">
        <f>G3+G5+G6+G12+G13+G14+G15+G16+G18+G23+G28+G29+G30+G31</f>
        <v>6584425.05</v>
      </c>
      <c r="H64" s="19">
        <f aca="true" t="shared" si="127" ref="H64:BS64">H3+H5+H6+H12+H13+H14+H15+H16+H18+H23+H28+H29+H30+H31</f>
        <v>5038182.609999999</v>
      </c>
      <c r="I64" s="19">
        <f t="shared" si="127"/>
        <v>720531.5</v>
      </c>
      <c r="J64" s="19">
        <f t="shared" si="127"/>
        <v>265881.94999999995</v>
      </c>
      <c r="K64" s="19">
        <f t="shared" si="127"/>
        <v>1492469.6799999997</v>
      </c>
      <c r="L64" s="19">
        <f t="shared" si="127"/>
        <v>1102347.96</v>
      </c>
      <c r="M64" s="19">
        <f t="shared" si="127"/>
        <v>2594817.6399999997</v>
      </c>
      <c r="N64" s="19">
        <f t="shared" si="127"/>
        <v>28320</v>
      </c>
      <c r="O64" s="19">
        <f t="shared" si="127"/>
        <v>1348470.3</v>
      </c>
      <c r="P64" s="19">
        <f t="shared" si="127"/>
        <v>3115908.5500000003</v>
      </c>
      <c r="Q64" s="19">
        <f t="shared" si="127"/>
        <v>-375.7000000000003</v>
      </c>
      <c r="R64" s="19">
        <f t="shared" si="127"/>
        <v>270939.96</v>
      </c>
      <c r="S64" s="19">
        <f t="shared" si="127"/>
        <v>32126.25</v>
      </c>
      <c r="T64" s="19">
        <f t="shared" si="127"/>
        <v>200000</v>
      </c>
      <c r="U64" s="19">
        <f t="shared" si="127"/>
        <v>190684.95</v>
      </c>
      <c r="V64" s="19">
        <f t="shared" si="127"/>
        <v>0</v>
      </c>
      <c r="W64" s="19">
        <f t="shared" si="127"/>
        <v>693751.1599999999</v>
      </c>
      <c r="X64" s="19">
        <f t="shared" si="127"/>
        <v>4782041.06</v>
      </c>
      <c r="Y64" s="19">
        <f t="shared" si="127"/>
        <v>25171954.119999997</v>
      </c>
      <c r="Z64" s="19">
        <f t="shared" si="127"/>
        <v>5812395.050000001</v>
      </c>
      <c r="AA64" s="19">
        <f t="shared" si="127"/>
        <v>1131123.5999999999</v>
      </c>
      <c r="AB64" s="19">
        <f t="shared" si="127"/>
        <v>66677.15</v>
      </c>
      <c r="AC64" s="19">
        <f t="shared" si="127"/>
        <v>29217.05</v>
      </c>
      <c r="AD64" s="19">
        <f t="shared" si="127"/>
        <v>267529.1</v>
      </c>
      <c r="AE64" s="19">
        <f t="shared" si="127"/>
        <v>7306941.95</v>
      </c>
      <c r="AF64" s="19">
        <f t="shared" si="127"/>
        <v>319870.2</v>
      </c>
      <c r="AG64" s="19">
        <f t="shared" si="127"/>
        <v>1725876.58</v>
      </c>
      <c r="AH64" s="19">
        <f t="shared" si="127"/>
        <v>165788.8</v>
      </c>
      <c r="AI64" s="19">
        <f t="shared" si="127"/>
        <v>5683261.41</v>
      </c>
      <c r="AJ64" s="19">
        <f t="shared" si="127"/>
        <v>2311891.2500000005</v>
      </c>
      <c r="AK64" s="19">
        <f t="shared" si="127"/>
        <v>489861.07000000007</v>
      </c>
      <c r="AL64" s="19">
        <f t="shared" si="127"/>
        <v>1499783.63</v>
      </c>
      <c r="AM64" s="19">
        <f t="shared" si="127"/>
        <v>191663.4</v>
      </c>
      <c r="AN64" s="19">
        <f t="shared" si="127"/>
        <v>329050.85</v>
      </c>
      <c r="AO64" s="19">
        <f t="shared" si="127"/>
        <v>45676.9</v>
      </c>
      <c r="AP64" s="19">
        <f t="shared" si="127"/>
        <v>398228.25</v>
      </c>
      <c r="AQ64" s="19">
        <f t="shared" si="127"/>
        <v>0</v>
      </c>
      <c r="AR64" s="19">
        <f t="shared" si="127"/>
        <v>0</v>
      </c>
      <c r="AS64" s="19">
        <f t="shared" si="127"/>
        <v>772956.0000000001</v>
      </c>
      <c r="AT64" s="19">
        <f t="shared" si="127"/>
        <v>4794366.719999999</v>
      </c>
      <c r="AU64" s="19">
        <f t="shared" si="127"/>
        <v>25096472.21</v>
      </c>
      <c r="AV64" s="19">
        <f t="shared" si="127"/>
        <v>491713.18</v>
      </c>
      <c r="AW64" s="19">
        <f t="shared" si="127"/>
        <v>567195.09</v>
      </c>
      <c r="AX64" s="19">
        <f t="shared" si="127"/>
        <v>8.718643584870733E-10</v>
      </c>
      <c r="AY64" s="19">
        <f t="shared" si="127"/>
        <v>627569.45</v>
      </c>
      <c r="AZ64" s="19">
        <f t="shared" si="127"/>
        <v>3699689.9600000004</v>
      </c>
      <c r="BA64" s="19">
        <f t="shared" si="127"/>
        <v>2091</v>
      </c>
      <c r="BB64" s="19">
        <f t="shared" si="127"/>
        <v>14819.8</v>
      </c>
      <c r="BC64" s="19">
        <f t="shared" si="127"/>
        <v>49844</v>
      </c>
      <c r="BD64" s="19">
        <f t="shared" si="127"/>
        <v>0</v>
      </c>
      <c r="BE64" s="19">
        <f t="shared" si="127"/>
        <v>83222.15</v>
      </c>
      <c r="BF64" s="19">
        <f t="shared" si="127"/>
        <v>3849666.9100000006</v>
      </c>
      <c r="BG64" s="19">
        <f t="shared" si="127"/>
        <v>380082.5</v>
      </c>
      <c r="BH64" s="19">
        <f t="shared" si="127"/>
        <v>265394.85</v>
      </c>
      <c r="BI64" s="19">
        <f t="shared" si="127"/>
        <v>0</v>
      </c>
      <c r="BJ64" s="19">
        <f t="shared" si="127"/>
        <v>369594.7</v>
      </c>
      <c r="BK64" s="19">
        <f t="shared" si="127"/>
        <v>3000</v>
      </c>
      <c r="BL64" s="19">
        <f t="shared" si="127"/>
        <v>100531.05</v>
      </c>
      <c r="BM64" s="19">
        <f t="shared" si="127"/>
        <v>1071278.3</v>
      </c>
      <c r="BN64" s="19">
        <f t="shared" si="127"/>
        <v>0</v>
      </c>
      <c r="BO64" s="19">
        <f t="shared" si="127"/>
        <v>2189881.4</v>
      </c>
      <c r="BP64" s="19">
        <f t="shared" si="127"/>
        <v>2175181.6999999997</v>
      </c>
      <c r="BQ64" s="19">
        <f t="shared" si="127"/>
        <v>11964.8</v>
      </c>
      <c r="BR64" s="19">
        <f t="shared" si="127"/>
        <v>3846931.91</v>
      </c>
      <c r="BS64" s="19">
        <f t="shared" si="127"/>
        <v>0.10000000000582077</v>
      </c>
      <c r="BT64" s="19">
        <f aca="true" t="shared" si="128" ref="BT64:CI64">BT3+BT5+BT6+BT12+BT13+BT14+BT15+BT16+BT18+BT23+BT28+BT29+BT30+BT31</f>
        <v>38249471.52</v>
      </c>
      <c r="BU64" s="19">
        <f t="shared" si="128"/>
        <v>11708632.95</v>
      </c>
      <c r="BV64" s="19">
        <f t="shared" si="128"/>
        <v>173747.78</v>
      </c>
      <c r="BW64" s="19">
        <f t="shared" si="128"/>
        <v>2593768.0700000003</v>
      </c>
      <c r="BX64" s="19">
        <f t="shared" si="128"/>
        <v>52725620.31999999</v>
      </c>
      <c r="BY64" s="19">
        <f t="shared" si="128"/>
        <v>28310297.37</v>
      </c>
      <c r="BZ64" s="19">
        <f t="shared" si="128"/>
        <v>13737503.340000002</v>
      </c>
      <c r="CA64" s="19">
        <f t="shared" si="128"/>
        <v>10677819.61</v>
      </c>
      <c r="CB64" s="19">
        <f t="shared" si="128"/>
        <v>52725620.31999999</v>
      </c>
      <c r="CC64" s="19">
        <f t="shared" si="128"/>
        <v>0</v>
      </c>
      <c r="CD64" s="19">
        <f t="shared" si="128"/>
        <v>2519335.73</v>
      </c>
      <c r="CE64" s="19">
        <f t="shared" si="128"/>
        <v>2440130.89</v>
      </c>
      <c r="CF64" s="19">
        <f t="shared" si="128"/>
        <v>1671750.2099999997</v>
      </c>
      <c r="CG64" s="19">
        <f t="shared" si="128"/>
        <v>19337486.09</v>
      </c>
      <c r="CH64" s="19">
        <f t="shared" si="128"/>
        <v>-200022.02999999994</v>
      </c>
      <c r="CI64" s="19">
        <f t="shared" si="128"/>
        <v>1292447.65</v>
      </c>
      <c r="CJ64" s="154">
        <f t="shared" si="93"/>
        <v>1.5070048832235532</v>
      </c>
      <c r="CK64" s="154">
        <f t="shared" si="94"/>
        <v>1.4596264892947137</v>
      </c>
      <c r="CL64" s="154">
        <f t="shared" si="95"/>
        <v>0.13028248440746518</v>
      </c>
      <c r="CM64" s="154">
        <f t="shared" si="96"/>
        <v>0.12618656213342364</v>
      </c>
      <c r="CN64" s="154">
        <f t="shared" si="97"/>
        <v>-0.010343745255668854</v>
      </c>
      <c r="CO64" s="154">
        <f t="shared" si="98"/>
        <v>0.06683638421171839</v>
      </c>
      <c r="CP64" s="154">
        <f t="shared" si="99"/>
        <v>0.18141200430434037</v>
      </c>
      <c r="CQ64" s="154">
        <f t="shared" si="100"/>
        <v>0.10434333104512789</v>
      </c>
      <c r="CR64" s="19">
        <f t="shared" si="101"/>
        <v>4.073213527492372</v>
      </c>
      <c r="CS64" s="19">
        <f t="shared" si="102"/>
        <v>9939174.150000002</v>
      </c>
      <c r="CT64" s="19">
        <f t="shared" si="103"/>
        <v>22577136.479999997</v>
      </c>
      <c r="CU64" s="19">
        <f t="shared" si="104"/>
        <v>25096472.21</v>
      </c>
      <c r="CV64" s="19">
        <f t="shared" si="105"/>
        <v>2519335.730000004</v>
      </c>
      <c r="CW64" s="19">
        <f t="shared" si="106"/>
        <v>0</v>
      </c>
      <c r="CX64" s="19">
        <f t="shared" si="107"/>
        <v>2519335.730000004</v>
      </c>
      <c r="CY64" s="19">
        <f t="shared" si="108"/>
        <v>-75481.90999999549</v>
      </c>
      <c r="CZ64" s="19">
        <f t="shared" si="109"/>
        <v>1671750.2100000004</v>
      </c>
      <c r="DA64" s="19">
        <f t="shared" si="110"/>
        <v>2594817.6399999997</v>
      </c>
      <c r="DB64" s="19">
        <f t="shared" si="111"/>
        <v>847585.5200000037</v>
      </c>
      <c r="DC64" s="19">
        <f t="shared" si="112"/>
        <v>-4769999.34</v>
      </c>
      <c r="DD64" s="19">
        <f t="shared" si="113"/>
        <v>-75481.90999999596</v>
      </c>
      <c r="DE64" s="19">
        <f t="shared" si="114"/>
        <v>7010195.800000001</v>
      </c>
      <c r="DF64" s="19">
        <f t="shared" si="115"/>
        <v>1139.6828517371864</v>
      </c>
      <c r="DG64" s="19">
        <f t="shared" si="116"/>
        <v>-22.935675954592355</v>
      </c>
      <c r="DH64" s="19">
        <f t="shared" si="117"/>
        <v>803.8293544318313</v>
      </c>
      <c r="DI64" s="19">
        <f t="shared" si="118"/>
        <v>191.69249054007574</v>
      </c>
      <c r="DJ64" s="19">
        <f t="shared" si="119"/>
        <v>97.18902878110352</v>
      </c>
      <c r="DK64" s="19">
        <f t="shared" si="120"/>
        <v>-3624581.41</v>
      </c>
    </row>
    <row r="65" spans="1:115" ht="12.75">
      <c r="A65" s="3" t="s">
        <v>248</v>
      </c>
      <c r="B65" s="62">
        <f>SUM(B60:B64)</f>
        <v>38210</v>
      </c>
      <c r="C65" s="62">
        <f aca="true" t="shared" si="129" ref="C65:BN65">SUM(C60:C64)</f>
        <v>136563571</v>
      </c>
      <c r="D65" s="62">
        <f>MEDIAN(D60:D64)</f>
        <v>3071.933333333333</v>
      </c>
      <c r="E65" s="62">
        <f>MEDIAN(E60:E64)</f>
        <v>85.95333333333332</v>
      </c>
      <c r="F65" s="62">
        <f>MEDIAN(F60:F64)</f>
        <v>6.428571428571429</v>
      </c>
      <c r="G65" s="19">
        <f t="shared" si="129"/>
        <v>27912900.93</v>
      </c>
      <c r="H65" s="19">
        <f t="shared" si="129"/>
        <v>30110063.799999997</v>
      </c>
      <c r="I65" s="19">
        <f t="shared" si="129"/>
        <v>2455569.05</v>
      </c>
      <c r="J65" s="19">
        <f t="shared" si="129"/>
        <v>3143059.9700000007</v>
      </c>
      <c r="K65" s="19">
        <f t="shared" si="129"/>
        <v>8913601.17</v>
      </c>
      <c r="L65" s="19">
        <f t="shared" si="129"/>
        <v>2998725.0300000003</v>
      </c>
      <c r="M65" s="19">
        <f t="shared" si="129"/>
        <v>11912326.2</v>
      </c>
      <c r="N65" s="19">
        <f t="shared" si="129"/>
        <v>324345.64</v>
      </c>
      <c r="O65" s="19">
        <f t="shared" si="129"/>
        <v>5125398.03</v>
      </c>
      <c r="P65" s="19">
        <f t="shared" si="129"/>
        <v>13171270.170000002</v>
      </c>
      <c r="Q65" s="19">
        <f t="shared" si="129"/>
        <v>222770.19999999998</v>
      </c>
      <c r="R65" s="19">
        <f t="shared" si="129"/>
        <v>1848723.68</v>
      </c>
      <c r="S65" s="19">
        <f t="shared" si="129"/>
        <v>284282.65</v>
      </c>
      <c r="T65" s="19">
        <f t="shared" si="129"/>
        <v>482217.4</v>
      </c>
      <c r="U65" s="19">
        <f t="shared" si="129"/>
        <v>190684.95</v>
      </c>
      <c r="V65" s="19">
        <f t="shared" si="129"/>
        <v>0</v>
      </c>
      <c r="W65" s="19">
        <f t="shared" si="129"/>
        <v>2805908.6799999997</v>
      </c>
      <c r="X65" s="19">
        <f t="shared" si="129"/>
        <v>17298204.869999997</v>
      </c>
      <c r="Y65" s="19">
        <f t="shared" si="129"/>
        <v>114481817.53999999</v>
      </c>
      <c r="Z65" s="19">
        <f t="shared" si="129"/>
        <v>31205383.98</v>
      </c>
      <c r="AA65" s="19">
        <f t="shared" si="129"/>
        <v>3659385.74</v>
      </c>
      <c r="AB65" s="19">
        <f t="shared" si="129"/>
        <v>581939.65</v>
      </c>
      <c r="AC65" s="19">
        <f t="shared" si="129"/>
        <v>162320.9</v>
      </c>
      <c r="AD65" s="19">
        <f t="shared" si="129"/>
        <v>455070.5</v>
      </c>
      <c r="AE65" s="19">
        <f t="shared" si="129"/>
        <v>36064100.77</v>
      </c>
      <c r="AF65" s="19">
        <f t="shared" si="129"/>
        <v>728881.1000000001</v>
      </c>
      <c r="AG65" s="19">
        <f t="shared" si="129"/>
        <v>8536282.030000001</v>
      </c>
      <c r="AH65" s="19">
        <f t="shared" si="129"/>
        <v>1293743.85</v>
      </c>
      <c r="AI65" s="19">
        <f t="shared" si="129"/>
        <v>35576832.47</v>
      </c>
      <c r="AJ65" s="19">
        <f t="shared" si="129"/>
        <v>3477967.7500000005</v>
      </c>
      <c r="AK65" s="19">
        <f t="shared" si="129"/>
        <v>1975360.2000000002</v>
      </c>
      <c r="AL65" s="19">
        <f t="shared" si="129"/>
        <v>6188603.05</v>
      </c>
      <c r="AM65" s="19">
        <f t="shared" si="129"/>
        <v>350347.25</v>
      </c>
      <c r="AN65" s="19">
        <f t="shared" si="129"/>
        <v>826410.48</v>
      </c>
      <c r="AO65" s="19">
        <f t="shared" si="129"/>
        <v>163557.68</v>
      </c>
      <c r="AP65" s="19">
        <f t="shared" si="129"/>
        <v>589587.73</v>
      </c>
      <c r="AQ65" s="19">
        <f t="shared" si="129"/>
        <v>1000</v>
      </c>
      <c r="AR65" s="19">
        <f t="shared" si="129"/>
        <v>654201.55</v>
      </c>
      <c r="AS65" s="19">
        <f t="shared" si="129"/>
        <v>2234757.44</v>
      </c>
      <c r="AT65" s="19">
        <f t="shared" si="129"/>
        <v>17328955.029999997</v>
      </c>
      <c r="AU65" s="19">
        <f t="shared" si="129"/>
        <v>112462087.09</v>
      </c>
      <c r="AV65" s="19">
        <f t="shared" si="129"/>
        <v>977879.3400000001</v>
      </c>
      <c r="AW65" s="19">
        <f t="shared" si="129"/>
        <v>2997609.79</v>
      </c>
      <c r="AX65" s="19">
        <f t="shared" si="129"/>
        <v>3.149693839077372E-09</v>
      </c>
      <c r="AY65" s="19">
        <f t="shared" si="129"/>
        <v>2051524.0699999998</v>
      </c>
      <c r="AZ65" s="19">
        <f t="shared" si="129"/>
        <v>20708627.630000003</v>
      </c>
      <c r="BA65" s="19">
        <f t="shared" si="129"/>
        <v>1321191</v>
      </c>
      <c r="BB65" s="19">
        <f t="shared" si="129"/>
        <v>156675.5</v>
      </c>
      <c r="BC65" s="19">
        <f t="shared" si="129"/>
        <v>1870065.5999999999</v>
      </c>
      <c r="BD65" s="19">
        <f t="shared" si="129"/>
        <v>32086.3</v>
      </c>
      <c r="BE65" s="19">
        <f t="shared" si="129"/>
        <v>740262.16</v>
      </c>
      <c r="BF65" s="19">
        <f t="shared" si="129"/>
        <v>24828908.19</v>
      </c>
      <c r="BG65" s="19">
        <f t="shared" si="129"/>
        <v>380082.5</v>
      </c>
      <c r="BH65" s="19">
        <f t="shared" si="129"/>
        <v>1865361.75</v>
      </c>
      <c r="BI65" s="19">
        <f t="shared" si="129"/>
        <v>0</v>
      </c>
      <c r="BJ65" s="19">
        <f t="shared" si="129"/>
        <v>494082.95</v>
      </c>
      <c r="BK65" s="19">
        <f t="shared" si="129"/>
        <v>3000</v>
      </c>
      <c r="BL65" s="19">
        <f t="shared" si="129"/>
        <v>472116.35</v>
      </c>
      <c r="BM65" s="19">
        <f t="shared" si="129"/>
        <v>6365825.85</v>
      </c>
      <c r="BN65" s="19">
        <f t="shared" si="129"/>
        <v>0</v>
      </c>
      <c r="BO65" s="19">
        <f aca="true" t="shared" si="130" ref="BO65:CI65">SUM(BO60:BO64)</f>
        <v>9580469.399999999</v>
      </c>
      <c r="BP65" s="19">
        <f t="shared" si="130"/>
        <v>8688677.65</v>
      </c>
      <c r="BQ65" s="19">
        <f t="shared" si="130"/>
        <v>11964.8</v>
      </c>
      <c r="BR65" s="19">
        <f t="shared" si="130"/>
        <v>23949081.140000004</v>
      </c>
      <c r="BS65" s="19">
        <f t="shared" si="130"/>
        <v>0.10000000000582077</v>
      </c>
      <c r="BT65" s="19">
        <f t="shared" si="130"/>
        <v>129106193.69</v>
      </c>
      <c r="BU65" s="19">
        <f t="shared" si="130"/>
        <v>91814950.38</v>
      </c>
      <c r="BV65" s="19">
        <f t="shared" si="130"/>
        <v>2846294.68</v>
      </c>
      <c r="BW65" s="19">
        <f t="shared" si="130"/>
        <v>3190934.6500000004</v>
      </c>
      <c r="BX65" s="19">
        <f t="shared" si="130"/>
        <v>226958373.39999998</v>
      </c>
      <c r="BY65" s="19">
        <f t="shared" si="130"/>
        <v>128074653.66000001</v>
      </c>
      <c r="BZ65" s="19">
        <f t="shared" si="130"/>
        <v>44570253.050000004</v>
      </c>
      <c r="CA65" s="19">
        <f t="shared" si="130"/>
        <v>54313466.690000005</v>
      </c>
      <c r="CB65" s="19">
        <f t="shared" si="130"/>
        <v>226958373.39999998</v>
      </c>
      <c r="CC65" s="19">
        <f t="shared" si="130"/>
        <v>0</v>
      </c>
      <c r="CD65" s="19">
        <f t="shared" si="130"/>
        <v>9892595.75</v>
      </c>
      <c r="CE65" s="19">
        <f t="shared" si="130"/>
        <v>10463746.99</v>
      </c>
      <c r="CF65" s="19">
        <f t="shared" si="130"/>
        <v>15260403.49</v>
      </c>
      <c r="CG65" s="19">
        <f t="shared" si="130"/>
        <v>92548027.37</v>
      </c>
      <c r="CH65" s="19">
        <f t="shared" si="130"/>
        <v>-2723480.2600000002</v>
      </c>
      <c r="CI65" s="19">
        <f t="shared" si="130"/>
        <v>6190120.91</v>
      </c>
      <c r="CJ65" s="154">
        <f t="shared" si="93"/>
        <v>0.6482525679273504</v>
      </c>
      <c r="CK65" s="154">
        <f t="shared" si="94"/>
        <v>0.685679575697772</v>
      </c>
      <c r="CL65" s="154">
        <f t="shared" si="95"/>
        <v>0.10689148144076752</v>
      </c>
      <c r="CM65" s="154">
        <f t="shared" si="96"/>
        <v>0.1130628851565548</v>
      </c>
      <c r="CN65" s="154">
        <f t="shared" si="97"/>
        <v>-0.029427750513922164</v>
      </c>
      <c r="CO65" s="154">
        <f t="shared" si="98"/>
        <v>0.06688549811280542</v>
      </c>
      <c r="CP65" s="154">
        <f t="shared" si="99"/>
        <v>0.11484275489304474</v>
      </c>
      <c r="CQ65" s="154">
        <f t="shared" si="100"/>
        <v>0.08593304927971725</v>
      </c>
      <c r="CR65" s="19">
        <f t="shared" si="101"/>
        <v>0.09858227946316067</v>
      </c>
      <c r="CS65" s="19">
        <f t="shared" si="102"/>
        <v>1031540.0299999863</v>
      </c>
      <c r="CT65" s="19">
        <f t="shared" si="103"/>
        <v>102569491.33999999</v>
      </c>
      <c r="CU65" s="19">
        <f t="shared" si="104"/>
        <v>111807885.54</v>
      </c>
      <c r="CV65" s="19">
        <f t="shared" si="105"/>
        <v>9238394.200000018</v>
      </c>
      <c r="CW65" s="19">
        <f t="shared" si="106"/>
        <v>654201.55</v>
      </c>
      <c r="CX65" s="19">
        <f t="shared" si="107"/>
        <v>9892595.750000019</v>
      </c>
      <c r="CY65" s="19">
        <f t="shared" si="108"/>
        <v>-2019730.4499999816</v>
      </c>
      <c r="CZ65" s="19">
        <f t="shared" si="109"/>
        <v>15260403.490000004</v>
      </c>
      <c r="DA65" s="19">
        <f t="shared" si="110"/>
        <v>11912326.2</v>
      </c>
      <c r="DB65" s="19">
        <f t="shared" si="111"/>
        <v>-5367807.739999986</v>
      </c>
      <c r="DC65" s="19">
        <f t="shared" si="112"/>
        <v>-20601003.85</v>
      </c>
      <c r="DD65" s="19">
        <f t="shared" si="113"/>
        <v>-2019730.4499999844</v>
      </c>
      <c r="DE65" s="19">
        <f t="shared" si="114"/>
        <v>35446709.37</v>
      </c>
      <c r="DF65" s="19">
        <f t="shared" si="115"/>
        <v>26.996598534414716</v>
      </c>
      <c r="DG65" s="19">
        <f t="shared" si="116"/>
        <v>-71.27663595917299</v>
      </c>
      <c r="DH65" s="19">
        <f t="shared" si="117"/>
        <v>927.6814805024862</v>
      </c>
      <c r="DI65" s="19">
        <f t="shared" si="118"/>
        <v>399.38245197592266</v>
      </c>
      <c r="DJ65" s="19">
        <f t="shared" si="119"/>
        <v>-140.48175189740869</v>
      </c>
      <c r="DK65" s="19">
        <f t="shared" si="120"/>
        <v>-40692418.33999999</v>
      </c>
    </row>
  </sheetData>
  <printOptions/>
  <pageMargins left="0.7480314960629921" right="0.3937007874015748" top="0.7874015748031497" bottom="0.3937007874015748" header="0.3937007874015748" footer="0.2755905511811024"/>
  <pageSetup horizontalDpi="300" verticalDpi="300" orientation="landscape" paperSize="9" scale="95" r:id="rId1"/>
  <headerFooter alignWithMargins="0">
    <oddHeader>&amp;L&amp;"Arial,Fett"&amp;14Ortsgemeinden Kanton Glarus: Erhebung Finanzkennzahlen vom Dezember 2001&amp;RKennzahlen Jahr 1998</oddHeader>
    <oddFooter>&amp;L&amp;8BHP Bern&amp;R&amp;8&amp;F/&amp;A/&amp;Pvon &amp;N</oddFooter>
  </headerFooter>
  <colBreaks count="3" manualBreakCount="3">
    <brk id="12" max="65535" man="1"/>
    <brk id="21" max="65535" man="1"/>
    <brk id="3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1"/>
  <dimension ref="A1:DN65"/>
  <sheetViews>
    <sheetView workbookViewId="0" topLeftCell="A1">
      <pane xSplit="6" ySplit="2" topLeftCell="CN46" activePane="bottomRight" state="frozen"/>
      <selection pane="topLeft" activeCell="N5" sqref="N5"/>
      <selection pane="topRight" activeCell="N5" sqref="N5"/>
      <selection pane="bottomLeft" activeCell="N5" sqref="N5"/>
      <selection pane="bottomRight" activeCell="F62" sqref="F62"/>
    </sheetView>
  </sheetViews>
  <sheetFormatPr defaultColWidth="11.421875" defaultRowHeight="12.75"/>
  <cols>
    <col min="1" max="1" width="13.8515625" style="3" customWidth="1"/>
    <col min="2" max="2" width="9.7109375" style="3" customWidth="1"/>
    <col min="3" max="3" width="13.140625" style="3" customWidth="1"/>
    <col min="4" max="4" width="10.28125" style="3" customWidth="1"/>
    <col min="5" max="5" width="9.7109375" style="3" customWidth="1"/>
    <col min="6" max="6" width="8.28125" style="3" customWidth="1"/>
    <col min="7" max="38" width="12.140625" style="0" customWidth="1"/>
    <col min="39" max="50" width="12.57421875" style="0" customWidth="1"/>
    <col min="51" max="70" width="11.28125" style="0" customWidth="1"/>
    <col min="71" max="80" width="12.28125" style="0" customWidth="1"/>
    <col min="81" max="81" width="13.8515625" style="0" customWidth="1"/>
    <col min="82" max="82" width="14.140625" style="0" customWidth="1"/>
    <col min="83" max="83" width="13.7109375" style="0" customWidth="1"/>
    <col min="84" max="84" width="12.57421875" style="0" customWidth="1"/>
    <col min="85" max="85" width="13.421875" style="0" customWidth="1"/>
    <col min="86" max="87" width="13.140625" style="0" customWidth="1"/>
    <col min="88" max="95" width="12.421875" style="0" customWidth="1"/>
    <col min="96" max="96" width="14.28125" style="0" customWidth="1"/>
    <col min="97" max="114" width="12.421875" style="0" customWidth="1"/>
    <col min="115" max="115" width="11.57421875" style="0" customWidth="1"/>
  </cols>
  <sheetData>
    <row r="1" spans="1:117" s="2" customFormat="1" ht="15.75" customHeight="1" thickBot="1">
      <c r="A1" s="48"/>
      <c r="B1" s="23" t="s">
        <v>202</v>
      </c>
      <c r="C1" s="23"/>
      <c r="D1" s="23"/>
      <c r="E1" s="23"/>
      <c r="F1" s="55"/>
      <c r="G1" s="21" t="s">
        <v>62</v>
      </c>
      <c r="H1" s="21"/>
      <c r="I1" s="21"/>
      <c r="J1" s="21"/>
      <c r="K1" s="21"/>
      <c r="L1" s="21"/>
      <c r="M1" s="21" t="s">
        <v>67</v>
      </c>
      <c r="N1" s="21"/>
      <c r="O1" s="21"/>
      <c r="P1" s="21"/>
      <c r="Q1" s="21"/>
      <c r="R1" s="21"/>
      <c r="S1" s="21" t="s">
        <v>67</v>
      </c>
      <c r="T1" s="21"/>
      <c r="U1" s="21"/>
      <c r="V1" s="21"/>
      <c r="W1" s="21"/>
      <c r="X1" s="21"/>
      <c r="Y1" s="21" t="s">
        <v>67</v>
      </c>
      <c r="Z1" s="21"/>
      <c r="AA1" s="21"/>
      <c r="AB1" s="21"/>
      <c r="AC1" s="21"/>
      <c r="AD1" s="21"/>
      <c r="AE1" s="21"/>
      <c r="AF1" s="21" t="s">
        <v>67</v>
      </c>
      <c r="AG1" s="21"/>
      <c r="AH1" s="21"/>
      <c r="AI1" s="21"/>
      <c r="AJ1" s="21"/>
      <c r="AK1" s="21"/>
      <c r="AL1" s="21" t="s">
        <v>67</v>
      </c>
      <c r="AM1" s="21"/>
      <c r="AN1" s="21"/>
      <c r="AO1" s="21"/>
      <c r="AP1" s="21"/>
      <c r="AQ1" s="21" t="s">
        <v>67</v>
      </c>
      <c r="AR1" s="21"/>
      <c r="AS1" s="21"/>
      <c r="AT1" s="21"/>
      <c r="AU1" s="21"/>
      <c r="AV1" s="21" t="s">
        <v>67</v>
      </c>
      <c r="AW1" s="21"/>
      <c r="AX1" s="21"/>
      <c r="AY1" s="21"/>
      <c r="AZ1" s="21" t="s">
        <v>63</v>
      </c>
      <c r="BA1" s="21"/>
      <c r="BB1" s="21"/>
      <c r="BC1" s="21"/>
      <c r="BD1" s="21"/>
      <c r="BE1" s="21"/>
      <c r="BF1" s="21" t="s">
        <v>138</v>
      </c>
      <c r="BG1" s="21"/>
      <c r="BH1" s="21"/>
      <c r="BI1" s="21"/>
      <c r="BJ1" s="21"/>
      <c r="BK1" s="21"/>
      <c r="BL1" s="21" t="s">
        <v>138</v>
      </c>
      <c r="BM1" s="21"/>
      <c r="BN1" s="21"/>
      <c r="BO1" s="21"/>
      <c r="BP1" s="21"/>
      <c r="BQ1" s="21" t="s">
        <v>138</v>
      </c>
      <c r="BS1" s="21"/>
      <c r="BT1" s="58" t="s">
        <v>64</v>
      </c>
      <c r="BU1" s="21"/>
      <c r="BV1" s="21"/>
      <c r="BW1" s="21"/>
      <c r="BX1" s="21"/>
      <c r="BY1" s="21"/>
      <c r="BZ1" s="21"/>
      <c r="CA1" s="21"/>
      <c r="CB1" s="21"/>
      <c r="CC1" s="21"/>
      <c r="CD1" s="58" t="s">
        <v>65</v>
      </c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</row>
    <row r="2" spans="1:117" s="1" customFormat="1" ht="89.25" customHeight="1">
      <c r="A2" s="49"/>
      <c r="B2" s="40" t="s">
        <v>72</v>
      </c>
      <c r="C2" s="20" t="s">
        <v>37</v>
      </c>
      <c r="D2" s="20" t="s">
        <v>68</v>
      </c>
      <c r="E2" s="20" t="s">
        <v>52</v>
      </c>
      <c r="F2" s="126" t="s">
        <v>217</v>
      </c>
      <c r="G2" s="130" t="s">
        <v>76</v>
      </c>
      <c r="H2" s="54" t="s">
        <v>77</v>
      </c>
      <c r="I2" s="54" t="s">
        <v>78</v>
      </c>
      <c r="J2" s="54" t="s">
        <v>79</v>
      </c>
      <c r="K2" s="54" t="s">
        <v>80</v>
      </c>
      <c r="L2" s="54" t="s">
        <v>81</v>
      </c>
      <c r="M2" s="54" t="s">
        <v>82</v>
      </c>
      <c r="N2" s="54" t="s">
        <v>83</v>
      </c>
      <c r="O2" s="54" t="s">
        <v>84</v>
      </c>
      <c r="P2" s="54" t="s">
        <v>85</v>
      </c>
      <c r="Q2" s="54" t="s">
        <v>86</v>
      </c>
      <c r="R2" s="54" t="s">
        <v>87</v>
      </c>
      <c r="S2" s="54" t="s">
        <v>88</v>
      </c>
      <c r="T2" s="54" t="s">
        <v>89</v>
      </c>
      <c r="U2" s="54" t="s">
        <v>90</v>
      </c>
      <c r="V2" s="54" t="s">
        <v>91</v>
      </c>
      <c r="W2" s="54" t="s">
        <v>92</v>
      </c>
      <c r="X2" s="54" t="s">
        <v>93</v>
      </c>
      <c r="Y2" s="54" t="s">
        <v>94</v>
      </c>
      <c r="Z2" s="54" t="s">
        <v>95</v>
      </c>
      <c r="AA2" s="54" t="s">
        <v>96</v>
      </c>
      <c r="AB2" s="54" t="s">
        <v>97</v>
      </c>
      <c r="AC2" s="54" t="s">
        <v>215</v>
      </c>
      <c r="AD2" s="54" t="s">
        <v>98</v>
      </c>
      <c r="AE2" s="54" t="s">
        <v>99</v>
      </c>
      <c r="AF2" s="54" t="s">
        <v>100</v>
      </c>
      <c r="AG2" s="54" t="s">
        <v>101</v>
      </c>
      <c r="AH2" s="54" t="s">
        <v>102</v>
      </c>
      <c r="AI2" s="54" t="s">
        <v>103</v>
      </c>
      <c r="AJ2" s="54" t="s">
        <v>104</v>
      </c>
      <c r="AK2" s="54" t="s">
        <v>105</v>
      </c>
      <c r="AL2" s="54" t="s">
        <v>106</v>
      </c>
      <c r="AM2" s="54" t="s">
        <v>107</v>
      </c>
      <c r="AN2" s="36" t="s">
        <v>108</v>
      </c>
      <c r="AO2" s="36" t="s">
        <v>109</v>
      </c>
      <c r="AP2" s="36" t="s">
        <v>110</v>
      </c>
      <c r="AQ2" s="36" t="s">
        <v>111</v>
      </c>
      <c r="AR2" s="36" t="s">
        <v>112</v>
      </c>
      <c r="AS2" s="36" t="s">
        <v>113</v>
      </c>
      <c r="AT2" s="36" t="s">
        <v>114</v>
      </c>
      <c r="AU2" s="36" t="s">
        <v>115</v>
      </c>
      <c r="AV2" s="36" t="s">
        <v>116</v>
      </c>
      <c r="AW2" s="36" t="s">
        <v>117</v>
      </c>
      <c r="AX2" s="36" t="s">
        <v>118</v>
      </c>
      <c r="AY2" s="54" t="s">
        <v>139</v>
      </c>
      <c r="AZ2" s="54" t="s">
        <v>119</v>
      </c>
      <c r="BA2" s="54" t="s">
        <v>120</v>
      </c>
      <c r="BB2" s="54" t="s">
        <v>121</v>
      </c>
      <c r="BC2" s="54" t="s">
        <v>122</v>
      </c>
      <c r="BD2" s="54" t="s">
        <v>123</v>
      </c>
      <c r="BE2" s="54" t="s">
        <v>124</v>
      </c>
      <c r="BF2" s="54" t="s">
        <v>125</v>
      </c>
      <c r="BG2" s="54" t="s">
        <v>126</v>
      </c>
      <c r="BH2" s="54" t="s">
        <v>127</v>
      </c>
      <c r="BI2" s="54" t="s">
        <v>128</v>
      </c>
      <c r="BJ2" s="54" t="s">
        <v>129</v>
      </c>
      <c r="BK2" s="54" t="s">
        <v>130</v>
      </c>
      <c r="BL2" s="54" t="s">
        <v>132</v>
      </c>
      <c r="BM2" s="54" t="s">
        <v>131</v>
      </c>
      <c r="BN2" s="54" t="s">
        <v>133</v>
      </c>
      <c r="BO2" s="54" t="s">
        <v>134</v>
      </c>
      <c r="BP2" s="54" t="s">
        <v>135</v>
      </c>
      <c r="BQ2" s="54" t="s">
        <v>136</v>
      </c>
      <c r="BR2" s="54" t="s">
        <v>137</v>
      </c>
      <c r="BS2" s="54" t="s">
        <v>118</v>
      </c>
      <c r="BT2" s="36" t="s">
        <v>140</v>
      </c>
      <c r="BU2" s="36" t="s">
        <v>141</v>
      </c>
      <c r="BV2" s="36" t="s">
        <v>146</v>
      </c>
      <c r="BW2" s="36" t="s">
        <v>142</v>
      </c>
      <c r="BX2" s="36" t="s">
        <v>143</v>
      </c>
      <c r="BY2" s="36" t="s">
        <v>144</v>
      </c>
      <c r="BZ2" s="36" t="s">
        <v>145</v>
      </c>
      <c r="CA2" s="36" t="s">
        <v>147</v>
      </c>
      <c r="CB2" s="36" t="s">
        <v>148</v>
      </c>
      <c r="CC2" s="36" t="s">
        <v>118</v>
      </c>
      <c r="CD2" s="131" t="s">
        <v>149</v>
      </c>
      <c r="CE2" s="131" t="s">
        <v>150</v>
      </c>
      <c r="CF2" s="131" t="s">
        <v>60</v>
      </c>
      <c r="CG2" s="131" t="s">
        <v>151</v>
      </c>
      <c r="CH2" s="131" t="s">
        <v>152</v>
      </c>
      <c r="CI2" s="131" t="s">
        <v>153</v>
      </c>
      <c r="CJ2" s="131" t="s">
        <v>46</v>
      </c>
      <c r="CK2" s="131" t="s">
        <v>249</v>
      </c>
      <c r="CL2" s="131" t="s">
        <v>45</v>
      </c>
      <c r="CM2" s="131" t="s">
        <v>69</v>
      </c>
      <c r="CN2" s="131" t="s">
        <v>43</v>
      </c>
      <c r="CO2" s="131" t="s">
        <v>44</v>
      </c>
      <c r="CP2" s="131" t="s">
        <v>154</v>
      </c>
      <c r="CQ2" s="131" t="s">
        <v>156</v>
      </c>
      <c r="CR2" s="131" t="s">
        <v>155</v>
      </c>
      <c r="CS2" s="131" t="s">
        <v>161</v>
      </c>
      <c r="CT2" s="131" t="s">
        <v>164</v>
      </c>
      <c r="CU2" s="131" t="s">
        <v>165</v>
      </c>
      <c r="CV2" s="131" t="s">
        <v>163</v>
      </c>
      <c r="CW2" s="131" t="s">
        <v>167</v>
      </c>
      <c r="CX2" s="131" t="s">
        <v>149</v>
      </c>
      <c r="CY2" s="131" t="s">
        <v>168</v>
      </c>
      <c r="CZ2" s="131" t="s">
        <v>173</v>
      </c>
      <c r="DA2" s="131" t="s">
        <v>178</v>
      </c>
      <c r="DB2" s="131" t="s">
        <v>179</v>
      </c>
      <c r="DC2" s="131" t="s">
        <v>181</v>
      </c>
      <c r="DD2" s="131" t="s">
        <v>184</v>
      </c>
      <c r="DE2" s="131" t="s">
        <v>190</v>
      </c>
      <c r="DF2" s="131" t="s">
        <v>198</v>
      </c>
      <c r="DG2" s="131" t="s">
        <v>194</v>
      </c>
      <c r="DH2" s="131" t="s">
        <v>195</v>
      </c>
      <c r="DI2" s="131" t="s">
        <v>196</v>
      </c>
      <c r="DJ2" s="131" t="s">
        <v>199</v>
      </c>
      <c r="DK2" s="131" t="s">
        <v>250</v>
      </c>
      <c r="DL2" s="131"/>
      <c r="DM2" s="132"/>
    </row>
    <row r="3" spans="1:117" s="5" customFormat="1" ht="12.75" customHeight="1">
      <c r="A3" s="50" t="s">
        <v>38</v>
      </c>
      <c r="B3" s="41"/>
      <c r="C3" s="6"/>
      <c r="D3" s="63"/>
      <c r="E3" s="63"/>
      <c r="F3" s="127">
        <v>3</v>
      </c>
      <c r="G3" s="133">
        <v>0</v>
      </c>
      <c r="H3" s="43">
        <v>0</v>
      </c>
      <c r="I3" s="43">
        <v>0</v>
      </c>
      <c r="J3" s="43">
        <v>0</v>
      </c>
      <c r="K3" s="43">
        <v>0</v>
      </c>
      <c r="L3" s="43">
        <v>0</v>
      </c>
      <c r="M3" s="43">
        <f aca="true" t="shared" si="0" ref="M3:M31">SUM(K3:L3)</f>
        <v>0</v>
      </c>
      <c r="N3" s="43">
        <v>0</v>
      </c>
      <c r="O3" s="43">
        <v>0</v>
      </c>
      <c r="P3" s="43">
        <v>0</v>
      </c>
      <c r="Q3" s="43">
        <v>0</v>
      </c>
      <c r="R3" s="43">
        <v>0</v>
      </c>
      <c r="S3" s="43">
        <v>0</v>
      </c>
      <c r="T3" s="43">
        <v>0</v>
      </c>
      <c r="U3" s="43">
        <v>0</v>
      </c>
      <c r="V3" s="43">
        <v>0</v>
      </c>
      <c r="W3" s="43">
        <f aca="true" t="shared" si="1" ref="W3:W14">SUM(R3:V3)</f>
        <v>0</v>
      </c>
      <c r="X3" s="43">
        <v>0</v>
      </c>
      <c r="Y3" s="43">
        <f aca="true" t="shared" si="2" ref="Y3:Y14">SUM(G3:X3)-M3-W3</f>
        <v>0</v>
      </c>
      <c r="Z3" s="43">
        <v>0</v>
      </c>
      <c r="AA3" s="43">
        <v>0</v>
      </c>
      <c r="AB3" s="43">
        <v>0</v>
      </c>
      <c r="AC3" s="43">
        <v>0</v>
      </c>
      <c r="AD3" s="43">
        <v>0</v>
      </c>
      <c r="AE3" s="43">
        <f aca="true" t="shared" si="3" ref="AE3:AE14">SUM(Z3:AD3)</f>
        <v>0</v>
      </c>
      <c r="AF3" s="43">
        <v>0</v>
      </c>
      <c r="AG3" s="43">
        <v>0</v>
      </c>
      <c r="AH3" s="43">
        <v>0</v>
      </c>
      <c r="AI3" s="43">
        <v>0</v>
      </c>
      <c r="AJ3" s="43">
        <v>0</v>
      </c>
      <c r="AK3" s="43">
        <v>0</v>
      </c>
      <c r="AL3" s="43">
        <v>0</v>
      </c>
      <c r="AM3" s="43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f aca="true" t="shared" si="4" ref="AS3:AS14">SUM(AN3:AR3)</f>
        <v>0</v>
      </c>
      <c r="AT3" s="4">
        <v>0</v>
      </c>
      <c r="AU3" s="4">
        <f aca="true" t="shared" si="5" ref="AU3:AU14">SUM(Z3:AT3)-AE3-AH3-AS3</f>
        <v>0</v>
      </c>
      <c r="AV3" s="4">
        <v>0</v>
      </c>
      <c r="AW3" s="4">
        <v>0</v>
      </c>
      <c r="AX3" s="4">
        <f aca="true" t="shared" si="6" ref="AX3:AX14">Y3-AU3+AV3-AW3</f>
        <v>0</v>
      </c>
      <c r="AY3" s="43">
        <v>0</v>
      </c>
      <c r="AZ3" s="43">
        <v>0</v>
      </c>
      <c r="BA3" s="43">
        <v>0</v>
      </c>
      <c r="BB3" s="43">
        <v>0</v>
      </c>
      <c r="BC3" s="43">
        <v>0</v>
      </c>
      <c r="BD3" s="43">
        <v>0</v>
      </c>
      <c r="BE3" s="43">
        <v>0</v>
      </c>
      <c r="BF3" s="43">
        <f aca="true" t="shared" si="7" ref="BF3:BF14">SUM(AZ3:BE3)</f>
        <v>0</v>
      </c>
      <c r="BG3" s="43">
        <v>0</v>
      </c>
      <c r="BH3" s="43">
        <v>0</v>
      </c>
      <c r="BI3" s="43">
        <v>0</v>
      </c>
      <c r="BJ3" s="43">
        <v>0</v>
      </c>
      <c r="BK3" s="43">
        <v>0</v>
      </c>
      <c r="BL3" s="43">
        <v>0</v>
      </c>
      <c r="BM3" s="43">
        <v>0</v>
      </c>
      <c r="BN3" s="43">
        <v>0</v>
      </c>
      <c r="BO3" s="43">
        <f aca="true" t="shared" si="8" ref="BO3:BO14">SUM(BG3:BN3)</f>
        <v>0</v>
      </c>
      <c r="BP3" s="43">
        <v>0</v>
      </c>
      <c r="BQ3" s="43">
        <v>0</v>
      </c>
      <c r="BR3" s="43">
        <v>0</v>
      </c>
      <c r="BS3" s="43">
        <f aca="true" t="shared" si="9" ref="BS3:BS14">+BF3-BO3+BP3+BQ3-BR3</f>
        <v>0</v>
      </c>
      <c r="BT3" s="4">
        <v>0</v>
      </c>
      <c r="BU3" s="4">
        <v>0</v>
      </c>
      <c r="BV3" s="4">
        <v>0</v>
      </c>
      <c r="BW3" s="4">
        <v>0</v>
      </c>
      <c r="BX3" s="4">
        <f aca="true" t="shared" si="10" ref="BX3:BX14">SUM(BT3:BW3)</f>
        <v>0</v>
      </c>
      <c r="BY3" s="4">
        <v>0</v>
      </c>
      <c r="BZ3" s="4">
        <v>0</v>
      </c>
      <c r="CA3" s="4">
        <v>0</v>
      </c>
      <c r="CB3" s="4">
        <f aca="true" t="shared" si="11" ref="CB3:CB14">SUM(BY3:CA3)</f>
        <v>0</v>
      </c>
      <c r="CC3" s="4">
        <f aca="true" t="shared" si="12" ref="CC3:CC14">BX3-CB3</f>
        <v>0</v>
      </c>
      <c r="CD3" s="74">
        <f aca="true" t="shared" si="13" ref="CD3:CD14">K3+L3+AV3-AW3</f>
        <v>0</v>
      </c>
      <c r="CE3" s="76">
        <f aca="true" t="shared" si="14" ref="CE3:CE14">CD3+W3-AS3</f>
        <v>0</v>
      </c>
      <c r="CF3" s="76">
        <f aca="true" t="shared" si="15" ref="CF3:CF14">BR3-BP3</f>
        <v>0</v>
      </c>
      <c r="CG3" s="76">
        <f aca="true" t="shared" si="16" ref="CG3:CG10">AU3-AM3-AT3-AS3</f>
        <v>0</v>
      </c>
      <c r="CH3" s="76">
        <f aca="true" t="shared" si="17" ref="CH3:CH14">I3-AG3+AY3+AH3+BQ3</f>
        <v>0</v>
      </c>
      <c r="CI3" s="37">
        <f aca="true" t="shared" si="18" ref="CI3:CI14">CH3+K3</f>
        <v>0</v>
      </c>
      <c r="CJ3" s="59" t="str">
        <f>IF(CF3=0,"-",(CD3/CF3))</f>
        <v>-</v>
      </c>
      <c r="CK3" s="59" t="str">
        <f>IF(CF3=0,"-",(CE3/CF3))</f>
        <v>-</v>
      </c>
      <c r="CL3" s="141" t="str">
        <f>IF(CG3=0,"-",(CD3/CG3*1))</f>
        <v>-</v>
      </c>
      <c r="CM3" s="141" t="str">
        <f>IF(CE3=0,"-",(CE3/CG3))</f>
        <v>-</v>
      </c>
      <c r="CN3" s="141" t="str">
        <f>IF(CG3=0,"-",(CH3/CG3))</f>
        <v>-</v>
      </c>
      <c r="CO3" s="141" t="str">
        <f>IF(CG3=0,"-",(CI3/CG3))</f>
        <v>-</v>
      </c>
      <c r="CP3" s="141" t="str">
        <f>IF(BU3+K3+L3=0,"-",((K3+L3)/(BU3+K3+L3)))</f>
        <v>-</v>
      </c>
      <c r="CQ3" s="141" t="str">
        <f>IF(BU3+K3+L3=0,"-",((K3)/(BU3+K3+L3)))</f>
        <v>-</v>
      </c>
      <c r="CR3" s="142" t="str">
        <f>IF(CE3=0,"-",(CS3/CE3))</f>
        <v>-</v>
      </c>
      <c r="CS3" s="76">
        <f>BT3-BY3</f>
        <v>0</v>
      </c>
      <c r="CT3" s="80">
        <f aca="true" t="shared" si="19" ref="CT3:CT14">Y3-K3-L3-V3</f>
        <v>0</v>
      </c>
      <c r="CU3" s="80">
        <f aca="true" t="shared" si="20" ref="CU3:CU14">AU3-AR3</f>
        <v>0</v>
      </c>
      <c r="CV3" s="80">
        <f aca="true" t="shared" si="21" ref="CV3:CV14">CU3-CT3</f>
        <v>0</v>
      </c>
      <c r="CW3" s="80">
        <f aca="true" t="shared" si="22" ref="CW3:CW14">-V3+AR3</f>
        <v>0</v>
      </c>
      <c r="CX3" s="80">
        <f aca="true" t="shared" si="23" ref="CX3:CX14">CV3+CW3</f>
        <v>0</v>
      </c>
      <c r="CY3" s="80">
        <f aca="true" t="shared" si="24" ref="CY3:CY14">CX3-K3-L3</f>
        <v>0</v>
      </c>
      <c r="CZ3" s="80">
        <f aca="true" t="shared" si="25" ref="CZ3:CZ14">BR3-BP3</f>
        <v>0</v>
      </c>
      <c r="DA3" s="80">
        <f aca="true" t="shared" si="26" ref="DA3:DA14">K3+L3</f>
        <v>0</v>
      </c>
      <c r="DB3" s="80">
        <f aca="true" t="shared" si="27" ref="DB3:DB14">-CZ3+DA3+CY3</f>
        <v>0</v>
      </c>
      <c r="DC3" s="80">
        <f aca="true" t="shared" si="28" ref="DC3:DC14">-BP3-DA3</f>
        <v>0</v>
      </c>
      <c r="DD3" s="80">
        <f aca="true" t="shared" si="29" ref="DD3:DD14">DB3+DC3+BR3</f>
        <v>0</v>
      </c>
      <c r="DE3" s="80">
        <f aca="true" t="shared" si="30" ref="DE3:DE14">Z3+AA3+AB3</f>
        <v>0</v>
      </c>
      <c r="DF3" s="80" t="e">
        <f aca="true" t="shared" si="31" ref="DF3:DF14">CS3/B3</f>
        <v>#DIV/0!</v>
      </c>
      <c r="DG3" s="80" t="e">
        <f aca="true" t="shared" si="32" ref="DG3:DG14">CH3/B3</f>
        <v>#DIV/0!</v>
      </c>
      <c r="DH3" s="80" t="e">
        <f aca="true" t="shared" si="33" ref="DH3:DH14">DE3/B3</f>
        <v>#DIV/0!</v>
      </c>
      <c r="DI3" s="81" t="e">
        <f aca="true" t="shared" si="34" ref="DI3:DI14">CZ3/B3</f>
        <v>#DIV/0!</v>
      </c>
      <c r="DJ3" s="76" t="e">
        <f aca="true" t="shared" si="35" ref="DJ3:DJ14">DB3/B3</f>
        <v>#DIV/0!</v>
      </c>
      <c r="DK3" s="147">
        <f>CA3-BW3-BU3</f>
        <v>0</v>
      </c>
      <c r="DL3" s="64"/>
      <c r="DM3" s="65"/>
    </row>
    <row r="4" spans="1:117" ht="12.75">
      <c r="A4" s="51" t="s">
        <v>0</v>
      </c>
      <c r="B4" s="42"/>
      <c r="C4" s="38"/>
      <c r="D4" s="66"/>
      <c r="E4" s="66"/>
      <c r="F4" s="128">
        <v>15</v>
      </c>
      <c r="G4" s="134">
        <v>0</v>
      </c>
      <c r="H4" s="42">
        <v>0</v>
      </c>
      <c r="I4" s="42">
        <v>0</v>
      </c>
      <c r="J4" s="42">
        <v>0</v>
      </c>
      <c r="K4" s="42">
        <v>0</v>
      </c>
      <c r="L4" s="42">
        <v>0</v>
      </c>
      <c r="M4" s="43">
        <f t="shared" si="0"/>
        <v>0</v>
      </c>
      <c r="N4" s="42">
        <v>0</v>
      </c>
      <c r="O4" s="42">
        <v>0</v>
      </c>
      <c r="P4" s="42">
        <v>0</v>
      </c>
      <c r="Q4" s="42">
        <v>0</v>
      </c>
      <c r="R4" s="42">
        <v>0</v>
      </c>
      <c r="S4" s="42">
        <v>0</v>
      </c>
      <c r="T4" s="42">
        <v>0</v>
      </c>
      <c r="U4" s="42">
        <v>0</v>
      </c>
      <c r="V4" s="42">
        <v>0</v>
      </c>
      <c r="W4" s="43">
        <f t="shared" si="1"/>
        <v>0</v>
      </c>
      <c r="X4" s="42">
        <v>0</v>
      </c>
      <c r="Y4" s="43">
        <f t="shared" si="2"/>
        <v>0</v>
      </c>
      <c r="Z4" s="42">
        <v>0</v>
      </c>
      <c r="AA4" s="42">
        <v>0</v>
      </c>
      <c r="AB4" s="42">
        <v>0</v>
      </c>
      <c r="AC4" s="42">
        <v>0</v>
      </c>
      <c r="AD4" s="42">
        <v>0</v>
      </c>
      <c r="AE4" s="43">
        <f t="shared" si="3"/>
        <v>0</v>
      </c>
      <c r="AF4" s="42">
        <v>0</v>
      </c>
      <c r="AG4" s="42">
        <v>0</v>
      </c>
      <c r="AH4" s="42">
        <v>0</v>
      </c>
      <c r="AI4" s="42">
        <v>0</v>
      </c>
      <c r="AJ4" s="42">
        <v>0</v>
      </c>
      <c r="AK4" s="42">
        <v>0</v>
      </c>
      <c r="AL4" s="42">
        <v>0</v>
      </c>
      <c r="AM4" s="42">
        <v>0</v>
      </c>
      <c r="AN4" s="38">
        <v>0</v>
      </c>
      <c r="AO4" s="38">
        <v>0</v>
      </c>
      <c r="AP4" s="38">
        <v>0</v>
      </c>
      <c r="AQ4" s="38">
        <v>0</v>
      </c>
      <c r="AR4" s="38">
        <v>0</v>
      </c>
      <c r="AS4" s="4">
        <f t="shared" si="4"/>
        <v>0</v>
      </c>
      <c r="AT4" s="38">
        <v>0</v>
      </c>
      <c r="AU4" s="4">
        <f t="shared" si="5"/>
        <v>0</v>
      </c>
      <c r="AV4" s="38">
        <v>0</v>
      </c>
      <c r="AW4" s="38">
        <v>0</v>
      </c>
      <c r="AX4" s="4">
        <f t="shared" si="6"/>
        <v>0</v>
      </c>
      <c r="AY4" s="42">
        <v>0</v>
      </c>
      <c r="AZ4" s="42">
        <v>0</v>
      </c>
      <c r="BA4" s="42">
        <v>0</v>
      </c>
      <c r="BB4" s="42">
        <v>0</v>
      </c>
      <c r="BC4" s="42">
        <v>0</v>
      </c>
      <c r="BD4" s="42">
        <v>0</v>
      </c>
      <c r="BE4" s="42">
        <v>0</v>
      </c>
      <c r="BF4" s="43">
        <f t="shared" si="7"/>
        <v>0</v>
      </c>
      <c r="BG4" s="42">
        <v>0</v>
      </c>
      <c r="BH4" s="42">
        <v>0</v>
      </c>
      <c r="BI4" s="42">
        <v>0</v>
      </c>
      <c r="BJ4" s="42">
        <v>0</v>
      </c>
      <c r="BK4" s="42">
        <v>0</v>
      </c>
      <c r="BL4" s="42">
        <v>0</v>
      </c>
      <c r="BM4" s="42">
        <v>0</v>
      </c>
      <c r="BN4" s="42">
        <v>0</v>
      </c>
      <c r="BO4" s="43">
        <f t="shared" si="8"/>
        <v>0</v>
      </c>
      <c r="BP4" s="42">
        <v>0</v>
      </c>
      <c r="BQ4" s="42">
        <v>0</v>
      </c>
      <c r="BR4" s="42">
        <v>0</v>
      </c>
      <c r="BS4" s="43">
        <f t="shared" si="9"/>
        <v>0</v>
      </c>
      <c r="BT4" s="38">
        <v>0</v>
      </c>
      <c r="BU4" s="38">
        <v>0</v>
      </c>
      <c r="BV4" s="38">
        <v>0</v>
      </c>
      <c r="BW4" s="38">
        <v>0</v>
      </c>
      <c r="BX4" s="4">
        <f t="shared" si="10"/>
        <v>0</v>
      </c>
      <c r="BY4" s="38">
        <v>0</v>
      </c>
      <c r="BZ4" s="38">
        <v>0</v>
      </c>
      <c r="CA4" s="38">
        <v>0</v>
      </c>
      <c r="CB4" s="4">
        <f t="shared" si="11"/>
        <v>0</v>
      </c>
      <c r="CC4" s="4">
        <f t="shared" si="12"/>
        <v>0</v>
      </c>
      <c r="CD4" s="74">
        <f t="shared" si="13"/>
        <v>0</v>
      </c>
      <c r="CE4" s="76">
        <f t="shared" si="14"/>
        <v>0</v>
      </c>
      <c r="CF4" s="76">
        <f t="shared" si="15"/>
        <v>0</v>
      </c>
      <c r="CG4" s="76">
        <f t="shared" si="16"/>
        <v>0</v>
      </c>
      <c r="CH4" s="76">
        <f t="shared" si="17"/>
        <v>0</v>
      </c>
      <c r="CI4" s="37">
        <f t="shared" si="18"/>
        <v>0</v>
      </c>
      <c r="CJ4" s="59" t="str">
        <f aca="true" t="shared" si="36" ref="CJ4:CJ31">IF(CF4=0,"-",(CD4/CF4))</f>
        <v>-</v>
      </c>
      <c r="CK4" s="59" t="str">
        <f aca="true" t="shared" si="37" ref="CK4:CK31">IF(CF4=0,"-",(CE4/CF4))</f>
        <v>-</v>
      </c>
      <c r="CL4" s="141" t="str">
        <f aca="true" t="shared" si="38" ref="CL4:CL31">IF(CG4=0,"-",(CD4/CG4*1))</f>
        <v>-</v>
      </c>
      <c r="CM4" s="141" t="str">
        <f aca="true" t="shared" si="39" ref="CM4:CM31">IF(CE4=0,"-",(CE4/CG4))</f>
        <v>-</v>
      </c>
      <c r="CN4" s="141" t="str">
        <f aca="true" t="shared" si="40" ref="CN4:CN31">IF(CG4=0,"-",(CH4/CG4))</f>
        <v>-</v>
      </c>
      <c r="CO4" s="141" t="str">
        <f aca="true" t="shared" si="41" ref="CO4:CO31">IF(CG4=0,"-",(CI4/CG4))</f>
        <v>-</v>
      </c>
      <c r="CP4" s="141" t="str">
        <f aca="true" t="shared" si="42" ref="CP4:CP31">IF(BU4+K4+L4=0,"-",((K4+L4)/(BU4+K4+L4)))</f>
        <v>-</v>
      </c>
      <c r="CQ4" s="141" t="str">
        <f aca="true" t="shared" si="43" ref="CQ4:CQ31">IF(BU4+K4+L4=0,"-",((K4)/(BU4+K4+L4)))</f>
        <v>-</v>
      </c>
      <c r="CR4" s="142" t="str">
        <f aca="true" t="shared" si="44" ref="CR4:CR31">IF(CE4=0,"-",(CS4/CE4))</f>
        <v>-</v>
      </c>
      <c r="CS4" s="76">
        <f aca="true" t="shared" si="45" ref="CS4:CS31">BT4-BY4</f>
        <v>0</v>
      </c>
      <c r="CT4" s="80">
        <f t="shared" si="19"/>
        <v>0</v>
      </c>
      <c r="CU4" s="80">
        <f t="shared" si="20"/>
        <v>0</v>
      </c>
      <c r="CV4" s="80">
        <f t="shared" si="21"/>
        <v>0</v>
      </c>
      <c r="CW4" s="80">
        <f t="shared" si="22"/>
        <v>0</v>
      </c>
      <c r="CX4" s="80">
        <f t="shared" si="23"/>
        <v>0</v>
      </c>
      <c r="CY4" s="80">
        <f t="shared" si="24"/>
        <v>0</v>
      </c>
      <c r="CZ4" s="80">
        <f t="shared" si="25"/>
        <v>0</v>
      </c>
      <c r="DA4" s="80">
        <f t="shared" si="26"/>
        <v>0</v>
      </c>
      <c r="DB4" s="80">
        <f t="shared" si="27"/>
        <v>0</v>
      </c>
      <c r="DC4" s="80">
        <f t="shared" si="28"/>
        <v>0</v>
      </c>
      <c r="DD4" s="80">
        <f t="shared" si="29"/>
        <v>0</v>
      </c>
      <c r="DE4" s="80">
        <f t="shared" si="30"/>
        <v>0</v>
      </c>
      <c r="DF4" s="80" t="e">
        <f t="shared" si="31"/>
        <v>#DIV/0!</v>
      </c>
      <c r="DG4" s="80" t="e">
        <f t="shared" si="32"/>
        <v>#DIV/0!</v>
      </c>
      <c r="DH4" s="80" t="e">
        <f t="shared" si="33"/>
        <v>#DIV/0!</v>
      </c>
      <c r="DI4" s="81" t="e">
        <f t="shared" si="34"/>
        <v>#DIV/0!</v>
      </c>
      <c r="DJ4" s="76" t="e">
        <f t="shared" si="35"/>
        <v>#DIV/0!</v>
      </c>
      <c r="DK4" s="147">
        <f>CA4-BW4-BU4</f>
        <v>0</v>
      </c>
      <c r="DL4" s="67"/>
      <c r="DM4" s="68"/>
    </row>
    <row r="5" spans="1:117" ht="12.75">
      <c r="A5" s="52" t="s">
        <v>32</v>
      </c>
      <c r="B5" s="43"/>
      <c r="C5" s="4"/>
      <c r="D5" s="69"/>
      <c r="E5" s="69"/>
      <c r="F5" s="8">
        <v>9</v>
      </c>
      <c r="G5" s="133">
        <v>0</v>
      </c>
      <c r="H5" s="43">
        <v>0</v>
      </c>
      <c r="I5" s="43">
        <v>0</v>
      </c>
      <c r="J5" s="43">
        <v>0</v>
      </c>
      <c r="K5" s="43">
        <v>0</v>
      </c>
      <c r="L5" s="43">
        <v>0</v>
      </c>
      <c r="M5" s="43">
        <f t="shared" si="0"/>
        <v>0</v>
      </c>
      <c r="N5" s="43">
        <v>0</v>
      </c>
      <c r="O5" s="43">
        <v>0</v>
      </c>
      <c r="P5" s="43">
        <v>0</v>
      </c>
      <c r="Q5" s="43">
        <v>0</v>
      </c>
      <c r="R5" s="43">
        <v>0</v>
      </c>
      <c r="S5" s="43">
        <v>0</v>
      </c>
      <c r="T5" s="43">
        <v>0</v>
      </c>
      <c r="U5" s="43">
        <v>0</v>
      </c>
      <c r="V5" s="43">
        <v>0</v>
      </c>
      <c r="W5" s="43">
        <f t="shared" si="1"/>
        <v>0</v>
      </c>
      <c r="X5" s="43">
        <v>0</v>
      </c>
      <c r="Y5" s="43">
        <f t="shared" si="2"/>
        <v>0</v>
      </c>
      <c r="Z5" s="43">
        <v>0</v>
      </c>
      <c r="AA5" s="43">
        <v>0</v>
      </c>
      <c r="AB5" s="43">
        <v>0</v>
      </c>
      <c r="AC5" s="43">
        <v>0</v>
      </c>
      <c r="AD5" s="43">
        <v>0</v>
      </c>
      <c r="AE5" s="43">
        <f t="shared" si="3"/>
        <v>0</v>
      </c>
      <c r="AF5" s="43">
        <v>0</v>
      </c>
      <c r="AG5" s="43">
        <v>0</v>
      </c>
      <c r="AH5" s="43">
        <v>0</v>
      </c>
      <c r="AI5" s="43">
        <v>0</v>
      </c>
      <c r="AJ5" s="43">
        <v>0</v>
      </c>
      <c r="AK5" s="43">
        <v>0</v>
      </c>
      <c r="AL5" s="43">
        <v>0</v>
      </c>
      <c r="AM5" s="43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f t="shared" si="4"/>
        <v>0</v>
      </c>
      <c r="AT5" s="4">
        <v>0</v>
      </c>
      <c r="AU5" s="4">
        <f t="shared" si="5"/>
        <v>0</v>
      </c>
      <c r="AV5" s="4">
        <v>0</v>
      </c>
      <c r="AW5" s="4">
        <v>0</v>
      </c>
      <c r="AX5" s="4">
        <f t="shared" si="6"/>
        <v>0</v>
      </c>
      <c r="AY5" s="43">
        <v>0</v>
      </c>
      <c r="AZ5" s="43">
        <v>0</v>
      </c>
      <c r="BA5" s="43">
        <v>0</v>
      </c>
      <c r="BB5" s="43">
        <v>0</v>
      </c>
      <c r="BC5" s="43">
        <v>0</v>
      </c>
      <c r="BD5" s="43">
        <v>0</v>
      </c>
      <c r="BE5" s="43">
        <v>0</v>
      </c>
      <c r="BF5" s="43">
        <f t="shared" si="7"/>
        <v>0</v>
      </c>
      <c r="BG5" s="43">
        <v>0</v>
      </c>
      <c r="BH5" s="43">
        <v>0</v>
      </c>
      <c r="BI5" s="43">
        <v>0</v>
      </c>
      <c r="BJ5" s="43">
        <v>0</v>
      </c>
      <c r="BK5" s="43">
        <v>0</v>
      </c>
      <c r="BL5" s="43">
        <v>0</v>
      </c>
      <c r="BM5" s="43">
        <v>0</v>
      </c>
      <c r="BN5" s="43">
        <v>0</v>
      </c>
      <c r="BO5" s="43">
        <f t="shared" si="8"/>
        <v>0</v>
      </c>
      <c r="BP5" s="43">
        <v>0</v>
      </c>
      <c r="BQ5" s="43">
        <v>0</v>
      </c>
      <c r="BR5" s="43">
        <v>0</v>
      </c>
      <c r="BS5" s="43">
        <f t="shared" si="9"/>
        <v>0</v>
      </c>
      <c r="BT5" s="4">
        <v>0</v>
      </c>
      <c r="BU5" s="4">
        <v>0</v>
      </c>
      <c r="BV5" s="4">
        <v>0</v>
      </c>
      <c r="BW5" s="4">
        <v>0</v>
      </c>
      <c r="BX5" s="4">
        <f t="shared" si="10"/>
        <v>0</v>
      </c>
      <c r="BY5" s="4">
        <v>0</v>
      </c>
      <c r="BZ5" s="4">
        <v>0</v>
      </c>
      <c r="CA5" s="4">
        <v>0</v>
      </c>
      <c r="CB5" s="4">
        <f t="shared" si="11"/>
        <v>0</v>
      </c>
      <c r="CC5" s="4">
        <f t="shared" si="12"/>
        <v>0</v>
      </c>
      <c r="CD5" s="74">
        <f t="shared" si="13"/>
        <v>0</v>
      </c>
      <c r="CE5" s="76">
        <f t="shared" si="14"/>
        <v>0</v>
      </c>
      <c r="CF5" s="76">
        <f t="shared" si="15"/>
        <v>0</v>
      </c>
      <c r="CG5" s="76">
        <f t="shared" si="16"/>
        <v>0</v>
      </c>
      <c r="CH5" s="76">
        <f t="shared" si="17"/>
        <v>0</v>
      </c>
      <c r="CI5" s="37">
        <f t="shared" si="18"/>
        <v>0</v>
      </c>
      <c r="CJ5" s="59" t="str">
        <f t="shared" si="36"/>
        <v>-</v>
      </c>
      <c r="CK5" s="59" t="str">
        <f t="shared" si="37"/>
        <v>-</v>
      </c>
      <c r="CL5" s="141" t="str">
        <f t="shared" si="38"/>
        <v>-</v>
      </c>
      <c r="CM5" s="141" t="str">
        <f t="shared" si="39"/>
        <v>-</v>
      </c>
      <c r="CN5" s="141" t="str">
        <f t="shared" si="40"/>
        <v>-</v>
      </c>
      <c r="CO5" s="141" t="str">
        <f t="shared" si="41"/>
        <v>-</v>
      </c>
      <c r="CP5" s="141" t="str">
        <f t="shared" si="42"/>
        <v>-</v>
      </c>
      <c r="CQ5" s="141" t="str">
        <f t="shared" si="43"/>
        <v>-</v>
      </c>
      <c r="CR5" s="142" t="str">
        <f t="shared" si="44"/>
        <v>-</v>
      </c>
      <c r="CS5" s="76">
        <f t="shared" si="45"/>
        <v>0</v>
      </c>
      <c r="CT5" s="80">
        <f t="shared" si="19"/>
        <v>0</v>
      </c>
      <c r="CU5" s="80">
        <f t="shared" si="20"/>
        <v>0</v>
      </c>
      <c r="CV5" s="80">
        <f t="shared" si="21"/>
        <v>0</v>
      </c>
      <c r="CW5" s="80">
        <f t="shared" si="22"/>
        <v>0</v>
      </c>
      <c r="CX5" s="80">
        <f t="shared" si="23"/>
        <v>0</v>
      </c>
      <c r="CY5" s="80">
        <f t="shared" si="24"/>
        <v>0</v>
      </c>
      <c r="CZ5" s="80">
        <f t="shared" si="25"/>
        <v>0</v>
      </c>
      <c r="DA5" s="80">
        <f t="shared" si="26"/>
        <v>0</v>
      </c>
      <c r="DB5" s="80">
        <f t="shared" si="27"/>
        <v>0</v>
      </c>
      <c r="DC5" s="80">
        <f t="shared" si="28"/>
        <v>0</v>
      </c>
      <c r="DD5" s="80">
        <f t="shared" si="29"/>
        <v>0</v>
      </c>
      <c r="DE5" s="80">
        <f t="shared" si="30"/>
        <v>0</v>
      </c>
      <c r="DF5" s="80" t="e">
        <f t="shared" si="31"/>
        <v>#DIV/0!</v>
      </c>
      <c r="DG5" s="80" t="e">
        <f t="shared" si="32"/>
        <v>#DIV/0!</v>
      </c>
      <c r="DH5" s="80" t="e">
        <f t="shared" si="33"/>
        <v>#DIV/0!</v>
      </c>
      <c r="DI5" s="81" t="e">
        <f t="shared" si="34"/>
        <v>#DIV/0!</v>
      </c>
      <c r="DJ5" s="76" t="e">
        <f t="shared" si="35"/>
        <v>#DIV/0!</v>
      </c>
      <c r="DK5" s="147">
        <f aca="true" t="shared" si="46" ref="DK5:DK31">CA5-BW5-BU5</f>
        <v>0</v>
      </c>
      <c r="DL5" s="64"/>
      <c r="DM5" s="65"/>
    </row>
    <row r="6" spans="1:117" ht="12.75">
      <c r="A6" s="51" t="s">
        <v>1</v>
      </c>
      <c r="B6" s="42"/>
      <c r="C6" s="38"/>
      <c r="D6" s="66"/>
      <c r="E6" s="66"/>
      <c r="F6" s="128"/>
      <c r="G6" s="134">
        <v>0</v>
      </c>
      <c r="H6" s="42">
        <v>0</v>
      </c>
      <c r="I6" s="42">
        <v>0</v>
      </c>
      <c r="J6" s="42">
        <v>0</v>
      </c>
      <c r="K6" s="42">
        <v>0</v>
      </c>
      <c r="L6" s="42">
        <v>0</v>
      </c>
      <c r="M6" s="43">
        <f t="shared" si="0"/>
        <v>0</v>
      </c>
      <c r="N6" s="42">
        <v>0</v>
      </c>
      <c r="O6" s="42">
        <v>0</v>
      </c>
      <c r="P6" s="42">
        <v>0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  <c r="V6" s="42">
        <v>0</v>
      </c>
      <c r="W6" s="43">
        <f t="shared" si="1"/>
        <v>0</v>
      </c>
      <c r="X6" s="42">
        <v>0</v>
      </c>
      <c r="Y6" s="43">
        <f t="shared" si="2"/>
        <v>0</v>
      </c>
      <c r="Z6" s="42">
        <v>0</v>
      </c>
      <c r="AA6" s="42">
        <v>0</v>
      </c>
      <c r="AB6" s="42">
        <v>0</v>
      </c>
      <c r="AC6" s="42">
        <v>0</v>
      </c>
      <c r="AD6" s="42">
        <v>0</v>
      </c>
      <c r="AE6" s="43">
        <f t="shared" si="3"/>
        <v>0</v>
      </c>
      <c r="AF6" s="42">
        <v>0</v>
      </c>
      <c r="AG6" s="42">
        <v>0</v>
      </c>
      <c r="AH6" s="42">
        <v>0</v>
      </c>
      <c r="AI6" s="42">
        <v>0</v>
      </c>
      <c r="AJ6" s="42">
        <v>0</v>
      </c>
      <c r="AK6" s="42">
        <v>0</v>
      </c>
      <c r="AL6" s="42">
        <v>0</v>
      </c>
      <c r="AM6" s="42">
        <v>0</v>
      </c>
      <c r="AN6" s="38">
        <v>0</v>
      </c>
      <c r="AO6" s="38">
        <v>0</v>
      </c>
      <c r="AP6" s="38">
        <v>0</v>
      </c>
      <c r="AQ6" s="38">
        <v>0</v>
      </c>
      <c r="AR6" s="38">
        <v>0</v>
      </c>
      <c r="AS6" s="4">
        <f t="shared" si="4"/>
        <v>0</v>
      </c>
      <c r="AT6" s="38">
        <v>0</v>
      </c>
      <c r="AU6" s="4">
        <f t="shared" si="5"/>
        <v>0</v>
      </c>
      <c r="AV6" s="38">
        <v>0</v>
      </c>
      <c r="AW6" s="38">
        <v>0</v>
      </c>
      <c r="AX6" s="4">
        <f t="shared" si="6"/>
        <v>0</v>
      </c>
      <c r="AY6" s="42">
        <v>0</v>
      </c>
      <c r="AZ6" s="42">
        <v>0</v>
      </c>
      <c r="BA6" s="42">
        <v>0</v>
      </c>
      <c r="BB6" s="42">
        <v>0</v>
      </c>
      <c r="BC6" s="42">
        <v>0</v>
      </c>
      <c r="BD6" s="42">
        <v>0</v>
      </c>
      <c r="BE6" s="42">
        <v>0</v>
      </c>
      <c r="BF6" s="43">
        <f t="shared" si="7"/>
        <v>0</v>
      </c>
      <c r="BG6" s="42">
        <v>0</v>
      </c>
      <c r="BH6" s="42">
        <v>0</v>
      </c>
      <c r="BI6" s="42">
        <v>0</v>
      </c>
      <c r="BJ6" s="42">
        <v>0</v>
      </c>
      <c r="BK6" s="42">
        <v>0</v>
      </c>
      <c r="BL6" s="42">
        <v>0</v>
      </c>
      <c r="BM6" s="42">
        <v>0</v>
      </c>
      <c r="BN6" s="42">
        <v>0</v>
      </c>
      <c r="BO6" s="43">
        <f t="shared" si="8"/>
        <v>0</v>
      </c>
      <c r="BP6" s="42">
        <v>0</v>
      </c>
      <c r="BQ6" s="42">
        <v>0</v>
      </c>
      <c r="BR6" s="42">
        <v>0</v>
      </c>
      <c r="BS6" s="43">
        <f t="shared" si="9"/>
        <v>0</v>
      </c>
      <c r="BT6" s="38">
        <v>0</v>
      </c>
      <c r="BU6" s="38">
        <v>0</v>
      </c>
      <c r="BV6" s="38">
        <v>0</v>
      </c>
      <c r="BW6" s="38">
        <v>0</v>
      </c>
      <c r="BX6" s="4">
        <f t="shared" si="10"/>
        <v>0</v>
      </c>
      <c r="BY6" s="38">
        <v>0</v>
      </c>
      <c r="BZ6" s="38">
        <v>0</v>
      </c>
      <c r="CA6" s="38">
        <v>0</v>
      </c>
      <c r="CB6" s="4">
        <f t="shared" si="11"/>
        <v>0</v>
      </c>
      <c r="CC6" s="4">
        <f t="shared" si="12"/>
        <v>0</v>
      </c>
      <c r="CD6" s="74">
        <f t="shared" si="13"/>
        <v>0</v>
      </c>
      <c r="CE6" s="76">
        <f t="shared" si="14"/>
        <v>0</v>
      </c>
      <c r="CF6" s="76">
        <f t="shared" si="15"/>
        <v>0</v>
      </c>
      <c r="CG6" s="76">
        <f t="shared" si="16"/>
        <v>0</v>
      </c>
      <c r="CH6" s="76">
        <f t="shared" si="17"/>
        <v>0</v>
      </c>
      <c r="CI6" s="37">
        <f t="shared" si="18"/>
        <v>0</v>
      </c>
      <c r="CJ6" s="59" t="str">
        <f t="shared" si="36"/>
        <v>-</v>
      </c>
      <c r="CK6" s="59" t="str">
        <f t="shared" si="37"/>
        <v>-</v>
      </c>
      <c r="CL6" s="141" t="str">
        <f t="shared" si="38"/>
        <v>-</v>
      </c>
      <c r="CM6" s="141" t="str">
        <f t="shared" si="39"/>
        <v>-</v>
      </c>
      <c r="CN6" s="141" t="str">
        <f t="shared" si="40"/>
        <v>-</v>
      </c>
      <c r="CO6" s="141" t="str">
        <f t="shared" si="41"/>
        <v>-</v>
      </c>
      <c r="CP6" s="141" t="str">
        <f t="shared" si="42"/>
        <v>-</v>
      </c>
      <c r="CQ6" s="141" t="str">
        <f t="shared" si="43"/>
        <v>-</v>
      </c>
      <c r="CR6" s="142" t="str">
        <f t="shared" si="44"/>
        <v>-</v>
      </c>
      <c r="CS6" s="76">
        <f t="shared" si="45"/>
        <v>0</v>
      </c>
      <c r="CT6" s="80">
        <f t="shared" si="19"/>
        <v>0</v>
      </c>
      <c r="CU6" s="80">
        <f t="shared" si="20"/>
        <v>0</v>
      </c>
      <c r="CV6" s="80">
        <f t="shared" si="21"/>
        <v>0</v>
      </c>
      <c r="CW6" s="80">
        <f t="shared" si="22"/>
        <v>0</v>
      </c>
      <c r="CX6" s="80">
        <f t="shared" si="23"/>
        <v>0</v>
      </c>
      <c r="CY6" s="80">
        <f t="shared" si="24"/>
        <v>0</v>
      </c>
      <c r="CZ6" s="80">
        <f t="shared" si="25"/>
        <v>0</v>
      </c>
      <c r="DA6" s="80">
        <f t="shared" si="26"/>
        <v>0</v>
      </c>
      <c r="DB6" s="80">
        <f t="shared" si="27"/>
        <v>0</v>
      </c>
      <c r="DC6" s="80">
        <f t="shared" si="28"/>
        <v>0</v>
      </c>
      <c r="DD6" s="80">
        <f t="shared" si="29"/>
        <v>0</v>
      </c>
      <c r="DE6" s="80">
        <f t="shared" si="30"/>
        <v>0</v>
      </c>
      <c r="DF6" s="80" t="e">
        <f t="shared" si="31"/>
        <v>#DIV/0!</v>
      </c>
      <c r="DG6" s="80" t="e">
        <f t="shared" si="32"/>
        <v>#DIV/0!</v>
      </c>
      <c r="DH6" s="80" t="e">
        <f t="shared" si="33"/>
        <v>#DIV/0!</v>
      </c>
      <c r="DI6" s="81" t="e">
        <f t="shared" si="34"/>
        <v>#DIV/0!</v>
      </c>
      <c r="DJ6" s="76" t="e">
        <f t="shared" si="35"/>
        <v>#DIV/0!</v>
      </c>
      <c r="DK6" s="147">
        <f t="shared" si="46"/>
        <v>0</v>
      </c>
      <c r="DL6" s="67"/>
      <c r="DM6" s="68"/>
    </row>
    <row r="7" spans="1:117" ht="12.75">
      <c r="A7" s="52" t="s">
        <v>2</v>
      </c>
      <c r="B7" s="43"/>
      <c r="C7" s="4"/>
      <c r="D7" s="69"/>
      <c r="E7" s="69"/>
      <c r="F7" s="8">
        <v>8</v>
      </c>
      <c r="G7" s="13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f t="shared" si="0"/>
        <v>0</v>
      </c>
      <c r="N7" s="43">
        <v>0</v>
      </c>
      <c r="O7" s="43">
        <v>0</v>
      </c>
      <c r="P7" s="43">
        <v>0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0</v>
      </c>
      <c r="W7" s="43">
        <f t="shared" si="1"/>
        <v>0</v>
      </c>
      <c r="X7" s="43">
        <v>0</v>
      </c>
      <c r="Y7" s="43">
        <f t="shared" si="2"/>
        <v>0</v>
      </c>
      <c r="Z7" s="43">
        <v>0</v>
      </c>
      <c r="AA7" s="43">
        <v>0</v>
      </c>
      <c r="AB7" s="43">
        <v>0</v>
      </c>
      <c r="AC7" s="43">
        <v>0</v>
      </c>
      <c r="AD7" s="43">
        <v>0</v>
      </c>
      <c r="AE7" s="43">
        <f t="shared" si="3"/>
        <v>0</v>
      </c>
      <c r="AF7" s="43">
        <v>0</v>
      </c>
      <c r="AG7" s="43">
        <v>0</v>
      </c>
      <c r="AH7" s="43">
        <v>0</v>
      </c>
      <c r="AI7" s="43">
        <v>0</v>
      </c>
      <c r="AJ7" s="43">
        <v>0</v>
      </c>
      <c r="AK7" s="43">
        <v>0</v>
      </c>
      <c r="AL7" s="43">
        <v>0</v>
      </c>
      <c r="AM7" s="43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f t="shared" si="4"/>
        <v>0</v>
      </c>
      <c r="AT7" s="4">
        <v>0</v>
      </c>
      <c r="AU7" s="4">
        <f t="shared" si="5"/>
        <v>0</v>
      </c>
      <c r="AV7" s="4">
        <v>0</v>
      </c>
      <c r="AW7" s="4">
        <v>0</v>
      </c>
      <c r="AX7" s="4">
        <f t="shared" si="6"/>
        <v>0</v>
      </c>
      <c r="AY7" s="43">
        <v>0</v>
      </c>
      <c r="AZ7" s="43">
        <v>0</v>
      </c>
      <c r="BA7" s="43">
        <v>0</v>
      </c>
      <c r="BB7" s="43">
        <v>0</v>
      </c>
      <c r="BC7" s="43">
        <v>0</v>
      </c>
      <c r="BD7" s="43">
        <v>0</v>
      </c>
      <c r="BE7" s="43">
        <v>0</v>
      </c>
      <c r="BF7" s="43">
        <f t="shared" si="7"/>
        <v>0</v>
      </c>
      <c r="BG7" s="43">
        <v>0</v>
      </c>
      <c r="BH7" s="43">
        <v>0</v>
      </c>
      <c r="BI7" s="43">
        <v>0</v>
      </c>
      <c r="BJ7" s="43">
        <v>0</v>
      </c>
      <c r="BK7" s="43">
        <v>0</v>
      </c>
      <c r="BL7" s="43">
        <v>0</v>
      </c>
      <c r="BM7" s="43">
        <v>0</v>
      </c>
      <c r="BN7" s="43">
        <v>0</v>
      </c>
      <c r="BO7" s="43">
        <f t="shared" si="8"/>
        <v>0</v>
      </c>
      <c r="BP7" s="43">
        <v>0</v>
      </c>
      <c r="BQ7" s="43">
        <v>0</v>
      </c>
      <c r="BR7" s="43">
        <v>0</v>
      </c>
      <c r="BS7" s="43">
        <f t="shared" si="9"/>
        <v>0</v>
      </c>
      <c r="BT7" s="4">
        <v>0</v>
      </c>
      <c r="BU7" s="4">
        <v>0</v>
      </c>
      <c r="BV7" s="4">
        <v>0</v>
      </c>
      <c r="BW7" s="4">
        <v>0</v>
      </c>
      <c r="BX7" s="4">
        <f t="shared" si="10"/>
        <v>0</v>
      </c>
      <c r="BY7" s="4">
        <v>0</v>
      </c>
      <c r="BZ7" s="4">
        <v>0</v>
      </c>
      <c r="CA7" s="4">
        <v>0</v>
      </c>
      <c r="CB7" s="4">
        <f t="shared" si="11"/>
        <v>0</v>
      </c>
      <c r="CC7" s="4">
        <f t="shared" si="12"/>
        <v>0</v>
      </c>
      <c r="CD7" s="74">
        <f t="shared" si="13"/>
        <v>0</v>
      </c>
      <c r="CE7" s="76">
        <f t="shared" si="14"/>
        <v>0</v>
      </c>
      <c r="CF7" s="76">
        <f t="shared" si="15"/>
        <v>0</v>
      </c>
      <c r="CG7" s="76">
        <f t="shared" si="16"/>
        <v>0</v>
      </c>
      <c r="CH7" s="76">
        <f t="shared" si="17"/>
        <v>0</v>
      </c>
      <c r="CI7" s="37">
        <f t="shared" si="18"/>
        <v>0</v>
      </c>
      <c r="CJ7" s="59" t="str">
        <f t="shared" si="36"/>
        <v>-</v>
      </c>
      <c r="CK7" s="59" t="str">
        <f t="shared" si="37"/>
        <v>-</v>
      </c>
      <c r="CL7" s="141" t="str">
        <f t="shared" si="38"/>
        <v>-</v>
      </c>
      <c r="CM7" s="141" t="str">
        <f t="shared" si="39"/>
        <v>-</v>
      </c>
      <c r="CN7" s="141" t="str">
        <f t="shared" si="40"/>
        <v>-</v>
      </c>
      <c r="CO7" s="141" t="str">
        <f t="shared" si="41"/>
        <v>-</v>
      </c>
      <c r="CP7" s="141" t="str">
        <f t="shared" si="42"/>
        <v>-</v>
      </c>
      <c r="CQ7" s="141" t="str">
        <f t="shared" si="43"/>
        <v>-</v>
      </c>
      <c r="CR7" s="142" t="str">
        <f t="shared" si="44"/>
        <v>-</v>
      </c>
      <c r="CS7" s="76">
        <f t="shared" si="45"/>
        <v>0</v>
      </c>
      <c r="CT7" s="80">
        <f t="shared" si="19"/>
        <v>0</v>
      </c>
      <c r="CU7" s="80">
        <f t="shared" si="20"/>
        <v>0</v>
      </c>
      <c r="CV7" s="80">
        <f t="shared" si="21"/>
        <v>0</v>
      </c>
      <c r="CW7" s="80">
        <f t="shared" si="22"/>
        <v>0</v>
      </c>
      <c r="CX7" s="80">
        <f t="shared" si="23"/>
        <v>0</v>
      </c>
      <c r="CY7" s="80">
        <f t="shared" si="24"/>
        <v>0</v>
      </c>
      <c r="CZ7" s="80">
        <f t="shared" si="25"/>
        <v>0</v>
      </c>
      <c r="DA7" s="80">
        <f t="shared" si="26"/>
        <v>0</v>
      </c>
      <c r="DB7" s="80">
        <f t="shared" si="27"/>
        <v>0</v>
      </c>
      <c r="DC7" s="80">
        <f t="shared" si="28"/>
        <v>0</v>
      </c>
      <c r="DD7" s="80">
        <f t="shared" si="29"/>
        <v>0</v>
      </c>
      <c r="DE7" s="80">
        <f t="shared" si="30"/>
        <v>0</v>
      </c>
      <c r="DF7" s="80" t="e">
        <f t="shared" si="31"/>
        <v>#DIV/0!</v>
      </c>
      <c r="DG7" s="80" t="e">
        <f t="shared" si="32"/>
        <v>#DIV/0!</v>
      </c>
      <c r="DH7" s="80" t="e">
        <f t="shared" si="33"/>
        <v>#DIV/0!</v>
      </c>
      <c r="DI7" s="81" t="e">
        <f t="shared" si="34"/>
        <v>#DIV/0!</v>
      </c>
      <c r="DJ7" s="76" t="e">
        <f t="shared" si="35"/>
        <v>#DIV/0!</v>
      </c>
      <c r="DK7" s="147">
        <f t="shared" si="46"/>
        <v>0</v>
      </c>
      <c r="DL7" s="64"/>
      <c r="DM7" s="65"/>
    </row>
    <row r="8" spans="1:117" ht="12.75">
      <c r="A8" s="51" t="s">
        <v>3</v>
      </c>
      <c r="B8" s="42"/>
      <c r="C8" s="38"/>
      <c r="D8" s="66"/>
      <c r="E8" s="66"/>
      <c r="F8" s="128">
        <v>8</v>
      </c>
      <c r="G8" s="134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3">
        <f t="shared" si="0"/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3">
        <f t="shared" si="1"/>
        <v>0</v>
      </c>
      <c r="X8" s="42">
        <v>0</v>
      </c>
      <c r="Y8" s="43">
        <f t="shared" si="2"/>
        <v>0</v>
      </c>
      <c r="Z8" s="42">
        <v>0</v>
      </c>
      <c r="AA8" s="42">
        <v>0</v>
      </c>
      <c r="AB8" s="42">
        <v>0</v>
      </c>
      <c r="AC8" s="42">
        <v>0</v>
      </c>
      <c r="AD8" s="42">
        <v>0</v>
      </c>
      <c r="AE8" s="43">
        <f t="shared" si="3"/>
        <v>0</v>
      </c>
      <c r="AF8" s="42">
        <v>0</v>
      </c>
      <c r="AG8" s="42">
        <v>0</v>
      </c>
      <c r="AH8" s="42">
        <v>0</v>
      </c>
      <c r="AI8" s="42">
        <v>0</v>
      </c>
      <c r="AJ8" s="42">
        <v>0</v>
      </c>
      <c r="AK8" s="42">
        <v>0</v>
      </c>
      <c r="AL8" s="42">
        <v>0</v>
      </c>
      <c r="AM8" s="42">
        <v>0</v>
      </c>
      <c r="AN8" s="38">
        <v>0</v>
      </c>
      <c r="AO8" s="38">
        <v>0</v>
      </c>
      <c r="AP8" s="38">
        <v>0</v>
      </c>
      <c r="AQ8" s="38">
        <v>0</v>
      </c>
      <c r="AR8" s="38">
        <v>0</v>
      </c>
      <c r="AS8" s="4">
        <f t="shared" si="4"/>
        <v>0</v>
      </c>
      <c r="AT8" s="38">
        <v>0</v>
      </c>
      <c r="AU8" s="4">
        <f t="shared" si="5"/>
        <v>0</v>
      </c>
      <c r="AV8" s="38">
        <v>0</v>
      </c>
      <c r="AW8" s="38">
        <v>0</v>
      </c>
      <c r="AX8" s="4">
        <f t="shared" si="6"/>
        <v>0</v>
      </c>
      <c r="AY8" s="42">
        <v>0</v>
      </c>
      <c r="AZ8" s="42">
        <v>0</v>
      </c>
      <c r="BA8" s="42">
        <v>0</v>
      </c>
      <c r="BB8" s="42">
        <v>0</v>
      </c>
      <c r="BC8" s="42">
        <v>0</v>
      </c>
      <c r="BD8" s="42">
        <v>0</v>
      </c>
      <c r="BE8" s="42">
        <v>0</v>
      </c>
      <c r="BF8" s="43">
        <f t="shared" si="7"/>
        <v>0</v>
      </c>
      <c r="BG8" s="42">
        <v>0</v>
      </c>
      <c r="BH8" s="42">
        <v>0</v>
      </c>
      <c r="BI8" s="42">
        <v>0</v>
      </c>
      <c r="BJ8" s="42">
        <v>0</v>
      </c>
      <c r="BK8" s="42">
        <v>0</v>
      </c>
      <c r="BL8" s="42">
        <v>0</v>
      </c>
      <c r="BM8" s="42">
        <v>0</v>
      </c>
      <c r="BN8" s="42">
        <v>0</v>
      </c>
      <c r="BO8" s="43">
        <f t="shared" si="8"/>
        <v>0</v>
      </c>
      <c r="BP8" s="42">
        <v>0</v>
      </c>
      <c r="BQ8" s="42">
        <v>0</v>
      </c>
      <c r="BR8" s="42">
        <v>0</v>
      </c>
      <c r="BS8" s="43">
        <f t="shared" si="9"/>
        <v>0</v>
      </c>
      <c r="BT8" s="38">
        <v>0</v>
      </c>
      <c r="BU8" s="38">
        <v>0</v>
      </c>
      <c r="BV8" s="38">
        <v>0</v>
      </c>
      <c r="BW8" s="38">
        <v>0</v>
      </c>
      <c r="BX8" s="4">
        <f t="shared" si="10"/>
        <v>0</v>
      </c>
      <c r="BY8" s="38">
        <v>0</v>
      </c>
      <c r="BZ8" s="38">
        <v>0</v>
      </c>
      <c r="CA8" s="38">
        <v>0</v>
      </c>
      <c r="CB8" s="4">
        <f t="shared" si="11"/>
        <v>0</v>
      </c>
      <c r="CC8" s="4">
        <f t="shared" si="12"/>
        <v>0</v>
      </c>
      <c r="CD8" s="74">
        <f t="shared" si="13"/>
        <v>0</v>
      </c>
      <c r="CE8" s="76">
        <f t="shared" si="14"/>
        <v>0</v>
      </c>
      <c r="CF8" s="76">
        <f t="shared" si="15"/>
        <v>0</v>
      </c>
      <c r="CG8" s="76">
        <f t="shared" si="16"/>
        <v>0</v>
      </c>
      <c r="CH8" s="76">
        <f t="shared" si="17"/>
        <v>0</v>
      </c>
      <c r="CI8" s="37">
        <f t="shared" si="18"/>
        <v>0</v>
      </c>
      <c r="CJ8" s="59" t="str">
        <f t="shared" si="36"/>
        <v>-</v>
      </c>
      <c r="CK8" s="59" t="str">
        <f t="shared" si="37"/>
        <v>-</v>
      </c>
      <c r="CL8" s="141" t="str">
        <f t="shared" si="38"/>
        <v>-</v>
      </c>
      <c r="CM8" s="141" t="str">
        <f t="shared" si="39"/>
        <v>-</v>
      </c>
      <c r="CN8" s="141" t="str">
        <f t="shared" si="40"/>
        <v>-</v>
      </c>
      <c r="CO8" s="141" t="str">
        <f t="shared" si="41"/>
        <v>-</v>
      </c>
      <c r="CP8" s="141" t="str">
        <f t="shared" si="42"/>
        <v>-</v>
      </c>
      <c r="CQ8" s="141" t="str">
        <f t="shared" si="43"/>
        <v>-</v>
      </c>
      <c r="CR8" s="142" t="str">
        <f t="shared" si="44"/>
        <v>-</v>
      </c>
      <c r="CS8" s="76">
        <f t="shared" si="45"/>
        <v>0</v>
      </c>
      <c r="CT8" s="80">
        <f t="shared" si="19"/>
        <v>0</v>
      </c>
      <c r="CU8" s="80">
        <f t="shared" si="20"/>
        <v>0</v>
      </c>
      <c r="CV8" s="80">
        <f t="shared" si="21"/>
        <v>0</v>
      </c>
      <c r="CW8" s="80">
        <f t="shared" si="22"/>
        <v>0</v>
      </c>
      <c r="CX8" s="80">
        <f t="shared" si="23"/>
        <v>0</v>
      </c>
      <c r="CY8" s="80">
        <f t="shared" si="24"/>
        <v>0</v>
      </c>
      <c r="CZ8" s="80">
        <f t="shared" si="25"/>
        <v>0</v>
      </c>
      <c r="DA8" s="80">
        <f t="shared" si="26"/>
        <v>0</v>
      </c>
      <c r="DB8" s="80">
        <f t="shared" si="27"/>
        <v>0</v>
      </c>
      <c r="DC8" s="80">
        <f t="shared" si="28"/>
        <v>0</v>
      </c>
      <c r="DD8" s="80">
        <f t="shared" si="29"/>
        <v>0</v>
      </c>
      <c r="DE8" s="80">
        <f t="shared" si="30"/>
        <v>0</v>
      </c>
      <c r="DF8" s="80" t="e">
        <f t="shared" si="31"/>
        <v>#DIV/0!</v>
      </c>
      <c r="DG8" s="80" t="e">
        <f t="shared" si="32"/>
        <v>#DIV/0!</v>
      </c>
      <c r="DH8" s="80" t="e">
        <f t="shared" si="33"/>
        <v>#DIV/0!</v>
      </c>
      <c r="DI8" s="81" t="e">
        <f t="shared" si="34"/>
        <v>#DIV/0!</v>
      </c>
      <c r="DJ8" s="76" t="e">
        <f t="shared" si="35"/>
        <v>#DIV/0!</v>
      </c>
      <c r="DK8" s="147">
        <f t="shared" si="46"/>
        <v>0</v>
      </c>
      <c r="DL8" s="67"/>
      <c r="DM8" s="68"/>
    </row>
    <row r="9" spans="1:117" ht="12.75">
      <c r="A9" s="52" t="s">
        <v>4</v>
      </c>
      <c r="B9" s="43"/>
      <c r="C9" s="4"/>
      <c r="D9" s="69"/>
      <c r="E9" s="69"/>
      <c r="F9" s="8">
        <v>3</v>
      </c>
      <c r="G9" s="13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f t="shared" si="0"/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f t="shared" si="1"/>
        <v>0</v>
      </c>
      <c r="X9" s="43">
        <v>0</v>
      </c>
      <c r="Y9" s="43">
        <f t="shared" si="2"/>
        <v>0</v>
      </c>
      <c r="Z9" s="43">
        <v>0</v>
      </c>
      <c r="AA9" s="43">
        <v>0</v>
      </c>
      <c r="AB9" s="43">
        <v>0</v>
      </c>
      <c r="AC9" s="43">
        <v>0</v>
      </c>
      <c r="AD9" s="43">
        <v>0</v>
      </c>
      <c r="AE9" s="43">
        <f t="shared" si="3"/>
        <v>0</v>
      </c>
      <c r="AF9" s="43">
        <v>0</v>
      </c>
      <c r="AG9" s="43">
        <v>0</v>
      </c>
      <c r="AH9" s="43">
        <v>0</v>
      </c>
      <c r="AI9" s="43">
        <v>0</v>
      </c>
      <c r="AJ9" s="43">
        <v>0</v>
      </c>
      <c r="AK9" s="43">
        <v>0</v>
      </c>
      <c r="AL9" s="43">
        <v>0</v>
      </c>
      <c r="AM9" s="43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f t="shared" si="4"/>
        <v>0</v>
      </c>
      <c r="AT9" s="4">
        <v>0</v>
      </c>
      <c r="AU9" s="4">
        <f t="shared" si="5"/>
        <v>0</v>
      </c>
      <c r="AV9" s="4">
        <v>0</v>
      </c>
      <c r="AW9" s="4">
        <v>0</v>
      </c>
      <c r="AX9" s="4">
        <f t="shared" si="6"/>
        <v>0</v>
      </c>
      <c r="AY9" s="43">
        <v>0</v>
      </c>
      <c r="AZ9" s="43">
        <v>0</v>
      </c>
      <c r="BA9" s="43">
        <v>0</v>
      </c>
      <c r="BB9" s="43">
        <v>0</v>
      </c>
      <c r="BC9" s="43">
        <v>0</v>
      </c>
      <c r="BD9" s="43">
        <v>0</v>
      </c>
      <c r="BE9" s="43">
        <v>0</v>
      </c>
      <c r="BF9" s="43">
        <f t="shared" si="7"/>
        <v>0</v>
      </c>
      <c r="BG9" s="43">
        <v>0</v>
      </c>
      <c r="BH9" s="43">
        <v>0</v>
      </c>
      <c r="BI9" s="43">
        <v>0</v>
      </c>
      <c r="BJ9" s="43">
        <v>0</v>
      </c>
      <c r="BK9" s="43">
        <v>0</v>
      </c>
      <c r="BL9" s="43">
        <v>0</v>
      </c>
      <c r="BM9" s="43">
        <v>0</v>
      </c>
      <c r="BN9" s="43">
        <v>0</v>
      </c>
      <c r="BO9" s="43">
        <f t="shared" si="8"/>
        <v>0</v>
      </c>
      <c r="BP9" s="43">
        <v>0</v>
      </c>
      <c r="BQ9" s="43">
        <v>0</v>
      </c>
      <c r="BR9" s="43">
        <v>0</v>
      </c>
      <c r="BS9" s="43">
        <f t="shared" si="9"/>
        <v>0</v>
      </c>
      <c r="BT9" s="4">
        <v>0</v>
      </c>
      <c r="BU9" s="4">
        <v>0</v>
      </c>
      <c r="BV9" s="4">
        <v>0</v>
      </c>
      <c r="BW9" s="4">
        <v>0</v>
      </c>
      <c r="BX9" s="4">
        <f t="shared" si="10"/>
        <v>0</v>
      </c>
      <c r="BY9" s="4">
        <v>0</v>
      </c>
      <c r="BZ9" s="4">
        <v>0</v>
      </c>
      <c r="CA9" s="4">
        <v>0</v>
      </c>
      <c r="CB9" s="4">
        <f t="shared" si="11"/>
        <v>0</v>
      </c>
      <c r="CC9" s="4">
        <f t="shared" si="12"/>
        <v>0</v>
      </c>
      <c r="CD9" s="74">
        <f t="shared" si="13"/>
        <v>0</v>
      </c>
      <c r="CE9" s="76">
        <f t="shared" si="14"/>
        <v>0</v>
      </c>
      <c r="CF9" s="76">
        <f t="shared" si="15"/>
        <v>0</v>
      </c>
      <c r="CG9" s="76">
        <f t="shared" si="16"/>
        <v>0</v>
      </c>
      <c r="CH9" s="76">
        <f t="shared" si="17"/>
        <v>0</v>
      </c>
      <c r="CI9" s="37">
        <f t="shared" si="18"/>
        <v>0</v>
      </c>
      <c r="CJ9" s="59" t="str">
        <f t="shared" si="36"/>
        <v>-</v>
      </c>
      <c r="CK9" s="59" t="str">
        <f t="shared" si="37"/>
        <v>-</v>
      </c>
      <c r="CL9" s="141" t="str">
        <f t="shared" si="38"/>
        <v>-</v>
      </c>
      <c r="CM9" s="141" t="str">
        <f t="shared" si="39"/>
        <v>-</v>
      </c>
      <c r="CN9" s="141" t="str">
        <f t="shared" si="40"/>
        <v>-</v>
      </c>
      <c r="CO9" s="141" t="str">
        <f t="shared" si="41"/>
        <v>-</v>
      </c>
      <c r="CP9" s="141" t="str">
        <f t="shared" si="42"/>
        <v>-</v>
      </c>
      <c r="CQ9" s="141" t="str">
        <f t="shared" si="43"/>
        <v>-</v>
      </c>
      <c r="CR9" s="142" t="str">
        <f t="shared" si="44"/>
        <v>-</v>
      </c>
      <c r="CS9" s="76">
        <f t="shared" si="45"/>
        <v>0</v>
      </c>
      <c r="CT9" s="80">
        <f t="shared" si="19"/>
        <v>0</v>
      </c>
      <c r="CU9" s="80">
        <f t="shared" si="20"/>
        <v>0</v>
      </c>
      <c r="CV9" s="80">
        <f t="shared" si="21"/>
        <v>0</v>
      </c>
      <c r="CW9" s="80">
        <f t="shared" si="22"/>
        <v>0</v>
      </c>
      <c r="CX9" s="80">
        <f t="shared" si="23"/>
        <v>0</v>
      </c>
      <c r="CY9" s="80">
        <f t="shared" si="24"/>
        <v>0</v>
      </c>
      <c r="CZ9" s="80">
        <f t="shared" si="25"/>
        <v>0</v>
      </c>
      <c r="DA9" s="80">
        <f t="shared" si="26"/>
        <v>0</v>
      </c>
      <c r="DB9" s="80">
        <f t="shared" si="27"/>
        <v>0</v>
      </c>
      <c r="DC9" s="80">
        <f t="shared" si="28"/>
        <v>0</v>
      </c>
      <c r="DD9" s="80">
        <f t="shared" si="29"/>
        <v>0</v>
      </c>
      <c r="DE9" s="80">
        <f t="shared" si="30"/>
        <v>0</v>
      </c>
      <c r="DF9" s="80" t="e">
        <f t="shared" si="31"/>
        <v>#DIV/0!</v>
      </c>
      <c r="DG9" s="80" t="e">
        <f t="shared" si="32"/>
        <v>#DIV/0!</v>
      </c>
      <c r="DH9" s="80" t="e">
        <f t="shared" si="33"/>
        <v>#DIV/0!</v>
      </c>
      <c r="DI9" s="81" t="e">
        <f t="shared" si="34"/>
        <v>#DIV/0!</v>
      </c>
      <c r="DJ9" s="76" t="e">
        <f t="shared" si="35"/>
        <v>#DIV/0!</v>
      </c>
      <c r="DK9" s="147">
        <f t="shared" si="46"/>
        <v>0</v>
      </c>
      <c r="DL9" s="64"/>
      <c r="DM9" s="65"/>
    </row>
    <row r="10" spans="1:117" ht="12.75">
      <c r="A10" s="51" t="s">
        <v>5</v>
      </c>
      <c r="B10" s="42"/>
      <c r="C10" s="38"/>
      <c r="D10" s="66"/>
      <c r="E10" s="66"/>
      <c r="F10" s="128">
        <v>8</v>
      </c>
      <c r="G10" s="134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3">
        <f t="shared" si="0"/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3">
        <f t="shared" si="1"/>
        <v>0</v>
      </c>
      <c r="X10" s="42">
        <v>0</v>
      </c>
      <c r="Y10" s="43">
        <f t="shared" si="2"/>
        <v>0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3">
        <f t="shared" si="3"/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38">
        <v>0</v>
      </c>
      <c r="AO10" s="38">
        <v>0</v>
      </c>
      <c r="AP10" s="38">
        <v>0</v>
      </c>
      <c r="AQ10" s="38">
        <v>0</v>
      </c>
      <c r="AR10" s="38">
        <v>0</v>
      </c>
      <c r="AS10" s="4">
        <f t="shared" si="4"/>
        <v>0</v>
      </c>
      <c r="AT10" s="38">
        <v>0</v>
      </c>
      <c r="AU10" s="4">
        <f t="shared" si="5"/>
        <v>0</v>
      </c>
      <c r="AV10" s="38">
        <v>0</v>
      </c>
      <c r="AW10" s="38">
        <v>0</v>
      </c>
      <c r="AX10" s="4">
        <f t="shared" si="6"/>
        <v>0</v>
      </c>
      <c r="AY10" s="42">
        <v>0</v>
      </c>
      <c r="AZ10" s="42">
        <v>0</v>
      </c>
      <c r="BA10" s="42">
        <v>0</v>
      </c>
      <c r="BB10" s="42">
        <v>0</v>
      </c>
      <c r="BC10" s="42">
        <v>0</v>
      </c>
      <c r="BD10" s="42">
        <v>0</v>
      </c>
      <c r="BE10" s="42">
        <v>0</v>
      </c>
      <c r="BF10" s="43">
        <f t="shared" si="7"/>
        <v>0</v>
      </c>
      <c r="BG10" s="42">
        <v>0</v>
      </c>
      <c r="BH10" s="42">
        <v>0</v>
      </c>
      <c r="BI10" s="42">
        <v>0</v>
      </c>
      <c r="BJ10" s="42">
        <v>0</v>
      </c>
      <c r="BK10" s="42">
        <v>0</v>
      </c>
      <c r="BL10" s="42">
        <v>0</v>
      </c>
      <c r="BM10" s="42">
        <v>0</v>
      </c>
      <c r="BN10" s="42">
        <v>0</v>
      </c>
      <c r="BO10" s="43">
        <f t="shared" si="8"/>
        <v>0</v>
      </c>
      <c r="BP10" s="42">
        <v>0</v>
      </c>
      <c r="BQ10" s="42">
        <v>0</v>
      </c>
      <c r="BR10" s="42">
        <v>0</v>
      </c>
      <c r="BS10" s="43">
        <f t="shared" si="9"/>
        <v>0</v>
      </c>
      <c r="BT10" s="38">
        <v>0</v>
      </c>
      <c r="BU10" s="38">
        <v>0</v>
      </c>
      <c r="BV10" s="38">
        <v>0</v>
      </c>
      <c r="BW10" s="38">
        <v>0</v>
      </c>
      <c r="BX10" s="4">
        <f t="shared" si="10"/>
        <v>0</v>
      </c>
      <c r="BY10" s="38">
        <v>0</v>
      </c>
      <c r="BZ10" s="38">
        <v>0</v>
      </c>
      <c r="CA10" s="38">
        <v>0</v>
      </c>
      <c r="CB10" s="4">
        <f t="shared" si="11"/>
        <v>0</v>
      </c>
      <c r="CC10" s="4">
        <f t="shared" si="12"/>
        <v>0</v>
      </c>
      <c r="CD10" s="74">
        <f t="shared" si="13"/>
        <v>0</v>
      </c>
      <c r="CE10" s="76">
        <f t="shared" si="14"/>
        <v>0</v>
      </c>
      <c r="CF10" s="76">
        <f t="shared" si="15"/>
        <v>0</v>
      </c>
      <c r="CG10" s="76">
        <f t="shared" si="16"/>
        <v>0</v>
      </c>
      <c r="CH10" s="76">
        <f t="shared" si="17"/>
        <v>0</v>
      </c>
      <c r="CI10" s="37">
        <f t="shared" si="18"/>
        <v>0</v>
      </c>
      <c r="CJ10" s="59" t="str">
        <f t="shared" si="36"/>
        <v>-</v>
      </c>
      <c r="CK10" s="59" t="str">
        <f t="shared" si="37"/>
        <v>-</v>
      </c>
      <c r="CL10" s="141" t="str">
        <f t="shared" si="38"/>
        <v>-</v>
      </c>
      <c r="CM10" s="141" t="str">
        <f t="shared" si="39"/>
        <v>-</v>
      </c>
      <c r="CN10" s="141" t="str">
        <f t="shared" si="40"/>
        <v>-</v>
      </c>
      <c r="CO10" s="141" t="str">
        <f t="shared" si="41"/>
        <v>-</v>
      </c>
      <c r="CP10" s="141" t="str">
        <f t="shared" si="42"/>
        <v>-</v>
      </c>
      <c r="CQ10" s="141" t="str">
        <f t="shared" si="43"/>
        <v>-</v>
      </c>
      <c r="CR10" s="142" t="str">
        <f t="shared" si="44"/>
        <v>-</v>
      </c>
      <c r="CS10" s="76">
        <f t="shared" si="45"/>
        <v>0</v>
      </c>
      <c r="CT10" s="80">
        <f t="shared" si="19"/>
        <v>0</v>
      </c>
      <c r="CU10" s="80">
        <f t="shared" si="20"/>
        <v>0</v>
      </c>
      <c r="CV10" s="80">
        <f t="shared" si="21"/>
        <v>0</v>
      </c>
      <c r="CW10" s="80">
        <f t="shared" si="22"/>
        <v>0</v>
      </c>
      <c r="CX10" s="80">
        <f t="shared" si="23"/>
        <v>0</v>
      </c>
      <c r="CY10" s="80">
        <f t="shared" si="24"/>
        <v>0</v>
      </c>
      <c r="CZ10" s="80">
        <f t="shared" si="25"/>
        <v>0</v>
      </c>
      <c r="DA10" s="80">
        <f t="shared" si="26"/>
        <v>0</v>
      </c>
      <c r="DB10" s="80">
        <f t="shared" si="27"/>
        <v>0</v>
      </c>
      <c r="DC10" s="80">
        <f t="shared" si="28"/>
        <v>0</v>
      </c>
      <c r="DD10" s="80">
        <f t="shared" si="29"/>
        <v>0</v>
      </c>
      <c r="DE10" s="80">
        <f t="shared" si="30"/>
        <v>0</v>
      </c>
      <c r="DF10" s="80" t="e">
        <f t="shared" si="31"/>
        <v>#DIV/0!</v>
      </c>
      <c r="DG10" s="80" t="e">
        <f t="shared" si="32"/>
        <v>#DIV/0!</v>
      </c>
      <c r="DH10" s="80" t="e">
        <f t="shared" si="33"/>
        <v>#DIV/0!</v>
      </c>
      <c r="DI10" s="81" t="e">
        <f t="shared" si="34"/>
        <v>#DIV/0!</v>
      </c>
      <c r="DJ10" s="76" t="e">
        <f t="shared" si="35"/>
        <v>#DIV/0!</v>
      </c>
      <c r="DK10" s="147">
        <f t="shared" si="46"/>
        <v>0</v>
      </c>
      <c r="DL10" s="67"/>
      <c r="DM10" s="68"/>
    </row>
    <row r="11" spans="1:117" ht="12.75">
      <c r="A11" s="52" t="s">
        <v>6</v>
      </c>
      <c r="B11" s="43"/>
      <c r="C11" s="4"/>
      <c r="D11" s="69"/>
      <c r="E11" s="69"/>
      <c r="F11" s="8">
        <v>4</v>
      </c>
      <c r="G11" s="13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f t="shared" si="0"/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f t="shared" si="1"/>
        <v>0</v>
      </c>
      <c r="X11" s="43">
        <v>0</v>
      </c>
      <c r="Y11" s="43">
        <f t="shared" si="2"/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0</v>
      </c>
      <c r="AE11" s="43">
        <f t="shared" si="3"/>
        <v>0</v>
      </c>
      <c r="AF11" s="43">
        <v>0</v>
      </c>
      <c r="AG11" s="43">
        <v>0</v>
      </c>
      <c r="AH11" s="43">
        <v>0</v>
      </c>
      <c r="AI11" s="43">
        <v>0</v>
      </c>
      <c r="AJ11" s="43">
        <v>0</v>
      </c>
      <c r="AK11" s="43">
        <v>0</v>
      </c>
      <c r="AL11" s="43">
        <v>0</v>
      </c>
      <c r="AM11" s="43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f t="shared" si="4"/>
        <v>0</v>
      </c>
      <c r="AT11" s="4">
        <v>0</v>
      </c>
      <c r="AU11" s="4">
        <f t="shared" si="5"/>
        <v>0</v>
      </c>
      <c r="AV11" s="4">
        <v>0</v>
      </c>
      <c r="AW11" s="4">
        <v>0</v>
      </c>
      <c r="AX11" s="4">
        <f t="shared" si="6"/>
        <v>0</v>
      </c>
      <c r="AY11" s="43">
        <v>0</v>
      </c>
      <c r="AZ11" s="43">
        <v>0</v>
      </c>
      <c r="BA11" s="43">
        <v>0</v>
      </c>
      <c r="BB11" s="43">
        <v>0</v>
      </c>
      <c r="BC11" s="43">
        <v>0</v>
      </c>
      <c r="BD11" s="43">
        <v>0</v>
      </c>
      <c r="BE11" s="43">
        <v>0</v>
      </c>
      <c r="BF11" s="43">
        <f t="shared" si="7"/>
        <v>0</v>
      </c>
      <c r="BG11" s="43">
        <v>0</v>
      </c>
      <c r="BH11" s="43">
        <v>0</v>
      </c>
      <c r="BI11" s="43">
        <v>0</v>
      </c>
      <c r="BJ11" s="43">
        <v>0</v>
      </c>
      <c r="BK11" s="43">
        <v>0</v>
      </c>
      <c r="BL11" s="43">
        <v>0</v>
      </c>
      <c r="BM11" s="43">
        <v>0</v>
      </c>
      <c r="BN11" s="43">
        <v>0</v>
      </c>
      <c r="BO11" s="43">
        <f t="shared" si="8"/>
        <v>0</v>
      </c>
      <c r="BP11" s="43">
        <v>0</v>
      </c>
      <c r="BQ11" s="43">
        <v>0</v>
      </c>
      <c r="BR11" s="43">
        <v>0</v>
      </c>
      <c r="BS11" s="43">
        <f t="shared" si="9"/>
        <v>0</v>
      </c>
      <c r="BT11" s="4">
        <v>0</v>
      </c>
      <c r="BU11" s="4">
        <v>0</v>
      </c>
      <c r="BV11" s="4">
        <v>0</v>
      </c>
      <c r="BW11" s="4">
        <v>0</v>
      </c>
      <c r="BX11" s="4">
        <f t="shared" si="10"/>
        <v>0</v>
      </c>
      <c r="BY11" s="4">
        <v>0</v>
      </c>
      <c r="BZ11" s="4">
        <v>0</v>
      </c>
      <c r="CA11" s="4">
        <v>0</v>
      </c>
      <c r="CB11" s="4">
        <f t="shared" si="11"/>
        <v>0</v>
      </c>
      <c r="CC11" s="4">
        <f t="shared" si="12"/>
        <v>0</v>
      </c>
      <c r="CD11" s="74">
        <f t="shared" si="13"/>
        <v>0</v>
      </c>
      <c r="CE11" s="76">
        <f t="shared" si="14"/>
        <v>0</v>
      </c>
      <c r="CF11" s="76">
        <f t="shared" si="15"/>
        <v>0</v>
      </c>
      <c r="CG11" s="76">
        <f>AU11-AM11-AT11-AS11</f>
        <v>0</v>
      </c>
      <c r="CH11" s="76">
        <f t="shared" si="17"/>
        <v>0</v>
      </c>
      <c r="CI11" s="37">
        <f t="shared" si="18"/>
        <v>0</v>
      </c>
      <c r="CJ11" s="59" t="str">
        <f t="shared" si="36"/>
        <v>-</v>
      </c>
      <c r="CK11" s="59" t="str">
        <f t="shared" si="37"/>
        <v>-</v>
      </c>
      <c r="CL11" s="141" t="str">
        <f t="shared" si="38"/>
        <v>-</v>
      </c>
      <c r="CM11" s="141" t="str">
        <f t="shared" si="39"/>
        <v>-</v>
      </c>
      <c r="CN11" s="141" t="str">
        <f t="shared" si="40"/>
        <v>-</v>
      </c>
      <c r="CO11" s="141" t="str">
        <f t="shared" si="41"/>
        <v>-</v>
      </c>
      <c r="CP11" s="141" t="str">
        <f t="shared" si="42"/>
        <v>-</v>
      </c>
      <c r="CQ11" s="141" t="str">
        <f t="shared" si="43"/>
        <v>-</v>
      </c>
      <c r="CR11" s="142" t="str">
        <f t="shared" si="44"/>
        <v>-</v>
      </c>
      <c r="CS11" s="76">
        <f t="shared" si="45"/>
        <v>0</v>
      </c>
      <c r="CT11" s="80">
        <f t="shared" si="19"/>
        <v>0</v>
      </c>
      <c r="CU11" s="80">
        <f t="shared" si="20"/>
        <v>0</v>
      </c>
      <c r="CV11" s="80">
        <f t="shared" si="21"/>
        <v>0</v>
      </c>
      <c r="CW11" s="80">
        <f t="shared" si="22"/>
        <v>0</v>
      </c>
      <c r="CX11" s="80">
        <f t="shared" si="23"/>
        <v>0</v>
      </c>
      <c r="CY11" s="80">
        <f t="shared" si="24"/>
        <v>0</v>
      </c>
      <c r="CZ11" s="80">
        <f t="shared" si="25"/>
        <v>0</v>
      </c>
      <c r="DA11" s="80">
        <f t="shared" si="26"/>
        <v>0</v>
      </c>
      <c r="DB11" s="80">
        <f t="shared" si="27"/>
        <v>0</v>
      </c>
      <c r="DC11" s="80">
        <f t="shared" si="28"/>
        <v>0</v>
      </c>
      <c r="DD11" s="80">
        <f t="shared" si="29"/>
        <v>0</v>
      </c>
      <c r="DE11" s="80">
        <f t="shared" si="30"/>
        <v>0</v>
      </c>
      <c r="DF11" s="80" t="e">
        <f t="shared" si="31"/>
        <v>#DIV/0!</v>
      </c>
      <c r="DG11" s="80" t="e">
        <f t="shared" si="32"/>
        <v>#DIV/0!</v>
      </c>
      <c r="DH11" s="80" t="e">
        <f t="shared" si="33"/>
        <v>#DIV/0!</v>
      </c>
      <c r="DI11" s="81" t="e">
        <f t="shared" si="34"/>
        <v>#DIV/0!</v>
      </c>
      <c r="DJ11" s="76" t="e">
        <f t="shared" si="35"/>
        <v>#DIV/0!</v>
      </c>
      <c r="DK11" s="147">
        <f t="shared" si="46"/>
        <v>0</v>
      </c>
      <c r="DL11" s="64"/>
      <c r="DM11" s="65"/>
    </row>
    <row r="12" spans="1:117" ht="12.75">
      <c r="A12" s="51" t="s">
        <v>7</v>
      </c>
      <c r="B12" s="42"/>
      <c r="C12" s="38"/>
      <c r="D12" s="66"/>
      <c r="E12" s="66"/>
      <c r="F12" s="128">
        <v>8</v>
      </c>
      <c r="G12" s="134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3">
        <f t="shared" si="0"/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3">
        <f t="shared" si="1"/>
        <v>0</v>
      </c>
      <c r="X12" s="42">
        <v>0</v>
      </c>
      <c r="Y12" s="43">
        <f t="shared" si="2"/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3">
        <f t="shared" si="3"/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38">
        <v>0</v>
      </c>
      <c r="AO12" s="38">
        <v>0</v>
      </c>
      <c r="AP12" s="38">
        <v>0</v>
      </c>
      <c r="AQ12" s="38">
        <v>0</v>
      </c>
      <c r="AR12" s="38">
        <v>0</v>
      </c>
      <c r="AS12" s="4">
        <f t="shared" si="4"/>
        <v>0</v>
      </c>
      <c r="AT12" s="38">
        <v>0</v>
      </c>
      <c r="AU12" s="4">
        <f t="shared" si="5"/>
        <v>0</v>
      </c>
      <c r="AV12" s="38">
        <v>0</v>
      </c>
      <c r="AW12" s="38">
        <v>0</v>
      </c>
      <c r="AX12" s="4">
        <f t="shared" si="6"/>
        <v>0</v>
      </c>
      <c r="AY12" s="42">
        <v>0</v>
      </c>
      <c r="AZ12" s="42">
        <v>0</v>
      </c>
      <c r="BA12" s="42">
        <v>0</v>
      </c>
      <c r="BB12" s="42">
        <v>0</v>
      </c>
      <c r="BC12" s="42">
        <v>0</v>
      </c>
      <c r="BD12" s="42">
        <v>0</v>
      </c>
      <c r="BE12" s="42">
        <v>0</v>
      </c>
      <c r="BF12" s="43">
        <f t="shared" si="7"/>
        <v>0</v>
      </c>
      <c r="BG12" s="42">
        <v>0</v>
      </c>
      <c r="BH12" s="42">
        <v>0</v>
      </c>
      <c r="BI12" s="42">
        <v>0</v>
      </c>
      <c r="BJ12" s="42">
        <v>0</v>
      </c>
      <c r="BK12" s="42">
        <v>0</v>
      </c>
      <c r="BL12" s="42">
        <v>0</v>
      </c>
      <c r="BM12" s="42">
        <v>0</v>
      </c>
      <c r="BN12" s="42">
        <v>0</v>
      </c>
      <c r="BO12" s="43">
        <f t="shared" si="8"/>
        <v>0</v>
      </c>
      <c r="BP12" s="42">
        <v>0</v>
      </c>
      <c r="BQ12" s="42">
        <v>0</v>
      </c>
      <c r="BR12" s="42">
        <v>0</v>
      </c>
      <c r="BS12" s="43">
        <f t="shared" si="9"/>
        <v>0</v>
      </c>
      <c r="BT12" s="38">
        <v>0</v>
      </c>
      <c r="BU12" s="38">
        <v>0</v>
      </c>
      <c r="BV12" s="38">
        <v>0</v>
      </c>
      <c r="BW12" s="38">
        <v>0</v>
      </c>
      <c r="BX12" s="4">
        <f t="shared" si="10"/>
        <v>0</v>
      </c>
      <c r="BY12" s="38">
        <v>0</v>
      </c>
      <c r="BZ12" s="38">
        <v>0</v>
      </c>
      <c r="CA12" s="38">
        <v>0</v>
      </c>
      <c r="CB12" s="4">
        <f t="shared" si="11"/>
        <v>0</v>
      </c>
      <c r="CC12" s="4">
        <f t="shared" si="12"/>
        <v>0</v>
      </c>
      <c r="CD12" s="74">
        <f t="shared" si="13"/>
        <v>0</v>
      </c>
      <c r="CE12" s="76">
        <f t="shared" si="14"/>
        <v>0</v>
      </c>
      <c r="CF12" s="76">
        <f t="shared" si="15"/>
        <v>0</v>
      </c>
      <c r="CG12" s="76">
        <f aca="true" t="shared" si="47" ref="CG12:CG31">AU12-AM12-AT12-AS12</f>
        <v>0</v>
      </c>
      <c r="CH12" s="76">
        <f t="shared" si="17"/>
        <v>0</v>
      </c>
      <c r="CI12" s="37">
        <f t="shared" si="18"/>
        <v>0</v>
      </c>
      <c r="CJ12" s="59" t="str">
        <f t="shared" si="36"/>
        <v>-</v>
      </c>
      <c r="CK12" s="59" t="str">
        <f t="shared" si="37"/>
        <v>-</v>
      </c>
      <c r="CL12" s="141" t="str">
        <f t="shared" si="38"/>
        <v>-</v>
      </c>
      <c r="CM12" s="141" t="str">
        <f t="shared" si="39"/>
        <v>-</v>
      </c>
      <c r="CN12" s="141" t="str">
        <f t="shared" si="40"/>
        <v>-</v>
      </c>
      <c r="CO12" s="141" t="str">
        <f t="shared" si="41"/>
        <v>-</v>
      </c>
      <c r="CP12" s="141" t="str">
        <f t="shared" si="42"/>
        <v>-</v>
      </c>
      <c r="CQ12" s="141" t="str">
        <f t="shared" si="43"/>
        <v>-</v>
      </c>
      <c r="CR12" s="142" t="str">
        <f t="shared" si="44"/>
        <v>-</v>
      </c>
      <c r="CS12" s="76">
        <f t="shared" si="45"/>
        <v>0</v>
      </c>
      <c r="CT12" s="80">
        <f t="shared" si="19"/>
        <v>0</v>
      </c>
      <c r="CU12" s="80">
        <f t="shared" si="20"/>
        <v>0</v>
      </c>
      <c r="CV12" s="80">
        <f t="shared" si="21"/>
        <v>0</v>
      </c>
      <c r="CW12" s="80">
        <f t="shared" si="22"/>
        <v>0</v>
      </c>
      <c r="CX12" s="80">
        <f t="shared" si="23"/>
        <v>0</v>
      </c>
      <c r="CY12" s="80">
        <f t="shared" si="24"/>
        <v>0</v>
      </c>
      <c r="CZ12" s="80">
        <f t="shared" si="25"/>
        <v>0</v>
      </c>
      <c r="DA12" s="80">
        <f t="shared" si="26"/>
        <v>0</v>
      </c>
      <c r="DB12" s="80">
        <f t="shared" si="27"/>
        <v>0</v>
      </c>
      <c r="DC12" s="80">
        <f t="shared" si="28"/>
        <v>0</v>
      </c>
      <c r="DD12" s="80">
        <f t="shared" si="29"/>
        <v>0</v>
      </c>
      <c r="DE12" s="80">
        <f t="shared" si="30"/>
        <v>0</v>
      </c>
      <c r="DF12" s="80" t="e">
        <f t="shared" si="31"/>
        <v>#DIV/0!</v>
      </c>
      <c r="DG12" s="80" t="e">
        <f t="shared" si="32"/>
        <v>#DIV/0!</v>
      </c>
      <c r="DH12" s="80" t="e">
        <f t="shared" si="33"/>
        <v>#DIV/0!</v>
      </c>
      <c r="DI12" s="81" t="e">
        <f t="shared" si="34"/>
        <v>#DIV/0!</v>
      </c>
      <c r="DJ12" s="76" t="e">
        <f t="shared" si="35"/>
        <v>#DIV/0!</v>
      </c>
      <c r="DK12" s="147">
        <f t="shared" si="46"/>
        <v>0</v>
      </c>
      <c r="DL12" s="67"/>
      <c r="DM12" s="68"/>
    </row>
    <row r="13" spans="1:117" ht="12.75">
      <c r="A13" s="52" t="s">
        <v>8</v>
      </c>
      <c r="B13" s="43"/>
      <c r="C13" s="4"/>
      <c r="D13" s="69"/>
      <c r="E13" s="69"/>
      <c r="F13" s="8"/>
      <c r="G13" s="13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f t="shared" si="0"/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f t="shared" si="1"/>
        <v>0</v>
      </c>
      <c r="X13" s="43">
        <v>0</v>
      </c>
      <c r="Y13" s="43">
        <f t="shared" si="2"/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f t="shared" si="3"/>
        <v>0</v>
      </c>
      <c r="AF13" s="43">
        <v>0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43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f t="shared" si="4"/>
        <v>0</v>
      </c>
      <c r="AT13" s="4">
        <v>0</v>
      </c>
      <c r="AU13" s="4">
        <f t="shared" si="5"/>
        <v>0</v>
      </c>
      <c r="AV13" s="4">
        <v>0</v>
      </c>
      <c r="AW13" s="4">
        <v>0</v>
      </c>
      <c r="AX13" s="4">
        <f t="shared" si="6"/>
        <v>0</v>
      </c>
      <c r="AY13" s="43">
        <v>0</v>
      </c>
      <c r="AZ13" s="43">
        <v>0</v>
      </c>
      <c r="BA13" s="43">
        <v>0</v>
      </c>
      <c r="BB13" s="43">
        <v>0</v>
      </c>
      <c r="BC13" s="43">
        <v>0</v>
      </c>
      <c r="BD13" s="43">
        <v>0</v>
      </c>
      <c r="BE13" s="43">
        <v>0</v>
      </c>
      <c r="BF13" s="43">
        <f t="shared" si="7"/>
        <v>0</v>
      </c>
      <c r="BG13" s="43">
        <v>0</v>
      </c>
      <c r="BH13" s="43">
        <v>0</v>
      </c>
      <c r="BI13" s="43">
        <v>0</v>
      </c>
      <c r="BJ13" s="43">
        <v>0</v>
      </c>
      <c r="BK13" s="43">
        <v>0</v>
      </c>
      <c r="BL13" s="43">
        <v>0</v>
      </c>
      <c r="BM13" s="43">
        <v>0</v>
      </c>
      <c r="BN13" s="43">
        <v>0</v>
      </c>
      <c r="BO13" s="43">
        <f t="shared" si="8"/>
        <v>0</v>
      </c>
      <c r="BP13" s="43">
        <v>0</v>
      </c>
      <c r="BQ13" s="43">
        <v>0</v>
      </c>
      <c r="BR13" s="43">
        <v>0</v>
      </c>
      <c r="BS13" s="43">
        <f t="shared" si="9"/>
        <v>0</v>
      </c>
      <c r="BT13" s="4">
        <v>0</v>
      </c>
      <c r="BU13" s="4">
        <v>0</v>
      </c>
      <c r="BV13" s="4">
        <v>0</v>
      </c>
      <c r="BW13" s="4">
        <v>0</v>
      </c>
      <c r="BX13" s="4">
        <f t="shared" si="10"/>
        <v>0</v>
      </c>
      <c r="BY13" s="4">
        <v>0</v>
      </c>
      <c r="BZ13" s="4">
        <v>0</v>
      </c>
      <c r="CA13" s="4">
        <v>0</v>
      </c>
      <c r="CB13" s="4">
        <f t="shared" si="11"/>
        <v>0</v>
      </c>
      <c r="CC13" s="4">
        <f t="shared" si="12"/>
        <v>0</v>
      </c>
      <c r="CD13" s="74">
        <f t="shared" si="13"/>
        <v>0</v>
      </c>
      <c r="CE13" s="76">
        <f t="shared" si="14"/>
        <v>0</v>
      </c>
      <c r="CF13" s="76">
        <f t="shared" si="15"/>
        <v>0</v>
      </c>
      <c r="CG13" s="76">
        <f t="shared" si="47"/>
        <v>0</v>
      </c>
      <c r="CH13" s="76">
        <f t="shared" si="17"/>
        <v>0</v>
      </c>
      <c r="CI13" s="37">
        <f t="shared" si="18"/>
        <v>0</v>
      </c>
      <c r="CJ13" s="59" t="str">
        <f t="shared" si="36"/>
        <v>-</v>
      </c>
      <c r="CK13" s="59" t="str">
        <f t="shared" si="37"/>
        <v>-</v>
      </c>
      <c r="CL13" s="141" t="str">
        <f t="shared" si="38"/>
        <v>-</v>
      </c>
      <c r="CM13" s="141" t="str">
        <f t="shared" si="39"/>
        <v>-</v>
      </c>
      <c r="CN13" s="141" t="str">
        <f t="shared" si="40"/>
        <v>-</v>
      </c>
      <c r="CO13" s="141" t="str">
        <f t="shared" si="41"/>
        <v>-</v>
      </c>
      <c r="CP13" s="141" t="str">
        <f t="shared" si="42"/>
        <v>-</v>
      </c>
      <c r="CQ13" s="141" t="str">
        <f t="shared" si="43"/>
        <v>-</v>
      </c>
      <c r="CR13" s="142" t="str">
        <f t="shared" si="44"/>
        <v>-</v>
      </c>
      <c r="CS13" s="76">
        <f t="shared" si="45"/>
        <v>0</v>
      </c>
      <c r="CT13" s="80">
        <f t="shared" si="19"/>
        <v>0</v>
      </c>
      <c r="CU13" s="80">
        <f t="shared" si="20"/>
        <v>0</v>
      </c>
      <c r="CV13" s="80">
        <f t="shared" si="21"/>
        <v>0</v>
      </c>
      <c r="CW13" s="80">
        <f t="shared" si="22"/>
        <v>0</v>
      </c>
      <c r="CX13" s="80">
        <f t="shared" si="23"/>
        <v>0</v>
      </c>
      <c r="CY13" s="80">
        <f t="shared" si="24"/>
        <v>0</v>
      </c>
      <c r="CZ13" s="80">
        <f t="shared" si="25"/>
        <v>0</v>
      </c>
      <c r="DA13" s="80">
        <f t="shared" si="26"/>
        <v>0</v>
      </c>
      <c r="DB13" s="80">
        <f t="shared" si="27"/>
        <v>0</v>
      </c>
      <c r="DC13" s="80">
        <f t="shared" si="28"/>
        <v>0</v>
      </c>
      <c r="DD13" s="80">
        <f t="shared" si="29"/>
        <v>0</v>
      </c>
      <c r="DE13" s="80">
        <f t="shared" si="30"/>
        <v>0</v>
      </c>
      <c r="DF13" s="80" t="e">
        <f t="shared" si="31"/>
        <v>#DIV/0!</v>
      </c>
      <c r="DG13" s="80" t="e">
        <f t="shared" si="32"/>
        <v>#DIV/0!</v>
      </c>
      <c r="DH13" s="80" t="e">
        <f t="shared" si="33"/>
        <v>#DIV/0!</v>
      </c>
      <c r="DI13" s="81" t="e">
        <f t="shared" si="34"/>
        <v>#DIV/0!</v>
      </c>
      <c r="DJ13" s="76" t="e">
        <f t="shared" si="35"/>
        <v>#DIV/0!</v>
      </c>
      <c r="DK13" s="147">
        <f t="shared" si="46"/>
        <v>0</v>
      </c>
      <c r="DL13" s="64"/>
      <c r="DM13" s="65"/>
    </row>
    <row r="14" spans="1:117" ht="12.75">
      <c r="A14" s="51" t="s">
        <v>33</v>
      </c>
      <c r="B14" s="42"/>
      <c r="C14" s="38"/>
      <c r="D14" s="66"/>
      <c r="E14" s="66"/>
      <c r="F14" s="128">
        <v>8</v>
      </c>
      <c r="G14" s="134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3">
        <f t="shared" si="0"/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3">
        <f t="shared" si="1"/>
        <v>0</v>
      </c>
      <c r="X14" s="42">
        <v>0</v>
      </c>
      <c r="Y14" s="43">
        <f t="shared" si="2"/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3">
        <f t="shared" si="3"/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38">
        <v>0</v>
      </c>
      <c r="AO14" s="38">
        <v>0</v>
      </c>
      <c r="AP14" s="38">
        <v>0</v>
      </c>
      <c r="AQ14" s="38">
        <v>0</v>
      </c>
      <c r="AR14" s="38">
        <v>0</v>
      </c>
      <c r="AS14" s="4">
        <f t="shared" si="4"/>
        <v>0</v>
      </c>
      <c r="AT14" s="38">
        <v>0</v>
      </c>
      <c r="AU14" s="4">
        <f t="shared" si="5"/>
        <v>0</v>
      </c>
      <c r="AV14" s="38">
        <v>0</v>
      </c>
      <c r="AW14" s="38">
        <v>0</v>
      </c>
      <c r="AX14" s="4">
        <f t="shared" si="6"/>
        <v>0</v>
      </c>
      <c r="AY14" s="42">
        <v>0</v>
      </c>
      <c r="AZ14" s="42">
        <v>0</v>
      </c>
      <c r="BA14" s="42">
        <v>0</v>
      </c>
      <c r="BB14" s="42">
        <v>0</v>
      </c>
      <c r="BC14" s="42">
        <v>0</v>
      </c>
      <c r="BD14" s="42">
        <v>0</v>
      </c>
      <c r="BE14" s="42">
        <v>0</v>
      </c>
      <c r="BF14" s="43">
        <f t="shared" si="7"/>
        <v>0</v>
      </c>
      <c r="BG14" s="42">
        <v>0</v>
      </c>
      <c r="BH14" s="42">
        <v>0</v>
      </c>
      <c r="BI14" s="42">
        <v>0</v>
      </c>
      <c r="BJ14" s="42">
        <v>0</v>
      </c>
      <c r="BK14" s="42">
        <v>0</v>
      </c>
      <c r="BL14" s="42">
        <v>0</v>
      </c>
      <c r="BM14" s="42">
        <v>0</v>
      </c>
      <c r="BN14" s="42">
        <v>0</v>
      </c>
      <c r="BO14" s="43">
        <f t="shared" si="8"/>
        <v>0</v>
      </c>
      <c r="BP14" s="42">
        <v>0</v>
      </c>
      <c r="BQ14" s="42">
        <v>0</v>
      </c>
      <c r="BR14" s="42">
        <v>0</v>
      </c>
      <c r="BS14" s="43">
        <f t="shared" si="9"/>
        <v>0</v>
      </c>
      <c r="BT14" s="38">
        <v>0</v>
      </c>
      <c r="BU14" s="38">
        <v>0</v>
      </c>
      <c r="BV14" s="38">
        <v>0</v>
      </c>
      <c r="BW14" s="38">
        <v>0</v>
      </c>
      <c r="BX14" s="4">
        <f t="shared" si="10"/>
        <v>0</v>
      </c>
      <c r="BY14" s="38">
        <v>0</v>
      </c>
      <c r="BZ14" s="38">
        <v>0</v>
      </c>
      <c r="CA14" s="38">
        <v>0</v>
      </c>
      <c r="CB14" s="4">
        <f t="shared" si="11"/>
        <v>0</v>
      </c>
      <c r="CC14" s="4">
        <f t="shared" si="12"/>
        <v>0</v>
      </c>
      <c r="CD14" s="74">
        <f t="shared" si="13"/>
        <v>0</v>
      </c>
      <c r="CE14" s="76">
        <f t="shared" si="14"/>
        <v>0</v>
      </c>
      <c r="CF14" s="76">
        <f t="shared" si="15"/>
        <v>0</v>
      </c>
      <c r="CG14" s="76">
        <f t="shared" si="47"/>
        <v>0</v>
      </c>
      <c r="CH14" s="76">
        <f t="shared" si="17"/>
        <v>0</v>
      </c>
      <c r="CI14" s="37">
        <f t="shared" si="18"/>
        <v>0</v>
      </c>
      <c r="CJ14" s="59" t="str">
        <f t="shared" si="36"/>
        <v>-</v>
      </c>
      <c r="CK14" s="59" t="str">
        <f t="shared" si="37"/>
        <v>-</v>
      </c>
      <c r="CL14" s="141" t="str">
        <f t="shared" si="38"/>
        <v>-</v>
      </c>
      <c r="CM14" s="141" t="str">
        <f t="shared" si="39"/>
        <v>-</v>
      </c>
      <c r="CN14" s="141" t="str">
        <f t="shared" si="40"/>
        <v>-</v>
      </c>
      <c r="CO14" s="141" t="str">
        <f t="shared" si="41"/>
        <v>-</v>
      </c>
      <c r="CP14" s="141" t="str">
        <f t="shared" si="42"/>
        <v>-</v>
      </c>
      <c r="CQ14" s="141" t="str">
        <f t="shared" si="43"/>
        <v>-</v>
      </c>
      <c r="CR14" s="142" t="str">
        <f t="shared" si="44"/>
        <v>-</v>
      </c>
      <c r="CS14" s="76">
        <f t="shared" si="45"/>
        <v>0</v>
      </c>
      <c r="CT14" s="80">
        <f t="shared" si="19"/>
        <v>0</v>
      </c>
      <c r="CU14" s="80">
        <f t="shared" si="20"/>
        <v>0</v>
      </c>
      <c r="CV14" s="80">
        <f t="shared" si="21"/>
        <v>0</v>
      </c>
      <c r="CW14" s="80">
        <f t="shared" si="22"/>
        <v>0</v>
      </c>
      <c r="CX14" s="80">
        <f t="shared" si="23"/>
        <v>0</v>
      </c>
      <c r="CY14" s="80">
        <f t="shared" si="24"/>
        <v>0</v>
      </c>
      <c r="CZ14" s="80">
        <f t="shared" si="25"/>
        <v>0</v>
      </c>
      <c r="DA14" s="80">
        <f t="shared" si="26"/>
        <v>0</v>
      </c>
      <c r="DB14" s="80">
        <f t="shared" si="27"/>
        <v>0</v>
      </c>
      <c r="DC14" s="80">
        <f t="shared" si="28"/>
        <v>0</v>
      </c>
      <c r="DD14" s="80">
        <f t="shared" si="29"/>
        <v>0</v>
      </c>
      <c r="DE14" s="80">
        <f t="shared" si="30"/>
        <v>0</v>
      </c>
      <c r="DF14" s="80" t="e">
        <f t="shared" si="31"/>
        <v>#DIV/0!</v>
      </c>
      <c r="DG14" s="80" t="e">
        <f t="shared" si="32"/>
        <v>#DIV/0!</v>
      </c>
      <c r="DH14" s="80" t="e">
        <f t="shared" si="33"/>
        <v>#DIV/0!</v>
      </c>
      <c r="DI14" s="81" t="e">
        <f t="shared" si="34"/>
        <v>#DIV/0!</v>
      </c>
      <c r="DJ14" s="76" t="e">
        <f t="shared" si="35"/>
        <v>#DIV/0!</v>
      </c>
      <c r="DK14" s="147">
        <f t="shared" si="46"/>
        <v>0</v>
      </c>
      <c r="DL14" s="67"/>
      <c r="DM14" s="68"/>
    </row>
    <row r="15" spans="1:117" ht="12.75">
      <c r="A15" s="52" t="s">
        <v>9</v>
      </c>
      <c r="B15" s="43"/>
      <c r="C15" s="4"/>
      <c r="D15" s="69"/>
      <c r="E15" s="69"/>
      <c r="F15" s="8">
        <v>6</v>
      </c>
      <c r="G15" s="13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f t="shared" si="0"/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f>SUM(R15:V15)</f>
        <v>0</v>
      </c>
      <c r="X15" s="43">
        <v>0</v>
      </c>
      <c r="Y15" s="43">
        <f>SUM(G15:X15)-M15-W15</f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f>SUM(Z15:AD15)</f>
        <v>0</v>
      </c>
      <c r="AF15" s="43">
        <v>0</v>
      </c>
      <c r="AG15" s="43">
        <v>0</v>
      </c>
      <c r="AH15" s="43">
        <v>0</v>
      </c>
      <c r="AI15" s="43">
        <v>0</v>
      </c>
      <c r="AJ15" s="43">
        <v>0</v>
      </c>
      <c r="AK15" s="43">
        <v>0</v>
      </c>
      <c r="AL15" s="43">
        <v>0</v>
      </c>
      <c r="AM15" s="43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f>SUM(AN15:AR15)</f>
        <v>0</v>
      </c>
      <c r="AT15" s="4">
        <v>0</v>
      </c>
      <c r="AU15" s="4">
        <f>SUM(Z15:AT15)-AE15-AH15-AS15</f>
        <v>0</v>
      </c>
      <c r="AV15" s="4">
        <v>0</v>
      </c>
      <c r="AW15" s="4">
        <v>0</v>
      </c>
      <c r="AX15" s="4">
        <f>Y15-AU15+AV15-AW15</f>
        <v>0</v>
      </c>
      <c r="AY15" s="43">
        <v>0</v>
      </c>
      <c r="AZ15" s="43">
        <v>0</v>
      </c>
      <c r="BA15" s="43">
        <v>0</v>
      </c>
      <c r="BB15" s="43">
        <v>0</v>
      </c>
      <c r="BC15" s="43">
        <v>0</v>
      </c>
      <c r="BD15" s="43">
        <v>0</v>
      </c>
      <c r="BE15" s="43">
        <v>0</v>
      </c>
      <c r="BF15" s="43">
        <f>SUM(AZ15:BE15)</f>
        <v>0</v>
      </c>
      <c r="BG15" s="43">
        <v>0</v>
      </c>
      <c r="BH15" s="43">
        <v>0</v>
      </c>
      <c r="BI15" s="43">
        <v>0</v>
      </c>
      <c r="BJ15" s="43">
        <v>0</v>
      </c>
      <c r="BK15" s="43">
        <v>0</v>
      </c>
      <c r="BL15" s="43">
        <v>0</v>
      </c>
      <c r="BM15" s="43">
        <v>0</v>
      </c>
      <c r="BN15" s="43">
        <v>0</v>
      </c>
      <c r="BO15" s="43">
        <f>SUM(BG15:BN15)</f>
        <v>0</v>
      </c>
      <c r="BP15" s="43">
        <v>0</v>
      </c>
      <c r="BQ15" s="43">
        <v>0</v>
      </c>
      <c r="BR15" s="43">
        <v>0</v>
      </c>
      <c r="BS15" s="43">
        <f>+BF15-BO15+BP15+BQ15-BR15</f>
        <v>0</v>
      </c>
      <c r="BT15" s="4">
        <v>0</v>
      </c>
      <c r="BU15" s="4">
        <v>0</v>
      </c>
      <c r="BV15" s="4">
        <v>0</v>
      </c>
      <c r="BW15" s="4">
        <v>0</v>
      </c>
      <c r="BX15" s="4">
        <f>SUM(BT15:BW15)</f>
        <v>0</v>
      </c>
      <c r="BY15" s="4">
        <v>0</v>
      </c>
      <c r="BZ15" s="4">
        <v>0</v>
      </c>
      <c r="CA15" s="4">
        <v>0</v>
      </c>
      <c r="CB15" s="4">
        <f>SUM(BY15:CA15)</f>
        <v>0</v>
      </c>
      <c r="CC15" s="4">
        <f>BX15-CB15</f>
        <v>0</v>
      </c>
      <c r="CD15" s="74">
        <f>K15+L15+AV15-AW15</f>
        <v>0</v>
      </c>
      <c r="CE15" s="76">
        <f>CD15+W15-AS15</f>
        <v>0</v>
      </c>
      <c r="CF15" s="76">
        <f>BR15-BP15</f>
        <v>0</v>
      </c>
      <c r="CG15" s="76">
        <f t="shared" si="47"/>
        <v>0</v>
      </c>
      <c r="CH15" s="76">
        <f>I15-AG15+AY15+AH15+BQ15</f>
        <v>0</v>
      </c>
      <c r="CI15" s="37">
        <f>CH15+K15</f>
        <v>0</v>
      </c>
      <c r="CJ15" s="59" t="str">
        <f t="shared" si="36"/>
        <v>-</v>
      </c>
      <c r="CK15" s="59" t="str">
        <f t="shared" si="37"/>
        <v>-</v>
      </c>
      <c r="CL15" s="141" t="str">
        <f t="shared" si="38"/>
        <v>-</v>
      </c>
      <c r="CM15" s="141" t="str">
        <f t="shared" si="39"/>
        <v>-</v>
      </c>
      <c r="CN15" s="141" t="str">
        <f t="shared" si="40"/>
        <v>-</v>
      </c>
      <c r="CO15" s="141" t="str">
        <f t="shared" si="41"/>
        <v>-</v>
      </c>
      <c r="CP15" s="141" t="str">
        <f t="shared" si="42"/>
        <v>-</v>
      </c>
      <c r="CQ15" s="141" t="str">
        <f t="shared" si="43"/>
        <v>-</v>
      </c>
      <c r="CR15" s="142" t="str">
        <f t="shared" si="44"/>
        <v>-</v>
      </c>
      <c r="CS15" s="76">
        <f t="shared" si="45"/>
        <v>0</v>
      </c>
      <c r="CT15" s="80">
        <f>Y15-K15-L15-V15</f>
        <v>0</v>
      </c>
      <c r="CU15" s="80">
        <f>AU15-AR15</f>
        <v>0</v>
      </c>
      <c r="CV15" s="80">
        <f>CU15-CT15</f>
        <v>0</v>
      </c>
      <c r="CW15" s="80">
        <f>-V15+AR15</f>
        <v>0</v>
      </c>
      <c r="CX15" s="80">
        <f>CV15+CW15</f>
        <v>0</v>
      </c>
      <c r="CY15" s="80">
        <f>CX15-K15-L15</f>
        <v>0</v>
      </c>
      <c r="CZ15" s="80">
        <f>BR15-BP15</f>
        <v>0</v>
      </c>
      <c r="DA15" s="80">
        <f>K15+L15</f>
        <v>0</v>
      </c>
      <c r="DB15" s="80">
        <f>-CZ15+DA15+CY15</f>
        <v>0</v>
      </c>
      <c r="DC15" s="80">
        <f>-BP15-DA15</f>
        <v>0</v>
      </c>
      <c r="DD15" s="80">
        <f>DB15+DC15+BR15</f>
        <v>0</v>
      </c>
      <c r="DE15" s="80">
        <f>Z15+AA15+AB15</f>
        <v>0</v>
      </c>
      <c r="DF15" s="80" t="e">
        <f>CS15/B15</f>
        <v>#DIV/0!</v>
      </c>
      <c r="DG15" s="80" t="e">
        <f>CH15/B15</f>
        <v>#DIV/0!</v>
      </c>
      <c r="DH15" s="80" t="e">
        <f>DE15/B15</f>
        <v>#DIV/0!</v>
      </c>
      <c r="DI15" s="81" t="e">
        <f>CZ15/B15</f>
        <v>#DIV/0!</v>
      </c>
      <c r="DJ15" s="76" t="e">
        <f>DB15/B15</f>
        <v>#DIV/0!</v>
      </c>
      <c r="DK15" s="147">
        <f t="shared" si="46"/>
        <v>0</v>
      </c>
      <c r="DL15" s="64"/>
      <c r="DM15" s="65"/>
    </row>
    <row r="16" spans="1:117" ht="12.75">
      <c r="A16" s="51" t="s">
        <v>34</v>
      </c>
      <c r="B16" s="42"/>
      <c r="C16" s="38"/>
      <c r="D16" s="66"/>
      <c r="E16" s="66"/>
      <c r="F16" s="128">
        <v>8</v>
      </c>
      <c r="G16" s="134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3">
        <f t="shared" si="0"/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3">
        <f aca="true" t="shared" si="48" ref="W16:W31">SUM(R16:V16)</f>
        <v>0</v>
      </c>
      <c r="X16" s="42">
        <v>0</v>
      </c>
      <c r="Y16" s="43">
        <f aca="true" t="shared" si="49" ref="Y16:Y31">SUM(G16:X16)-M16-W16</f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3">
        <f aca="true" t="shared" si="50" ref="AE16:AE31">SUM(Z16:AD16)</f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38">
        <v>0</v>
      </c>
      <c r="AO16" s="38">
        <v>0</v>
      </c>
      <c r="AP16" s="38">
        <v>0</v>
      </c>
      <c r="AQ16" s="38">
        <v>0</v>
      </c>
      <c r="AR16" s="38">
        <v>0</v>
      </c>
      <c r="AS16" s="4">
        <f aca="true" t="shared" si="51" ref="AS16:AS31">SUM(AN16:AR16)</f>
        <v>0</v>
      </c>
      <c r="AT16" s="38">
        <v>0</v>
      </c>
      <c r="AU16" s="4">
        <f aca="true" t="shared" si="52" ref="AU16:AU31">SUM(Z16:AT16)-AE16-AH16-AS16</f>
        <v>0</v>
      </c>
      <c r="AV16" s="38">
        <v>0</v>
      </c>
      <c r="AW16" s="38">
        <v>0</v>
      </c>
      <c r="AX16" s="4">
        <f aca="true" t="shared" si="53" ref="AX16:AX31">Y16-AU16+AV16-AW16</f>
        <v>0</v>
      </c>
      <c r="AY16" s="42">
        <v>0</v>
      </c>
      <c r="AZ16" s="42">
        <v>0</v>
      </c>
      <c r="BA16" s="42">
        <v>0</v>
      </c>
      <c r="BB16" s="42">
        <v>0</v>
      </c>
      <c r="BC16" s="42">
        <v>0</v>
      </c>
      <c r="BD16" s="42">
        <v>0</v>
      </c>
      <c r="BE16" s="42">
        <v>0</v>
      </c>
      <c r="BF16" s="43">
        <f aca="true" t="shared" si="54" ref="BF16:BF31">SUM(AZ16:BE16)</f>
        <v>0</v>
      </c>
      <c r="BG16" s="42">
        <v>0</v>
      </c>
      <c r="BH16" s="42">
        <v>0</v>
      </c>
      <c r="BI16" s="42">
        <v>0</v>
      </c>
      <c r="BJ16" s="42">
        <v>0</v>
      </c>
      <c r="BK16" s="42">
        <v>0</v>
      </c>
      <c r="BL16" s="42">
        <v>0</v>
      </c>
      <c r="BM16" s="42">
        <v>0</v>
      </c>
      <c r="BN16" s="42">
        <v>0</v>
      </c>
      <c r="BO16" s="43">
        <f aca="true" t="shared" si="55" ref="BO16:BO31">SUM(BG16:BN16)</f>
        <v>0</v>
      </c>
      <c r="BP16" s="42">
        <v>0</v>
      </c>
      <c r="BQ16" s="42">
        <v>0</v>
      </c>
      <c r="BR16" s="42">
        <v>0</v>
      </c>
      <c r="BS16" s="43">
        <f aca="true" t="shared" si="56" ref="BS16:BS31">+BF16-BO16+BP16+BQ16-BR16</f>
        <v>0</v>
      </c>
      <c r="BT16" s="38">
        <v>0</v>
      </c>
      <c r="BU16" s="38">
        <v>0</v>
      </c>
      <c r="BV16" s="38">
        <v>0</v>
      </c>
      <c r="BW16" s="38">
        <v>0</v>
      </c>
      <c r="BX16" s="4">
        <f aca="true" t="shared" si="57" ref="BX16:BX31">SUM(BT16:BW16)</f>
        <v>0</v>
      </c>
      <c r="BY16" s="38">
        <v>0</v>
      </c>
      <c r="BZ16" s="38">
        <v>0</v>
      </c>
      <c r="CA16" s="38">
        <v>0</v>
      </c>
      <c r="CB16" s="4">
        <f aca="true" t="shared" si="58" ref="CB16:CB31">SUM(BY16:CA16)</f>
        <v>0</v>
      </c>
      <c r="CC16" s="4">
        <f aca="true" t="shared" si="59" ref="CC16:CC31">BX16-CB16</f>
        <v>0</v>
      </c>
      <c r="CD16" s="74">
        <f aca="true" t="shared" si="60" ref="CD16:CD31">K16+L16+AV16-AW16</f>
        <v>0</v>
      </c>
      <c r="CE16" s="76">
        <f aca="true" t="shared" si="61" ref="CE16:CE31">CD16+W16-AS16</f>
        <v>0</v>
      </c>
      <c r="CF16" s="76">
        <f aca="true" t="shared" si="62" ref="CF16:CF31">BR16-BP16</f>
        <v>0</v>
      </c>
      <c r="CG16" s="76">
        <f t="shared" si="47"/>
        <v>0</v>
      </c>
      <c r="CH16" s="76">
        <f aca="true" t="shared" si="63" ref="CH16:CH31">I16-AG16+AY16+AH16+BQ16</f>
        <v>0</v>
      </c>
      <c r="CI16" s="37">
        <f aca="true" t="shared" si="64" ref="CI16:CI31">CH16+K16</f>
        <v>0</v>
      </c>
      <c r="CJ16" s="59" t="str">
        <f t="shared" si="36"/>
        <v>-</v>
      </c>
      <c r="CK16" s="59" t="str">
        <f t="shared" si="37"/>
        <v>-</v>
      </c>
      <c r="CL16" s="141" t="str">
        <f t="shared" si="38"/>
        <v>-</v>
      </c>
      <c r="CM16" s="141" t="str">
        <f t="shared" si="39"/>
        <v>-</v>
      </c>
      <c r="CN16" s="141" t="str">
        <f t="shared" si="40"/>
        <v>-</v>
      </c>
      <c r="CO16" s="141" t="str">
        <f t="shared" si="41"/>
        <v>-</v>
      </c>
      <c r="CP16" s="141" t="str">
        <f t="shared" si="42"/>
        <v>-</v>
      </c>
      <c r="CQ16" s="141" t="str">
        <f t="shared" si="43"/>
        <v>-</v>
      </c>
      <c r="CR16" s="142" t="str">
        <f t="shared" si="44"/>
        <v>-</v>
      </c>
      <c r="CS16" s="76">
        <f t="shared" si="45"/>
        <v>0</v>
      </c>
      <c r="CT16" s="80">
        <f aca="true" t="shared" si="65" ref="CT16:CT31">Y16-K16-L16-V16</f>
        <v>0</v>
      </c>
      <c r="CU16" s="80">
        <f aca="true" t="shared" si="66" ref="CU16:CU31">AU16-AR16</f>
        <v>0</v>
      </c>
      <c r="CV16" s="80">
        <f aca="true" t="shared" si="67" ref="CV16:CV31">CU16-CT16</f>
        <v>0</v>
      </c>
      <c r="CW16" s="80">
        <f aca="true" t="shared" si="68" ref="CW16:CW31">-V16+AR16</f>
        <v>0</v>
      </c>
      <c r="CX16" s="80">
        <f aca="true" t="shared" si="69" ref="CX16:CX31">CV16+CW16</f>
        <v>0</v>
      </c>
      <c r="CY16" s="80">
        <f aca="true" t="shared" si="70" ref="CY16:CY31">CX16-K16-L16</f>
        <v>0</v>
      </c>
      <c r="CZ16" s="80">
        <f aca="true" t="shared" si="71" ref="CZ16:CZ31">BR16-BP16</f>
        <v>0</v>
      </c>
      <c r="DA16" s="80">
        <f aca="true" t="shared" si="72" ref="DA16:DA31">K16+L16</f>
        <v>0</v>
      </c>
      <c r="DB16" s="80">
        <f aca="true" t="shared" si="73" ref="DB16:DB31">-CZ16+DA16+CY16</f>
        <v>0</v>
      </c>
      <c r="DC16" s="80">
        <f aca="true" t="shared" si="74" ref="DC16:DC31">-BP16-DA16</f>
        <v>0</v>
      </c>
      <c r="DD16" s="80">
        <f aca="true" t="shared" si="75" ref="DD16:DD31">DB16+DC16+BR16</f>
        <v>0</v>
      </c>
      <c r="DE16" s="80">
        <f aca="true" t="shared" si="76" ref="DE16:DE31">Z16+AA16+AB16</f>
        <v>0</v>
      </c>
      <c r="DF16" s="80" t="e">
        <f aca="true" t="shared" si="77" ref="DF16:DF31">CS16/B16</f>
        <v>#DIV/0!</v>
      </c>
      <c r="DG16" s="80" t="e">
        <f aca="true" t="shared" si="78" ref="DG16:DG31">CH16/B16</f>
        <v>#DIV/0!</v>
      </c>
      <c r="DH16" s="80" t="e">
        <f aca="true" t="shared" si="79" ref="DH16:DH31">DE16/B16</f>
        <v>#DIV/0!</v>
      </c>
      <c r="DI16" s="81" t="e">
        <f aca="true" t="shared" si="80" ref="DI16:DI31">CZ16/B16</f>
        <v>#DIV/0!</v>
      </c>
      <c r="DJ16" s="76" t="e">
        <f aca="true" t="shared" si="81" ref="DJ16:DJ31">DB16/B16</f>
        <v>#DIV/0!</v>
      </c>
      <c r="DK16" s="147">
        <f t="shared" si="46"/>
        <v>0</v>
      </c>
      <c r="DL16" s="67"/>
      <c r="DM16" s="68"/>
    </row>
    <row r="17" spans="1:117" ht="12.75">
      <c r="A17" s="52" t="s">
        <v>10</v>
      </c>
      <c r="B17" s="43"/>
      <c r="C17" s="4"/>
      <c r="D17" s="69"/>
      <c r="E17" s="69"/>
      <c r="F17" s="8">
        <v>8</v>
      </c>
      <c r="G17" s="13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f t="shared" si="0"/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f t="shared" si="48"/>
        <v>0</v>
      </c>
      <c r="X17" s="43">
        <v>0</v>
      </c>
      <c r="Y17" s="43">
        <f t="shared" si="49"/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f t="shared" si="50"/>
        <v>0</v>
      </c>
      <c r="AF17" s="43">
        <v>0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43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f t="shared" si="51"/>
        <v>0</v>
      </c>
      <c r="AT17" s="4">
        <v>0</v>
      </c>
      <c r="AU17" s="4">
        <f t="shared" si="52"/>
        <v>0</v>
      </c>
      <c r="AV17" s="4">
        <v>0</v>
      </c>
      <c r="AW17" s="4">
        <v>0</v>
      </c>
      <c r="AX17" s="4">
        <f t="shared" si="53"/>
        <v>0</v>
      </c>
      <c r="AY17" s="43">
        <v>0</v>
      </c>
      <c r="AZ17" s="43">
        <v>0</v>
      </c>
      <c r="BA17" s="43">
        <v>0</v>
      </c>
      <c r="BB17" s="43">
        <v>0</v>
      </c>
      <c r="BC17" s="43">
        <v>0</v>
      </c>
      <c r="BD17" s="43">
        <v>0</v>
      </c>
      <c r="BE17" s="43">
        <v>0</v>
      </c>
      <c r="BF17" s="43">
        <f t="shared" si="54"/>
        <v>0</v>
      </c>
      <c r="BG17" s="43">
        <v>0</v>
      </c>
      <c r="BH17" s="43">
        <v>0</v>
      </c>
      <c r="BI17" s="43">
        <v>0</v>
      </c>
      <c r="BJ17" s="43">
        <v>0</v>
      </c>
      <c r="BK17" s="43">
        <v>0</v>
      </c>
      <c r="BL17" s="43">
        <v>0</v>
      </c>
      <c r="BM17" s="43">
        <v>0</v>
      </c>
      <c r="BN17" s="43">
        <v>0</v>
      </c>
      <c r="BO17" s="43">
        <f t="shared" si="55"/>
        <v>0</v>
      </c>
      <c r="BP17" s="43">
        <v>0</v>
      </c>
      <c r="BQ17" s="43">
        <v>0</v>
      </c>
      <c r="BR17" s="43">
        <v>0</v>
      </c>
      <c r="BS17" s="43">
        <f t="shared" si="56"/>
        <v>0</v>
      </c>
      <c r="BT17" s="4">
        <v>0</v>
      </c>
      <c r="BU17" s="4">
        <v>0</v>
      </c>
      <c r="BV17" s="4">
        <v>0</v>
      </c>
      <c r="BW17" s="4">
        <v>0</v>
      </c>
      <c r="BX17" s="4">
        <f t="shared" si="57"/>
        <v>0</v>
      </c>
      <c r="BY17" s="4">
        <v>0</v>
      </c>
      <c r="BZ17" s="4">
        <v>0</v>
      </c>
      <c r="CA17" s="4">
        <v>0</v>
      </c>
      <c r="CB17" s="4">
        <f t="shared" si="58"/>
        <v>0</v>
      </c>
      <c r="CC17" s="4">
        <f t="shared" si="59"/>
        <v>0</v>
      </c>
      <c r="CD17" s="74">
        <f t="shared" si="60"/>
        <v>0</v>
      </c>
      <c r="CE17" s="76">
        <f t="shared" si="61"/>
        <v>0</v>
      </c>
      <c r="CF17" s="76">
        <f t="shared" si="62"/>
        <v>0</v>
      </c>
      <c r="CG17" s="76">
        <f t="shared" si="47"/>
        <v>0</v>
      </c>
      <c r="CH17" s="76">
        <f t="shared" si="63"/>
        <v>0</v>
      </c>
      <c r="CI17" s="37">
        <f t="shared" si="64"/>
        <v>0</v>
      </c>
      <c r="CJ17" s="59" t="str">
        <f t="shared" si="36"/>
        <v>-</v>
      </c>
      <c r="CK17" s="59" t="str">
        <f t="shared" si="37"/>
        <v>-</v>
      </c>
      <c r="CL17" s="141" t="str">
        <f t="shared" si="38"/>
        <v>-</v>
      </c>
      <c r="CM17" s="141" t="str">
        <f t="shared" si="39"/>
        <v>-</v>
      </c>
      <c r="CN17" s="141" t="str">
        <f t="shared" si="40"/>
        <v>-</v>
      </c>
      <c r="CO17" s="141" t="str">
        <f t="shared" si="41"/>
        <v>-</v>
      </c>
      <c r="CP17" s="141" t="str">
        <f t="shared" si="42"/>
        <v>-</v>
      </c>
      <c r="CQ17" s="141" t="str">
        <f t="shared" si="43"/>
        <v>-</v>
      </c>
      <c r="CR17" s="142" t="str">
        <f t="shared" si="44"/>
        <v>-</v>
      </c>
      <c r="CS17" s="76">
        <f t="shared" si="45"/>
        <v>0</v>
      </c>
      <c r="CT17" s="80">
        <f t="shared" si="65"/>
        <v>0</v>
      </c>
      <c r="CU17" s="80">
        <f t="shared" si="66"/>
        <v>0</v>
      </c>
      <c r="CV17" s="80">
        <f t="shared" si="67"/>
        <v>0</v>
      </c>
      <c r="CW17" s="80">
        <f t="shared" si="68"/>
        <v>0</v>
      </c>
      <c r="CX17" s="80">
        <f t="shared" si="69"/>
        <v>0</v>
      </c>
      <c r="CY17" s="80">
        <f t="shared" si="70"/>
        <v>0</v>
      </c>
      <c r="CZ17" s="80">
        <f t="shared" si="71"/>
        <v>0</v>
      </c>
      <c r="DA17" s="80">
        <f t="shared" si="72"/>
        <v>0</v>
      </c>
      <c r="DB17" s="80">
        <f t="shared" si="73"/>
        <v>0</v>
      </c>
      <c r="DC17" s="80">
        <f t="shared" si="74"/>
        <v>0</v>
      </c>
      <c r="DD17" s="80">
        <f t="shared" si="75"/>
        <v>0</v>
      </c>
      <c r="DE17" s="80">
        <f t="shared" si="76"/>
        <v>0</v>
      </c>
      <c r="DF17" s="80" t="e">
        <f t="shared" si="77"/>
        <v>#DIV/0!</v>
      </c>
      <c r="DG17" s="80" t="e">
        <f t="shared" si="78"/>
        <v>#DIV/0!</v>
      </c>
      <c r="DH17" s="80" t="e">
        <f t="shared" si="79"/>
        <v>#DIV/0!</v>
      </c>
      <c r="DI17" s="81" t="e">
        <f t="shared" si="80"/>
        <v>#DIV/0!</v>
      </c>
      <c r="DJ17" s="76" t="e">
        <f t="shared" si="81"/>
        <v>#DIV/0!</v>
      </c>
      <c r="DK17" s="147">
        <f t="shared" si="46"/>
        <v>0</v>
      </c>
      <c r="DL17" s="64"/>
      <c r="DM17" s="65"/>
    </row>
    <row r="18" spans="1:117" ht="12.75">
      <c r="A18" s="51" t="s">
        <v>11</v>
      </c>
      <c r="B18" s="42"/>
      <c r="C18" s="38"/>
      <c r="D18" s="66"/>
      <c r="E18" s="66"/>
      <c r="F18" s="128">
        <v>1</v>
      </c>
      <c r="G18" s="134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3">
        <f t="shared" si="0"/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3">
        <f t="shared" si="48"/>
        <v>0</v>
      </c>
      <c r="X18" s="42">
        <v>0</v>
      </c>
      <c r="Y18" s="43">
        <f t="shared" si="49"/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3">
        <f t="shared" si="50"/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38">
        <v>0</v>
      </c>
      <c r="AO18" s="38">
        <v>0</v>
      </c>
      <c r="AP18" s="38">
        <v>0</v>
      </c>
      <c r="AQ18" s="38">
        <v>0</v>
      </c>
      <c r="AR18" s="38">
        <v>0</v>
      </c>
      <c r="AS18" s="4">
        <f t="shared" si="51"/>
        <v>0</v>
      </c>
      <c r="AT18" s="38">
        <v>0</v>
      </c>
      <c r="AU18" s="4">
        <f t="shared" si="52"/>
        <v>0</v>
      </c>
      <c r="AV18" s="38">
        <v>0</v>
      </c>
      <c r="AW18" s="38">
        <v>0</v>
      </c>
      <c r="AX18" s="4">
        <f t="shared" si="53"/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3">
        <f t="shared" si="54"/>
        <v>0</v>
      </c>
      <c r="BG18" s="42">
        <v>0</v>
      </c>
      <c r="BH18" s="42">
        <v>0</v>
      </c>
      <c r="BI18" s="42">
        <v>0</v>
      </c>
      <c r="BJ18" s="42">
        <v>0</v>
      </c>
      <c r="BK18" s="42">
        <v>0</v>
      </c>
      <c r="BL18" s="42">
        <v>0</v>
      </c>
      <c r="BM18" s="42">
        <v>0</v>
      </c>
      <c r="BN18" s="42">
        <v>0</v>
      </c>
      <c r="BO18" s="43">
        <f t="shared" si="55"/>
        <v>0</v>
      </c>
      <c r="BP18" s="42">
        <v>0</v>
      </c>
      <c r="BQ18" s="42">
        <v>0</v>
      </c>
      <c r="BR18" s="42">
        <v>0</v>
      </c>
      <c r="BS18" s="43">
        <f t="shared" si="56"/>
        <v>0</v>
      </c>
      <c r="BT18" s="38">
        <v>0</v>
      </c>
      <c r="BU18" s="38">
        <v>0</v>
      </c>
      <c r="BV18" s="38">
        <v>0</v>
      </c>
      <c r="BW18" s="38">
        <v>0</v>
      </c>
      <c r="BX18" s="4">
        <f t="shared" si="57"/>
        <v>0</v>
      </c>
      <c r="BY18" s="38">
        <v>0</v>
      </c>
      <c r="BZ18" s="38">
        <v>0</v>
      </c>
      <c r="CA18" s="38">
        <v>0</v>
      </c>
      <c r="CB18" s="4">
        <f t="shared" si="58"/>
        <v>0</v>
      </c>
      <c r="CC18" s="4">
        <f t="shared" si="59"/>
        <v>0</v>
      </c>
      <c r="CD18" s="74">
        <f t="shared" si="60"/>
        <v>0</v>
      </c>
      <c r="CE18" s="76">
        <f t="shared" si="61"/>
        <v>0</v>
      </c>
      <c r="CF18" s="76">
        <f t="shared" si="62"/>
        <v>0</v>
      </c>
      <c r="CG18" s="76">
        <f t="shared" si="47"/>
        <v>0</v>
      </c>
      <c r="CH18" s="76">
        <f t="shared" si="63"/>
        <v>0</v>
      </c>
      <c r="CI18" s="37">
        <f t="shared" si="64"/>
        <v>0</v>
      </c>
      <c r="CJ18" s="59" t="str">
        <f t="shared" si="36"/>
        <v>-</v>
      </c>
      <c r="CK18" s="59" t="str">
        <f t="shared" si="37"/>
        <v>-</v>
      </c>
      <c r="CL18" s="141" t="str">
        <f t="shared" si="38"/>
        <v>-</v>
      </c>
      <c r="CM18" s="141" t="str">
        <f t="shared" si="39"/>
        <v>-</v>
      </c>
      <c r="CN18" s="141" t="str">
        <f t="shared" si="40"/>
        <v>-</v>
      </c>
      <c r="CO18" s="141" t="str">
        <f t="shared" si="41"/>
        <v>-</v>
      </c>
      <c r="CP18" s="141" t="str">
        <f t="shared" si="42"/>
        <v>-</v>
      </c>
      <c r="CQ18" s="141" t="str">
        <f t="shared" si="43"/>
        <v>-</v>
      </c>
      <c r="CR18" s="142" t="str">
        <f t="shared" si="44"/>
        <v>-</v>
      </c>
      <c r="CS18" s="76">
        <f t="shared" si="45"/>
        <v>0</v>
      </c>
      <c r="CT18" s="80">
        <f t="shared" si="65"/>
        <v>0</v>
      </c>
      <c r="CU18" s="80">
        <f t="shared" si="66"/>
        <v>0</v>
      </c>
      <c r="CV18" s="80">
        <f t="shared" si="67"/>
        <v>0</v>
      </c>
      <c r="CW18" s="80">
        <f t="shared" si="68"/>
        <v>0</v>
      </c>
      <c r="CX18" s="80">
        <f t="shared" si="69"/>
        <v>0</v>
      </c>
      <c r="CY18" s="80">
        <f t="shared" si="70"/>
        <v>0</v>
      </c>
      <c r="CZ18" s="80">
        <f t="shared" si="71"/>
        <v>0</v>
      </c>
      <c r="DA18" s="80">
        <f t="shared" si="72"/>
        <v>0</v>
      </c>
      <c r="DB18" s="80">
        <f t="shared" si="73"/>
        <v>0</v>
      </c>
      <c r="DC18" s="80">
        <f t="shared" si="74"/>
        <v>0</v>
      </c>
      <c r="DD18" s="80">
        <f t="shared" si="75"/>
        <v>0</v>
      </c>
      <c r="DE18" s="80">
        <f t="shared" si="76"/>
        <v>0</v>
      </c>
      <c r="DF18" s="80" t="e">
        <f t="shared" si="77"/>
        <v>#DIV/0!</v>
      </c>
      <c r="DG18" s="80" t="e">
        <f t="shared" si="78"/>
        <v>#DIV/0!</v>
      </c>
      <c r="DH18" s="80" t="e">
        <f t="shared" si="79"/>
        <v>#DIV/0!</v>
      </c>
      <c r="DI18" s="81" t="e">
        <f t="shared" si="80"/>
        <v>#DIV/0!</v>
      </c>
      <c r="DJ18" s="76" t="e">
        <f t="shared" si="81"/>
        <v>#DIV/0!</v>
      </c>
      <c r="DK18" s="147">
        <f t="shared" si="46"/>
        <v>0</v>
      </c>
      <c r="DL18" s="67"/>
      <c r="DM18" s="68"/>
    </row>
    <row r="19" spans="1:117" ht="12.75">
      <c r="A19" s="52" t="s">
        <v>35</v>
      </c>
      <c r="B19" s="43"/>
      <c r="C19" s="4"/>
      <c r="D19" s="69"/>
      <c r="E19" s="69"/>
      <c r="F19" s="8">
        <v>6</v>
      </c>
      <c r="G19" s="13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f t="shared" si="0"/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f t="shared" si="48"/>
        <v>0</v>
      </c>
      <c r="X19" s="43">
        <v>0</v>
      </c>
      <c r="Y19" s="43">
        <f t="shared" si="49"/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f t="shared" si="50"/>
        <v>0</v>
      </c>
      <c r="AF19" s="43">
        <v>0</v>
      </c>
      <c r="AG19" s="43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0</v>
      </c>
      <c r="AM19" s="43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f t="shared" si="51"/>
        <v>0</v>
      </c>
      <c r="AT19" s="4">
        <v>0</v>
      </c>
      <c r="AU19" s="4">
        <f t="shared" si="52"/>
        <v>0</v>
      </c>
      <c r="AV19" s="4">
        <v>0</v>
      </c>
      <c r="AW19" s="4">
        <v>0</v>
      </c>
      <c r="AX19" s="4">
        <f t="shared" si="53"/>
        <v>0</v>
      </c>
      <c r="AY19" s="43">
        <v>0</v>
      </c>
      <c r="AZ19" s="43">
        <v>0</v>
      </c>
      <c r="BA19" s="43">
        <v>0</v>
      </c>
      <c r="BB19" s="43">
        <v>0</v>
      </c>
      <c r="BC19" s="43">
        <v>0</v>
      </c>
      <c r="BD19" s="43">
        <v>0</v>
      </c>
      <c r="BE19" s="43">
        <v>0</v>
      </c>
      <c r="BF19" s="43">
        <f t="shared" si="54"/>
        <v>0</v>
      </c>
      <c r="BG19" s="43">
        <v>0</v>
      </c>
      <c r="BH19" s="43">
        <v>0</v>
      </c>
      <c r="BI19" s="43">
        <v>0</v>
      </c>
      <c r="BJ19" s="43">
        <v>0</v>
      </c>
      <c r="BK19" s="43">
        <v>0</v>
      </c>
      <c r="BL19" s="43">
        <v>0</v>
      </c>
      <c r="BM19" s="43">
        <v>0</v>
      </c>
      <c r="BN19" s="43">
        <v>0</v>
      </c>
      <c r="BO19" s="43">
        <f t="shared" si="55"/>
        <v>0</v>
      </c>
      <c r="BP19" s="43">
        <v>0</v>
      </c>
      <c r="BQ19" s="43">
        <v>0</v>
      </c>
      <c r="BR19" s="43">
        <v>0</v>
      </c>
      <c r="BS19" s="43">
        <f t="shared" si="56"/>
        <v>0</v>
      </c>
      <c r="BT19" s="4">
        <v>0</v>
      </c>
      <c r="BU19" s="4">
        <v>0</v>
      </c>
      <c r="BV19" s="4">
        <v>0</v>
      </c>
      <c r="BW19" s="4">
        <v>0</v>
      </c>
      <c r="BX19" s="4">
        <f t="shared" si="57"/>
        <v>0</v>
      </c>
      <c r="BY19" s="4">
        <v>0</v>
      </c>
      <c r="BZ19" s="4">
        <v>0</v>
      </c>
      <c r="CA19" s="4">
        <v>0</v>
      </c>
      <c r="CB19" s="4">
        <f t="shared" si="58"/>
        <v>0</v>
      </c>
      <c r="CC19" s="4">
        <f t="shared" si="59"/>
        <v>0</v>
      </c>
      <c r="CD19" s="74">
        <f t="shared" si="60"/>
        <v>0</v>
      </c>
      <c r="CE19" s="76">
        <f t="shared" si="61"/>
        <v>0</v>
      </c>
      <c r="CF19" s="76">
        <f t="shared" si="62"/>
        <v>0</v>
      </c>
      <c r="CG19" s="76">
        <f t="shared" si="47"/>
        <v>0</v>
      </c>
      <c r="CH19" s="76">
        <f t="shared" si="63"/>
        <v>0</v>
      </c>
      <c r="CI19" s="37">
        <f t="shared" si="64"/>
        <v>0</v>
      </c>
      <c r="CJ19" s="59" t="str">
        <f t="shared" si="36"/>
        <v>-</v>
      </c>
      <c r="CK19" s="59" t="str">
        <f t="shared" si="37"/>
        <v>-</v>
      </c>
      <c r="CL19" s="141" t="str">
        <f t="shared" si="38"/>
        <v>-</v>
      </c>
      <c r="CM19" s="141" t="str">
        <f t="shared" si="39"/>
        <v>-</v>
      </c>
      <c r="CN19" s="141" t="str">
        <f t="shared" si="40"/>
        <v>-</v>
      </c>
      <c r="CO19" s="141" t="str">
        <f t="shared" si="41"/>
        <v>-</v>
      </c>
      <c r="CP19" s="141" t="str">
        <f t="shared" si="42"/>
        <v>-</v>
      </c>
      <c r="CQ19" s="141" t="str">
        <f t="shared" si="43"/>
        <v>-</v>
      </c>
      <c r="CR19" s="142" t="str">
        <f t="shared" si="44"/>
        <v>-</v>
      </c>
      <c r="CS19" s="76">
        <f t="shared" si="45"/>
        <v>0</v>
      </c>
      <c r="CT19" s="80">
        <f t="shared" si="65"/>
        <v>0</v>
      </c>
      <c r="CU19" s="80">
        <f t="shared" si="66"/>
        <v>0</v>
      </c>
      <c r="CV19" s="80">
        <f t="shared" si="67"/>
        <v>0</v>
      </c>
      <c r="CW19" s="80">
        <f t="shared" si="68"/>
        <v>0</v>
      </c>
      <c r="CX19" s="80">
        <f t="shared" si="69"/>
        <v>0</v>
      </c>
      <c r="CY19" s="80">
        <f t="shared" si="70"/>
        <v>0</v>
      </c>
      <c r="CZ19" s="80">
        <f t="shared" si="71"/>
        <v>0</v>
      </c>
      <c r="DA19" s="80">
        <f t="shared" si="72"/>
        <v>0</v>
      </c>
      <c r="DB19" s="80">
        <f t="shared" si="73"/>
        <v>0</v>
      </c>
      <c r="DC19" s="80">
        <f t="shared" si="74"/>
        <v>0</v>
      </c>
      <c r="DD19" s="80">
        <f t="shared" si="75"/>
        <v>0</v>
      </c>
      <c r="DE19" s="80">
        <f t="shared" si="76"/>
        <v>0</v>
      </c>
      <c r="DF19" s="80" t="e">
        <f t="shared" si="77"/>
        <v>#DIV/0!</v>
      </c>
      <c r="DG19" s="80" t="e">
        <f t="shared" si="78"/>
        <v>#DIV/0!</v>
      </c>
      <c r="DH19" s="80" t="e">
        <f t="shared" si="79"/>
        <v>#DIV/0!</v>
      </c>
      <c r="DI19" s="81" t="e">
        <f t="shared" si="80"/>
        <v>#DIV/0!</v>
      </c>
      <c r="DJ19" s="76" t="e">
        <f t="shared" si="81"/>
        <v>#DIV/0!</v>
      </c>
      <c r="DK19" s="147">
        <f t="shared" si="46"/>
        <v>0</v>
      </c>
      <c r="DL19" s="64"/>
      <c r="DM19" s="65"/>
    </row>
    <row r="20" spans="1:117" ht="12.75">
      <c r="A20" s="51" t="s">
        <v>12</v>
      </c>
      <c r="B20" s="42"/>
      <c r="C20" s="38"/>
      <c r="D20" s="66"/>
      <c r="E20" s="66"/>
      <c r="F20" s="128">
        <v>8</v>
      </c>
      <c r="G20" s="134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3">
        <f t="shared" si="0"/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3">
        <f t="shared" si="48"/>
        <v>0</v>
      </c>
      <c r="X20" s="42">
        <v>0</v>
      </c>
      <c r="Y20" s="43">
        <f t="shared" si="49"/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3">
        <f t="shared" si="50"/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4">
        <f t="shared" si="51"/>
        <v>0</v>
      </c>
      <c r="AT20" s="38">
        <v>0</v>
      </c>
      <c r="AU20" s="4">
        <f t="shared" si="52"/>
        <v>0</v>
      </c>
      <c r="AV20" s="38">
        <v>0</v>
      </c>
      <c r="AW20" s="38">
        <v>0</v>
      </c>
      <c r="AX20" s="4">
        <f t="shared" si="53"/>
        <v>0</v>
      </c>
      <c r="AY20" s="42">
        <v>0</v>
      </c>
      <c r="AZ20" s="42">
        <v>0</v>
      </c>
      <c r="BA20" s="42">
        <v>0</v>
      </c>
      <c r="BB20" s="42">
        <v>0</v>
      </c>
      <c r="BC20" s="42">
        <v>0</v>
      </c>
      <c r="BD20" s="42">
        <v>0</v>
      </c>
      <c r="BE20" s="42">
        <v>0</v>
      </c>
      <c r="BF20" s="43">
        <f t="shared" si="54"/>
        <v>0</v>
      </c>
      <c r="BG20" s="42">
        <v>0</v>
      </c>
      <c r="BH20" s="42">
        <v>0</v>
      </c>
      <c r="BI20" s="42">
        <v>0</v>
      </c>
      <c r="BJ20" s="42">
        <v>0</v>
      </c>
      <c r="BK20" s="42">
        <v>0</v>
      </c>
      <c r="BL20" s="42">
        <v>0</v>
      </c>
      <c r="BM20" s="42">
        <v>0</v>
      </c>
      <c r="BN20" s="42">
        <v>0</v>
      </c>
      <c r="BO20" s="43">
        <f t="shared" si="55"/>
        <v>0</v>
      </c>
      <c r="BP20" s="42">
        <v>0</v>
      </c>
      <c r="BQ20" s="42">
        <v>0</v>
      </c>
      <c r="BR20" s="42">
        <v>0</v>
      </c>
      <c r="BS20" s="43">
        <f t="shared" si="56"/>
        <v>0</v>
      </c>
      <c r="BT20" s="38">
        <v>0</v>
      </c>
      <c r="BU20" s="38">
        <v>0</v>
      </c>
      <c r="BV20" s="38">
        <v>0</v>
      </c>
      <c r="BW20" s="38">
        <v>0</v>
      </c>
      <c r="BX20" s="4">
        <f t="shared" si="57"/>
        <v>0</v>
      </c>
      <c r="BY20" s="38">
        <v>0</v>
      </c>
      <c r="BZ20" s="38">
        <v>0</v>
      </c>
      <c r="CA20" s="38">
        <v>0</v>
      </c>
      <c r="CB20" s="4">
        <f t="shared" si="58"/>
        <v>0</v>
      </c>
      <c r="CC20" s="4">
        <f t="shared" si="59"/>
        <v>0</v>
      </c>
      <c r="CD20" s="74">
        <f t="shared" si="60"/>
        <v>0</v>
      </c>
      <c r="CE20" s="76">
        <f t="shared" si="61"/>
        <v>0</v>
      </c>
      <c r="CF20" s="76">
        <f t="shared" si="62"/>
        <v>0</v>
      </c>
      <c r="CG20" s="76">
        <f t="shared" si="47"/>
        <v>0</v>
      </c>
      <c r="CH20" s="76">
        <f t="shared" si="63"/>
        <v>0</v>
      </c>
      <c r="CI20" s="37">
        <f t="shared" si="64"/>
        <v>0</v>
      </c>
      <c r="CJ20" s="59" t="str">
        <f t="shared" si="36"/>
        <v>-</v>
      </c>
      <c r="CK20" s="59" t="str">
        <f t="shared" si="37"/>
        <v>-</v>
      </c>
      <c r="CL20" s="141" t="str">
        <f t="shared" si="38"/>
        <v>-</v>
      </c>
      <c r="CM20" s="141" t="str">
        <f t="shared" si="39"/>
        <v>-</v>
      </c>
      <c r="CN20" s="141" t="str">
        <f t="shared" si="40"/>
        <v>-</v>
      </c>
      <c r="CO20" s="141" t="str">
        <f t="shared" si="41"/>
        <v>-</v>
      </c>
      <c r="CP20" s="141" t="str">
        <f t="shared" si="42"/>
        <v>-</v>
      </c>
      <c r="CQ20" s="141" t="str">
        <f t="shared" si="43"/>
        <v>-</v>
      </c>
      <c r="CR20" s="142" t="str">
        <f t="shared" si="44"/>
        <v>-</v>
      </c>
      <c r="CS20" s="76">
        <f t="shared" si="45"/>
        <v>0</v>
      </c>
      <c r="CT20" s="80">
        <f t="shared" si="65"/>
        <v>0</v>
      </c>
      <c r="CU20" s="80">
        <f t="shared" si="66"/>
        <v>0</v>
      </c>
      <c r="CV20" s="80">
        <f t="shared" si="67"/>
        <v>0</v>
      </c>
      <c r="CW20" s="80">
        <f t="shared" si="68"/>
        <v>0</v>
      </c>
      <c r="CX20" s="80">
        <f t="shared" si="69"/>
        <v>0</v>
      </c>
      <c r="CY20" s="80">
        <f t="shared" si="70"/>
        <v>0</v>
      </c>
      <c r="CZ20" s="80">
        <f t="shared" si="71"/>
        <v>0</v>
      </c>
      <c r="DA20" s="80">
        <f t="shared" si="72"/>
        <v>0</v>
      </c>
      <c r="DB20" s="80">
        <f t="shared" si="73"/>
        <v>0</v>
      </c>
      <c r="DC20" s="80">
        <f t="shared" si="74"/>
        <v>0</v>
      </c>
      <c r="DD20" s="80">
        <f t="shared" si="75"/>
        <v>0</v>
      </c>
      <c r="DE20" s="80">
        <f t="shared" si="76"/>
        <v>0</v>
      </c>
      <c r="DF20" s="80" t="e">
        <f t="shared" si="77"/>
        <v>#DIV/0!</v>
      </c>
      <c r="DG20" s="80" t="e">
        <f t="shared" si="78"/>
        <v>#DIV/0!</v>
      </c>
      <c r="DH20" s="80" t="e">
        <f t="shared" si="79"/>
        <v>#DIV/0!</v>
      </c>
      <c r="DI20" s="81" t="e">
        <f t="shared" si="80"/>
        <v>#DIV/0!</v>
      </c>
      <c r="DJ20" s="76" t="e">
        <f t="shared" si="81"/>
        <v>#DIV/0!</v>
      </c>
      <c r="DK20" s="147">
        <f t="shared" si="46"/>
        <v>0</v>
      </c>
      <c r="DL20" s="67"/>
      <c r="DM20" s="68"/>
    </row>
    <row r="21" spans="1:117" ht="12.75">
      <c r="A21" s="52" t="s">
        <v>13</v>
      </c>
      <c r="B21" s="43"/>
      <c r="C21" s="4"/>
      <c r="D21" s="69"/>
      <c r="E21" s="69"/>
      <c r="F21" s="8">
        <v>4</v>
      </c>
      <c r="G21" s="13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f t="shared" si="0"/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f t="shared" si="48"/>
        <v>0</v>
      </c>
      <c r="X21" s="43">
        <v>0</v>
      </c>
      <c r="Y21" s="43">
        <f t="shared" si="49"/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f t="shared" si="50"/>
        <v>0</v>
      </c>
      <c r="AF21" s="43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43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f t="shared" si="51"/>
        <v>0</v>
      </c>
      <c r="AT21" s="4">
        <v>0</v>
      </c>
      <c r="AU21" s="4">
        <f t="shared" si="52"/>
        <v>0</v>
      </c>
      <c r="AV21" s="4">
        <v>0</v>
      </c>
      <c r="AW21" s="4">
        <v>0</v>
      </c>
      <c r="AX21" s="4">
        <f t="shared" si="53"/>
        <v>0</v>
      </c>
      <c r="AY21" s="43">
        <v>0</v>
      </c>
      <c r="AZ21" s="43">
        <v>0</v>
      </c>
      <c r="BA21" s="43">
        <v>0</v>
      </c>
      <c r="BB21" s="43">
        <v>0</v>
      </c>
      <c r="BC21" s="43">
        <v>0</v>
      </c>
      <c r="BD21" s="43">
        <v>0</v>
      </c>
      <c r="BE21" s="43">
        <v>0</v>
      </c>
      <c r="BF21" s="43">
        <f t="shared" si="54"/>
        <v>0</v>
      </c>
      <c r="BG21" s="43">
        <v>0</v>
      </c>
      <c r="BH21" s="43">
        <v>0</v>
      </c>
      <c r="BI21" s="43">
        <v>0</v>
      </c>
      <c r="BJ21" s="43">
        <v>0</v>
      </c>
      <c r="BK21" s="43">
        <v>0</v>
      </c>
      <c r="BL21" s="43">
        <v>0</v>
      </c>
      <c r="BM21" s="43">
        <v>0</v>
      </c>
      <c r="BN21" s="43">
        <v>0</v>
      </c>
      <c r="BO21" s="43">
        <f t="shared" si="55"/>
        <v>0</v>
      </c>
      <c r="BP21" s="43">
        <v>0</v>
      </c>
      <c r="BQ21" s="43">
        <v>0</v>
      </c>
      <c r="BR21" s="43">
        <v>0</v>
      </c>
      <c r="BS21" s="43">
        <f t="shared" si="56"/>
        <v>0</v>
      </c>
      <c r="BT21" s="4">
        <v>0</v>
      </c>
      <c r="BU21" s="4">
        <v>0</v>
      </c>
      <c r="BV21" s="4">
        <v>0</v>
      </c>
      <c r="BW21" s="4">
        <v>0</v>
      </c>
      <c r="BX21" s="4">
        <f t="shared" si="57"/>
        <v>0</v>
      </c>
      <c r="BY21" s="4">
        <v>0</v>
      </c>
      <c r="BZ21" s="4">
        <v>0</v>
      </c>
      <c r="CA21" s="4">
        <v>0</v>
      </c>
      <c r="CB21" s="4">
        <f t="shared" si="58"/>
        <v>0</v>
      </c>
      <c r="CC21" s="4">
        <f t="shared" si="59"/>
        <v>0</v>
      </c>
      <c r="CD21" s="74">
        <f t="shared" si="60"/>
        <v>0</v>
      </c>
      <c r="CE21" s="76">
        <f t="shared" si="61"/>
        <v>0</v>
      </c>
      <c r="CF21" s="76">
        <f t="shared" si="62"/>
        <v>0</v>
      </c>
      <c r="CG21" s="76">
        <f t="shared" si="47"/>
        <v>0</v>
      </c>
      <c r="CH21" s="76">
        <f t="shared" si="63"/>
        <v>0</v>
      </c>
      <c r="CI21" s="37">
        <f t="shared" si="64"/>
        <v>0</v>
      </c>
      <c r="CJ21" s="59" t="str">
        <f t="shared" si="36"/>
        <v>-</v>
      </c>
      <c r="CK21" s="59" t="str">
        <f t="shared" si="37"/>
        <v>-</v>
      </c>
      <c r="CL21" s="141" t="str">
        <f t="shared" si="38"/>
        <v>-</v>
      </c>
      <c r="CM21" s="141" t="str">
        <f t="shared" si="39"/>
        <v>-</v>
      </c>
      <c r="CN21" s="141" t="str">
        <f t="shared" si="40"/>
        <v>-</v>
      </c>
      <c r="CO21" s="141" t="str">
        <f t="shared" si="41"/>
        <v>-</v>
      </c>
      <c r="CP21" s="141" t="str">
        <f t="shared" si="42"/>
        <v>-</v>
      </c>
      <c r="CQ21" s="141" t="str">
        <f t="shared" si="43"/>
        <v>-</v>
      </c>
      <c r="CR21" s="142" t="str">
        <f t="shared" si="44"/>
        <v>-</v>
      </c>
      <c r="CS21" s="76">
        <f t="shared" si="45"/>
        <v>0</v>
      </c>
      <c r="CT21" s="80">
        <f t="shared" si="65"/>
        <v>0</v>
      </c>
      <c r="CU21" s="80">
        <f t="shared" si="66"/>
        <v>0</v>
      </c>
      <c r="CV21" s="80">
        <f t="shared" si="67"/>
        <v>0</v>
      </c>
      <c r="CW21" s="80">
        <f t="shared" si="68"/>
        <v>0</v>
      </c>
      <c r="CX21" s="80">
        <f t="shared" si="69"/>
        <v>0</v>
      </c>
      <c r="CY21" s="80">
        <f t="shared" si="70"/>
        <v>0</v>
      </c>
      <c r="CZ21" s="80">
        <f t="shared" si="71"/>
        <v>0</v>
      </c>
      <c r="DA21" s="80">
        <f t="shared" si="72"/>
        <v>0</v>
      </c>
      <c r="DB21" s="80">
        <f t="shared" si="73"/>
        <v>0</v>
      </c>
      <c r="DC21" s="80">
        <f t="shared" si="74"/>
        <v>0</v>
      </c>
      <c r="DD21" s="80">
        <f t="shared" si="75"/>
        <v>0</v>
      </c>
      <c r="DE21" s="80">
        <f t="shared" si="76"/>
        <v>0</v>
      </c>
      <c r="DF21" s="80" t="e">
        <f t="shared" si="77"/>
        <v>#DIV/0!</v>
      </c>
      <c r="DG21" s="80" t="e">
        <f t="shared" si="78"/>
        <v>#DIV/0!</v>
      </c>
      <c r="DH21" s="80" t="e">
        <f t="shared" si="79"/>
        <v>#DIV/0!</v>
      </c>
      <c r="DI21" s="81" t="e">
        <f t="shared" si="80"/>
        <v>#DIV/0!</v>
      </c>
      <c r="DJ21" s="76" t="e">
        <f t="shared" si="81"/>
        <v>#DIV/0!</v>
      </c>
      <c r="DK21" s="147">
        <f t="shared" si="46"/>
        <v>0</v>
      </c>
      <c r="DL21" s="64"/>
      <c r="DM21" s="65"/>
    </row>
    <row r="22" spans="1:117" ht="12.75">
      <c r="A22" s="51" t="s">
        <v>14</v>
      </c>
      <c r="B22" s="42"/>
      <c r="C22" s="38"/>
      <c r="D22" s="66"/>
      <c r="E22" s="66"/>
      <c r="F22" s="128">
        <v>3</v>
      </c>
      <c r="G22" s="134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3">
        <f t="shared" si="0"/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3">
        <f t="shared" si="48"/>
        <v>0</v>
      </c>
      <c r="X22" s="42">
        <v>0</v>
      </c>
      <c r="Y22" s="43">
        <f t="shared" si="49"/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3">
        <f t="shared" si="50"/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4">
        <f t="shared" si="51"/>
        <v>0</v>
      </c>
      <c r="AT22" s="38">
        <v>0</v>
      </c>
      <c r="AU22" s="4">
        <f t="shared" si="52"/>
        <v>0</v>
      </c>
      <c r="AV22" s="38">
        <v>0</v>
      </c>
      <c r="AW22" s="38">
        <v>0</v>
      </c>
      <c r="AX22" s="4">
        <f t="shared" si="53"/>
        <v>0</v>
      </c>
      <c r="AY22" s="42">
        <v>0</v>
      </c>
      <c r="AZ22" s="42">
        <v>0</v>
      </c>
      <c r="BA22" s="42">
        <v>0</v>
      </c>
      <c r="BB22" s="42">
        <v>0</v>
      </c>
      <c r="BC22" s="42">
        <v>0</v>
      </c>
      <c r="BD22" s="42">
        <v>0</v>
      </c>
      <c r="BE22" s="42">
        <v>0</v>
      </c>
      <c r="BF22" s="43">
        <f t="shared" si="54"/>
        <v>0</v>
      </c>
      <c r="BG22" s="42">
        <v>0</v>
      </c>
      <c r="BH22" s="42">
        <v>0</v>
      </c>
      <c r="BI22" s="42">
        <v>0</v>
      </c>
      <c r="BJ22" s="42">
        <v>0</v>
      </c>
      <c r="BK22" s="42">
        <v>0</v>
      </c>
      <c r="BL22" s="42">
        <v>0</v>
      </c>
      <c r="BM22" s="42">
        <v>0</v>
      </c>
      <c r="BN22" s="42">
        <v>0</v>
      </c>
      <c r="BO22" s="43">
        <f t="shared" si="55"/>
        <v>0</v>
      </c>
      <c r="BP22" s="42">
        <v>0</v>
      </c>
      <c r="BQ22" s="42">
        <v>0</v>
      </c>
      <c r="BR22" s="42">
        <v>0</v>
      </c>
      <c r="BS22" s="43">
        <f t="shared" si="56"/>
        <v>0</v>
      </c>
      <c r="BT22" s="38">
        <v>0</v>
      </c>
      <c r="BU22" s="38">
        <v>0</v>
      </c>
      <c r="BV22" s="38">
        <v>0</v>
      </c>
      <c r="BW22" s="38">
        <v>0</v>
      </c>
      <c r="BX22" s="4">
        <f t="shared" si="57"/>
        <v>0</v>
      </c>
      <c r="BY22" s="38">
        <v>0</v>
      </c>
      <c r="BZ22" s="38">
        <v>0</v>
      </c>
      <c r="CA22" s="38">
        <v>0</v>
      </c>
      <c r="CB22" s="4">
        <f t="shared" si="58"/>
        <v>0</v>
      </c>
      <c r="CC22" s="4">
        <f t="shared" si="59"/>
        <v>0</v>
      </c>
      <c r="CD22" s="74">
        <f t="shared" si="60"/>
        <v>0</v>
      </c>
      <c r="CE22" s="76">
        <f t="shared" si="61"/>
        <v>0</v>
      </c>
      <c r="CF22" s="76">
        <f t="shared" si="62"/>
        <v>0</v>
      </c>
      <c r="CG22" s="76">
        <f t="shared" si="47"/>
        <v>0</v>
      </c>
      <c r="CH22" s="76">
        <f t="shared" si="63"/>
        <v>0</v>
      </c>
      <c r="CI22" s="37">
        <f t="shared" si="64"/>
        <v>0</v>
      </c>
      <c r="CJ22" s="59" t="str">
        <f t="shared" si="36"/>
        <v>-</v>
      </c>
      <c r="CK22" s="59" t="str">
        <f t="shared" si="37"/>
        <v>-</v>
      </c>
      <c r="CL22" s="141" t="str">
        <f t="shared" si="38"/>
        <v>-</v>
      </c>
      <c r="CM22" s="141" t="str">
        <f t="shared" si="39"/>
        <v>-</v>
      </c>
      <c r="CN22" s="141" t="str">
        <f t="shared" si="40"/>
        <v>-</v>
      </c>
      <c r="CO22" s="141" t="str">
        <f t="shared" si="41"/>
        <v>-</v>
      </c>
      <c r="CP22" s="141" t="str">
        <f t="shared" si="42"/>
        <v>-</v>
      </c>
      <c r="CQ22" s="141" t="str">
        <f t="shared" si="43"/>
        <v>-</v>
      </c>
      <c r="CR22" s="142" t="str">
        <f t="shared" si="44"/>
        <v>-</v>
      </c>
      <c r="CS22" s="76">
        <f t="shared" si="45"/>
        <v>0</v>
      </c>
      <c r="CT22" s="80">
        <f t="shared" si="65"/>
        <v>0</v>
      </c>
      <c r="CU22" s="80">
        <f t="shared" si="66"/>
        <v>0</v>
      </c>
      <c r="CV22" s="80">
        <f t="shared" si="67"/>
        <v>0</v>
      </c>
      <c r="CW22" s="80">
        <f t="shared" si="68"/>
        <v>0</v>
      </c>
      <c r="CX22" s="80">
        <f t="shared" si="69"/>
        <v>0</v>
      </c>
      <c r="CY22" s="80">
        <f t="shared" si="70"/>
        <v>0</v>
      </c>
      <c r="CZ22" s="80">
        <f t="shared" si="71"/>
        <v>0</v>
      </c>
      <c r="DA22" s="80">
        <f t="shared" si="72"/>
        <v>0</v>
      </c>
      <c r="DB22" s="80">
        <f t="shared" si="73"/>
        <v>0</v>
      </c>
      <c r="DC22" s="80">
        <f t="shared" si="74"/>
        <v>0</v>
      </c>
      <c r="DD22" s="80">
        <f t="shared" si="75"/>
        <v>0</v>
      </c>
      <c r="DE22" s="80">
        <f t="shared" si="76"/>
        <v>0</v>
      </c>
      <c r="DF22" s="80" t="e">
        <f t="shared" si="77"/>
        <v>#DIV/0!</v>
      </c>
      <c r="DG22" s="80" t="e">
        <f t="shared" si="78"/>
        <v>#DIV/0!</v>
      </c>
      <c r="DH22" s="80" t="e">
        <f t="shared" si="79"/>
        <v>#DIV/0!</v>
      </c>
      <c r="DI22" s="81" t="e">
        <f t="shared" si="80"/>
        <v>#DIV/0!</v>
      </c>
      <c r="DJ22" s="76" t="e">
        <f t="shared" si="81"/>
        <v>#DIV/0!</v>
      </c>
      <c r="DK22" s="147">
        <f t="shared" si="46"/>
        <v>0</v>
      </c>
      <c r="DL22" s="67"/>
      <c r="DM22" s="68"/>
    </row>
    <row r="23" spans="1:117" ht="12.75">
      <c r="A23" s="52" t="s">
        <v>15</v>
      </c>
      <c r="B23" s="43"/>
      <c r="C23" s="4"/>
      <c r="D23" s="69"/>
      <c r="E23" s="69"/>
      <c r="F23" s="8">
        <v>8</v>
      </c>
      <c r="G23" s="13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f t="shared" si="0"/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f t="shared" si="48"/>
        <v>0</v>
      </c>
      <c r="X23" s="43">
        <v>0</v>
      </c>
      <c r="Y23" s="43">
        <f t="shared" si="49"/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f t="shared" si="50"/>
        <v>0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43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f t="shared" si="51"/>
        <v>0</v>
      </c>
      <c r="AT23" s="4">
        <v>0</v>
      </c>
      <c r="AU23" s="4">
        <f t="shared" si="52"/>
        <v>0</v>
      </c>
      <c r="AV23" s="4">
        <v>0</v>
      </c>
      <c r="AW23" s="4">
        <v>0</v>
      </c>
      <c r="AX23" s="4">
        <f t="shared" si="53"/>
        <v>0</v>
      </c>
      <c r="AY23" s="43">
        <v>0</v>
      </c>
      <c r="AZ23" s="43">
        <v>0</v>
      </c>
      <c r="BA23" s="43">
        <v>0</v>
      </c>
      <c r="BB23" s="43">
        <v>0</v>
      </c>
      <c r="BC23" s="43">
        <v>0</v>
      </c>
      <c r="BD23" s="43">
        <v>0</v>
      </c>
      <c r="BE23" s="43">
        <v>0</v>
      </c>
      <c r="BF23" s="43">
        <f t="shared" si="54"/>
        <v>0</v>
      </c>
      <c r="BG23" s="43">
        <v>0</v>
      </c>
      <c r="BH23" s="43">
        <v>0</v>
      </c>
      <c r="BI23" s="43">
        <v>0</v>
      </c>
      <c r="BJ23" s="43">
        <v>0</v>
      </c>
      <c r="BK23" s="43">
        <v>0</v>
      </c>
      <c r="BL23" s="43">
        <v>0</v>
      </c>
      <c r="BM23" s="43">
        <v>0</v>
      </c>
      <c r="BN23" s="43">
        <v>0</v>
      </c>
      <c r="BO23" s="43">
        <f t="shared" si="55"/>
        <v>0</v>
      </c>
      <c r="BP23" s="43">
        <v>0</v>
      </c>
      <c r="BQ23" s="43">
        <v>0</v>
      </c>
      <c r="BR23" s="43">
        <v>0</v>
      </c>
      <c r="BS23" s="43">
        <f t="shared" si="56"/>
        <v>0</v>
      </c>
      <c r="BT23" s="4">
        <v>0</v>
      </c>
      <c r="BU23" s="4">
        <v>0</v>
      </c>
      <c r="BV23" s="4">
        <v>0</v>
      </c>
      <c r="BW23" s="4">
        <v>0</v>
      </c>
      <c r="BX23" s="4">
        <f t="shared" si="57"/>
        <v>0</v>
      </c>
      <c r="BY23" s="4">
        <v>0</v>
      </c>
      <c r="BZ23" s="4">
        <v>0</v>
      </c>
      <c r="CA23" s="4">
        <v>0</v>
      </c>
      <c r="CB23" s="4">
        <f t="shared" si="58"/>
        <v>0</v>
      </c>
      <c r="CC23" s="4">
        <f t="shared" si="59"/>
        <v>0</v>
      </c>
      <c r="CD23" s="74">
        <f t="shared" si="60"/>
        <v>0</v>
      </c>
      <c r="CE23" s="76">
        <f t="shared" si="61"/>
        <v>0</v>
      </c>
      <c r="CF23" s="76">
        <f t="shared" si="62"/>
        <v>0</v>
      </c>
      <c r="CG23" s="76">
        <f t="shared" si="47"/>
        <v>0</v>
      </c>
      <c r="CH23" s="76">
        <f t="shared" si="63"/>
        <v>0</v>
      </c>
      <c r="CI23" s="37">
        <f t="shared" si="64"/>
        <v>0</v>
      </c>
      <c r="CJ23" s="59" t="str">
        <f t="shared" si="36"/>
        <v>-</v>
      </c>
      <c r="CK23" s="59" t="str">
        <f t="shared" si="37"/>
        <v>-</v>
      </c>
      <c r="CL23" s="141" t="str">
        <f t="shared" si="38"/>
        <v>-</v>
      </c>
      <c r="CM23" s="141" t="str">
        <f t="shared" si="39"/>
        <v>-</v>
      </c>
      <c r="CN23" s="141" t="str">
        <f t="shared" si="40"/>
        <v>-</v>
      </c>
      <c r="CO23" s="141" t="str">
        <f t="shared" si="41"/>
        <v>-</v>
      </c>
      <c r="CP23" s="141" t="str">
        <f t="shared" si="42"/>
        <v>-</v>
      </c>
      <c r="CQ23" s="141" t="str">
        <f t="shared" si="43"/>
        <v>-</v>
      </c>
      <c r="CR23" s="142" t="str">
        <f t="shared" si="44"/>
        <v>-</v>
      </c>
      <c r="CS23" s="76">
        <f t="shared" si="45"/>
        <v>0</v>
      </c>
      <c r="CT23" s="80">
        <f t="shared" si="65"/>
        <v>0</v>
      </c>
      <c r="CU23" s="80">
        <f t="shared" si="66"/>
        <v>0</v>
      </c>
      <c r="CV23" s="80">
        <f t="shared" si="67"/>
        <v>0</v>
      </c>
      <c r="CW23" s="80">
        <f t="shared" si="68"/>
        <v>0</v>
      </c>
      <c r="CX23" s="80">
        <f t="shared" si="69"/>
        <v>0</v>
      </c>
      <c r="CY23" s="80">
        <f t="shared" si="70"/>
        <v>0</v>
      </c>
      <c r="CZ23" s="80">
        <f t="shared" si="71"/>
        <v>0</v>
      </c>
      <c r="DA23" s="80">
        <f t="shared" si="72"/>
        <v>0</v>
      </c>
      <c r="DB23" s="80">
        <f t="shared" si="73"/>
        <v>0</v>
      </c>
      <c r="DC23" s="80">
        <f t="shared" si="74"/>
        <v>0</v>
      </c>
      <c r="DD23" s="80">
        <f t="shared" si="75"/>
        <v>0</v>
      </c>
      <c r="DE23" s="80">
        <f t="shared" si="76"/>
        <v>0</v>
      </c>
      <c r="DF23" s="80" t="e">
        <f t="shared" si="77"/>
        <v>#DIV/0!</v>
      </c>
      <c r="DG23" s="80" t="e">
        <f t="shared" si="78"/>
        <v>#DIV/0!</v>
      </c>
      <c r="DH23" s="80" t="e">
        <f t="shared" si="79"/>
        <v>#DIV/0!</v>
      </c>
      <c r="DI23" s="81" t="e">
        <f t="shared" si="80"/>
        <v>#DIV/0!</v>
      </c>
      <c r="DJ23" s="76" t="e">
        <f t="shared" si="81"/>
        <v>#DIV/0!</v>
      </c>
      <c r="DK23" s="147">
        <f t="shared" si="46"/>
        <v>0</v>
      </c>
      <c r="DL23" s="64"/>
      <c r="DM23" s="65"/>
    </row>
    <row r="24" spans="1:117" ht="12.75">
      <c r="A24" s="51" t="s">
        <v>16</v>
      </c>
      <c r="B24" s="42"/>
      <c r="C24" s="38"/>
      <c r="D24" s="66"/>
      <c r="E24" s="66"/>
      <c r="F24" s="128">
        <v>2</v>
      </c>
      <c r="G24" s="134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3">
        <f t="shared" si="0"/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3">
        <f t="shared" si="48"/>
        <v>0</v>
      </c>
      <c r="X24" s="42">
        <v>0</v>
      </c>
      <c r="Y24" s="43">
        <f t="shared" si="49"/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3">
        <f t="shared" si="50"/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38">
        <v>0</v>
      </c>
      <c r="AO24" s="38">
        <v>0</v>
      </c>
      <c r="AP24" s="38">
        <v>0</v>
      </c>
      <c r="AQ24" s="38">
        <v>0</v>
      </c>
      <c r="AR24" s="38">
        <v>0</v>
      </c>
      <c r="AS24" s="4">
        <f t="shared" si="51"/>
        <v>0</v>
      </c>
      <c r="AT24" s="38">
        <v>0</v>
      </c>
      <c r="AU24" s="4">
        <f t="shared" si="52"/>
        <v>0</v>
      </c>
      <c r="AV24" s="38">
        <v>0</v>
      </c>
      <c r="AW24" s="38">
        <v>0</v>
      </c>
      <c r="AX24" s="4">
        <f t="shared" si="53"/>
        <v>0</v>
      </c>
      <c r="AY24" s="42">
        <v>0</v>
      </c>
      <c r="AZ24" s="42">
        <v>0</v>
      </c>
      <c r="BA24" s="42">
        <v>0</v>
      </c>
      <c r="BB24" s="42">
        <v>0</v>
      </c>
      <c r="BC24" s="42">
        <v>0</v>
      </c>
      <c r="BD24" s="42">
        <v>0</v>
      </c>
      <c r="BE24" s="42">
        <v>0</v>
      </c>
      <c r="BF24" s="43">
        <f t="shared" si="54"/>
        <v>0</v>
      </c>
      <c r="BG24" s="42">
        <v>0</v>
      </c>
      <c r="BH24" s="42">
        <v>0</v>
      </c>
      <c r="BI24" s="42">
        <v>0</v>
      </c>
      <c r="BJ24" s="42">
        <v>0</v>
      </c>
      <c r="BK24" s="42">
        <v>0</v>
      </c>
      <c r="BL24" s="42">
        <v>0</v>
      </c>
      <c r="BM24" s="42">
        <v>0</v>
      </c>
      <c r="BN24" s="42">
        <v>0</v>
      </c>
      <c r="BO24" s="43">
        <f t="shared" si="55"/>
        <v>0</v>
      </c>
      <c r="BP24" s="42">
        <v>0</v>
      </c>
      <c r="BQ24" s="42">
        <v>0</v>
      </c>
      <c r="BR24" s="42">
        <v>0</v>
      </c>
      <c r="BS24" s="43">
        <f t="shared" si="56"/>
        <v>0</v>
      </c>
      <c r="BT24" s="38">
        <v>0</v>
      </c>
      <c r="BU24" s="38">
        <v>0</v>
      </c>
      <c r="BV24" s="38">
        <v>0</v>
      </c>
      <c r="BW24" s="38">
        <v>0</v>
      </c>
      <c r="BX24" s="4">
        <f t="shared" si="57"/>
        <v>0</v>
      </c>
      <c r="BY24" s="38">
        <v>0</v>
      </c>
      <c r="BZ24" s="38">
        <v>0</v>
      </c>
      <c r="CA24" s="38">
        <v>0</v>
      </c>
      <c r="CB24" s="4">
        <f t="shared" si="58"/>
        <v>0</v>
      </c>
      <c r="CC24" s="4">
        <f t="shared" si="59"/>
        <v>0</v>
      </c>
      <c r="CD24" s="74">
        <f t="shared" si="60"/>
        <v>0</v>
      </c>
      <c r="CE24" s="76">
        <f t="shared" si="61"/>
        <v>0</v>
      </c>
      <c r="CF24" s="76">
        <f t="shared" si="62"/>
        <v>0</v>
      </c>
      <c r="CG24" s="76">
        <f t="shared" si="47"/>
        <v>0</v>
      </c>
      <c r="CH24" s="76">
        <f t="shared" si="63"/>
        <v>0</v>
      </c>
      <c r="CI24" s="37">
        <f t="shared" si="64"/>
        <v>0</v>
      </c>
      <c r="CJ24" s="59" t="str">
        <f t="shared" si="36"/>
        <v>-</v>
      </c>
      <c r="CK24" s="59" t="str">
        <f t="shared" si="37"/>
        <v>-</v>
      </c>
      <c r="CL24" s="141" t="str">
        <f t="shared" si="38"/>
        <v>-</v>
      </c>
      <c r="CM24" s="141" t="str">
        <f t="shared" si="39"/>
        <v>-</v>
      </c>
      <c r="CN24" s="141" t="str">
        <f t="shared" si="40"/>
        <v>-</v>
      </c>
      <c r="CO24" s="141" t="str">
        <f t="shared" si="41"/>
        <v>-</v>
      </c>
      <c r="CP24" s="141" t="str">
        <f t="shared" si="42"/>
        <v>-</v>
      </c>
      <c r="CQ24" s="141" t="str">
        <f t="shared" si="43"/>
        <v>-</v>
      </c>
      <c r="CR24" s="142" t="str">
        <f t="shared" si="44"/>
        <v>-</v>
      </c>
      <c r="CS24" s="76">
        <f t="shared" si="45"/>
        <v>0</v>
      </c>
      <c r="CT24" s="80">
        <f t="shared" si="65"/>
        <v>0</v>
      </c>
      <c r="CU24" s="80">
        <f t="shared" si="66"/>
        <v>0</v>
      </c>
      <c r="CV24" s="80">
        <f t="shared" si="67"/>
        <v>0</v>
      </c>
      <c r="CW24" s="80">
        <f t="shared" si="68"/>
        <v>0</v>
      </c>
      <c r="CX24" s="80">
        <f t="shared" si="69"/>
        <v>0</v>
      </c>
      <c r="CY24" s="80">
        <f t="shared" si="70"/>
        <v>0</v>
      </c>
      <c r="CZ24" s="80">
        <f t="shared" si="71"/>
        <v>0</v>
      </c>
      <c r="DA24" s="80">
        <f t="shared" si="72"/>
        <v>0</v>
      </c>
      <c r="DB24" s="80">
        <f t="shared" si="73"/>
        <v>0</v>
      </c>
      <c r="DC24" s="80">
        <f t="shared" si="74"/>
        <v>0</v>
      </c>
      <c r="DD24" s="80">
        <f t="shared" si="75"/>
        <v>0</v>
      </c>
      <c r="DE24" s="80">
        <f t="shared" si="76"/>
        <v>0</v>
      </c>
      <c r="DF24" s="80" t="e">
        <f t="shared" si="77"/>
        <v>#DIV/0!</v>
      </c>
      <c r="DG24" s="80" t="e">
        <f t="shared" si="78"/>
        <v>#DIV/0!</v>
      </c>
      <c r="DH24" s="80" t="e">
        <f t="shared" si="79"/>
        <v>#DIV/0!</v>
      </c>
      <c r="DI24" s="81" t="e">
        <f t="shared" si="80"/>
        <v>#DIV/0!</v>
      </c>
      <c r="DJ24" s="76" t="e">
        <f t="shared" si="81"/>
        <v>#DIV/0!</v>
      </c>
      <c r="DK24" s="147">
        <f t="shared" si="46"/>
        <v>0</v>
      </c>
      <c r="DL24" s="67"/>
      <c r="DM24" s="68"/>
    </row>
    <row r="25" spans="1:117" ht="12.75">
      <c r="A25" s="52" t="s">
        <v>36</v>
      </c>
      <c r="B25" s="43"/>
      <c r="C25" s="4"/>
      <c r="D25" s="69"/>
      <c r="E25" s="69"/>
      <c r="F25" s="8">
        <v>2</v>
      </c>
      <c r="G25" s="13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f t="shared" si="0"/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f t="shared" si="48"/>
        <v>0</v>
      </c>
      <c r="X25" s="43">
        <v>0</v>
      </c>
      <c r="Y25" s="43">
        <f t="shared" si="49"/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f t="shared" si="50"/>
        <v>0</v>
      </c>
      <c r="AF25" s="43">
        <v>0</v>
      </c>
      <c r="AG25" s="43">
        <v>0</v>
      </c>
      <c r="AH25" s="43">
        <v>0</v>
      </c>
      <c r="AI25" s="43">
        <v>0</v>
      </c>
      <c r="AJ25" s="43">
        <v>0</v>
      </c>
      <c r="AK25" s="43">
        <v>0</v>
      </c>
      <c r="AL25" s="43">
        <v>0</v>
      </c>
      <c r="AM25" s="43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f t="shared" si="51"/>
        <v>0</v>
      </c>
      <c r="AT25" s="4">
        <v>0</v>
      </c>
      <c r="AU25" s="4">
        <f t="shared" si="52"/>
        <v>0</v>
      </c>
      <c r="AV25" s="4">
        <v>0</v>
      </c>
      <c r="AW25" s="4">
        <v>0</v>
      </c>
      <c r="AX25" s="4">
        <f t="shared" si="53"/>
        <v>0</v>
      </c>
      <c r="AY25" s="43">
        <v>0</v>
      </c>
      <c r="AZ25" s="43">
        <v>0</v>
      </c>
      <c r="BA25" s="43">
        <v>0</v>
      </c>
      <c r="BB25" s="43">
        <v>0</v>
      </c>
      <c r="BC25" s="43">
        <v>0</v>
      </c>
      <c r="BD25" s="43">
        <v>0</v>
      </c>
      <c r="BE25" s="43">
        <v>0</v>
      </c>
      <c r="BF25" s="43">
        <f t="shared" si="54"/>
        <v>0</v>
      </c>
      <c r="BG25" s="43">
        <v>0</v>
      </c>
      <c r="BH25" s="43">
        <v>0</v>
      </c>
      <c r="BI25" s="43">
        <v>0</v>
      </c>
      <c r="BJ25" s="43">
        <v>0</v>
      </c>
      <c r="BK25" s="43">
        <v>0</v>
      </c>
      <c r="BL25" s="43">
        <v>0</v>
      </c>
      <c r="BM25" s="43">
        <v>0</v>
      </c>
      <c r="BN25" s="43">
        <v>0</v>
      </c>
      <c r="BO25" s="43">
        <f t="shared" si="55"/>
        <v>0</v>
      </c>
      <c r="BP25" s="43">
        <v>0</v>
      </c>
      <c r="BQ25" s="43">
        <v>0</v>
      </c>
      <c r="BR25" s="43">
        <v>0</v>
      </c>
      <c r="BS25" s="43">
        <f t="shared" si="56"/>
        <v>0</v>
      </c>
      <c r="BT25" s="4">
        <v>0</v>
      </c>
      <c r="BU25" s="4">
        <v>0</v>
      </c>
      <c r="BV25" s="4">
        <v>0</v>
      </c>
      <c r="BW25" s="4">
        <v>0</v>
      </c>
      <c r="BX25" s="4">
        <f t="shared" si="57"/>
        <v>0</v>
      </c>
      <c r="BY25" s="4">
        <v>0</v>
      </c>
      <c r="BZ25" s="4">
        <v>0</v>
      </c>
      <c r="CA25" s="4">
        <v>0</v>
      </c>
      <c r="CB25" s="4">
        <f t="shared" si="58"/>
        <v>0</v>
      </c>
      <c r="CC25" s="4">
        <f t="shared" si="59"/>
        <v>0</v>
      </c>
      <c r="CD25" s="74">
        <f t="shared" si="60"/>
        <v>0</v>
      </c>
      <c r="CE25" s="76">
        <f t="shared" si="61"/>
        <v>0</v>
      </c>
      <c r="CF25" s="76">
        <f t="shared" si="62"/>
        <v>0</v>
      </c>
      <c r="CG25" s="76">
        <f t="shared" si="47"/>
        <v>0</v>
      </c>
      <c r="CH25" s="76">
        <f t="shared" si="63"/>
        <v>0</v>
      </c>
      <c r="CI25" s="37">
        <f t="shared" si="64"/>
        <v>0</v>
      </c>
      <c r="CJ25" s="59" t="str">
        <f t="shared" si="36"/>
        <v>-</v>
      </c>
      <c r="CK25" s="59" t="str">
        <f t="shared" si="37"/>
        <v>-</v>
      </c>
      <c r="CL25" s="141" t="str">
        <f t="shared" si="38"/>
        <v>-</v>
      </c>
      <c r="CM25" s="141" t="str">
        <f t="shared" si="39"/>
        <v>-</v>
      </c>
      <c r="CN25" s="141" t="str">
        <f t="shared" si="40"/>
        <v>-</v>
      </c>
      <c r="CO25" s="141" t="str">
        <f t="shared" si="41"/>
        <v>-</v>
      </c>
      <c r="CP25" s="141" t="str">
        <f t="shared" si="42"/>
        <v>-</v>
      </c>
      <c r="CQ25" s="141" t="str">
        <f t="shared" si="43"/>
        <v>-</v>
      </c>
      <c r="CR25" s="142" t="str">
        <f t="shared" si="44"/>
        <v>-</v>
      </c>
      <c r="CS25" s="76">
        <f t="shared" si="45"/>
        <v>0</v>
      </c>
      <c r="CT25" s="80">
        <f t="shared" si="65"/>
        <v>0</v>
      </c>
      <c r="CU25" s="80">
        <f t="shared" si="66"/>
        <v>0</v>
      </c>
      <c r="CV25" s="80">
        <f t="shared" si="67"/>
        <v>0</v>
      </c>
      <c r="CW25" s="80">
        <f t="shared" si="68"/>
        <v>0</v>
      </c>
      <c r="CX25" s="80">
        <f t="shared" si="69"/>
        <v>0</v>
      </c>
      <c r="CY25" s="80">
        <f t="shared" si="70"/>
        <v>0</v>
      </c>
      <c r="CZ25" s="80">
        <f t="shared" si="71"/>
        <v>0</v>
      </c>
      <c r="DA25" s="80">
        <f t="shared" si="72"/>
        <v>0</v>
      </c>
      <c r="DB25" s="80">
        <f t="shared" si="73"/>
        <v>0</v>
      </c>
      <c r="DC25" s="80">
        <f t="shared" si="74"/>
        <v>0</v>
      </c>
      <c r="DD25" s="80">
        <f t="shared" si="75"/>
        <v>0</v>
      </c>
      <c r="DE25" s="80">
        <f t="shared" si="76"/>
        <v>0</v>
      </c>
      <c r="DF25" s="80" t="e">
        <f t="shared" si="77"/>
        <v>#DIV/0!</v>
      </c>
      <c r="DG25" s="80" t="e">
        <f t="shared" si="78"/>
        <v>#DIV/0!</v>
      </c>
      <c r="DH25" s="80" t="e">
        <f t="shared" si="79"/>
        <v>#DIV/0!</v>
      </c>
      <c r="DI25" s="81" t="e">
        <f t="shared" si="80"/>
        <v>#DIV/0!</v>
      </c>
      <c r="DJ25" s="76" t="e">
        <f t="shared" si="81"/>
        <v>#DIV/0!</v>
      </c>
      <c r="DK25" s="147">
        <f t="shared" si="46"/>
        <v>0</v>
      </c>
      <c r="DL25" s="64"/>
      <c r="DM25" s="65"/>
    </row>
    <row r="26" spans="1:117" ht="12.75">
      <c r="A26" s="51" t="s">
        <v>17</v>
      </c>
      <c r="B26" s="42"/>
      <c r="C26" s="38"/>
      <c r="D26" s="66"/>
      <c r="E26" s="66"/>
      <c r="F26" s="128">
        <v>8</v>
      </c>
      <c r="G26" s="134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3">
        <f t="shared" si="0"/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3">
        <f t="shared" si="48"/>
        <v>0</v>
      </c>
      <c r="X26" s="42">
        <v>0</v>
      </c>
      <c r="Y26" s="43">
        <f t="shared" si="49"/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3">
        <f t="shared" si="50"/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4">
        <f t="shared" si="51"/>
        <v>0</v>
      </c>
      <c r="AT26" s="38">
        <v>0</v>
      </c>
      <c r="AU26" s="4">
        <f t="shared" si="52"/>
        <v>0</v>
      </c>
      <c r="AV26" s="38">
        <v>0</v>
      </c>
      <c r="AW26" s="38">
        <v>0</v>
      </c>
      <c r="AX26" s="4">
        <f t="shared" si="53"/>
        <v>0</v>
      </c>
      <c r="AY26" s="42">
        <v>0</v>
      </c>
      <c r="AZ26" s="42">
        <v>0</v>
      </c>
      <c r="BA26" s="42">
        <v>0</v>
      </c>
      <c r="BB26" s="42">
        <v>0</v>
      </c>
      <c r="BC26" s="42">
        <v>0</v>
      </c>
      <c r="BD26" s="42">
        <v>0</v>
      </c>
      <c r="BE26" s="42">
        <v>0</v>
      </c>
      <c r="BF26" s="43">
        <f t="shared" si="54"/>
        <v>0</v>
      </c>
      <c r="BG26" s="42">
        <v>0</v>
      </c>
      <c r="BH26" s="42">
        <v>0</v>
      </c>
      <c r="BI26" s="42">
        <v>0</v>
      </c>
      <c r="BJ26" s="42">
        <v>0</v>
      </c>
      <c r="BK26" s="42">
        <v>0</v>
      </c>
      <c r="BL26" s="42">
        <v>0</v>
      </c>
      <c r="BM26" s="42">
        <v>0</v>
      </c>
      <c r="BN26" s="42">
        <v>0</v>
      </c>
      <c r="BO26" s="43">
        <f t="shared" si="55"/>
        <v>0</v>
      </c>
      <c r="BP26" s="42">
        <v>0</v>
      </c>
      <c r="BQ26" s="42">
        <v>0</v>
      </c>
      <c r="BR26" s="42">
        <v>0</v>
      </c>
      <c r="BS26" s="43">
        <f t="shared" si="56"/>
        <v>0</v>
      </c>
      <c r="BT26" s="38">
        <v>0</v>
      </c>
      <c r="BU26" s="38">
        <v>0</v>
      </c>
      <c r="BV26" s="38">
        <v>0</v>
      </c>
      <c r="BW26" s="38">
        <v>0</v>
      </c>
      <c r="BX26" s="4">
        <f t="shared" si="57"/>
        <v>0</v>
      </c>
      <c r="BY26" s="38">
        <v>0</v>
      </c>
      <c r="BZ26" s="38">
        <v>0</v>
      </c>
      <c r="CA26" s="38">
        <v>0</v>
      </c>
      <c r="CB26" s="4">
        <f t="shared" si="58"/>
        <v>0</v>
      </c>
      <c r="CC26" s="4">
        <f t="shared" si="59"/>
        <v>0</v>
      </c>
      <c r="CD26" s="74">
        <f t="shared" si="60"/>
        <v>0</v>
      </c>
      <c r="CE26" s="76">
        <f t="shared" si="61"/>
        <v>0</v>
      </c>
      <c r="CF26" s="76">
        <f t="shared" si="62"/>
        <v>0</v>
      </c>
      <c r="CG26" s="76">
        <f t="shared" si="47"/>
        <v>0</v>
      </c>
      <c r="CH26" s="76">
        <f t="shared" si="63"/>
        <v>0</v>
      </c>
      <c r="CI26" s="37">
        <f t="shared" si="64"/>
        <v>0</v>
      </c>
      <c r="CJ26" s="59" t="str">
        <f t="shared" si="36"/>
        <v>-</v>
      </c>
      <c r="CK26" s="59" t="str">
        <f t="shared" si="37"/>
        <v>-</v>
      </c>
      <c r="CL26" s="141" t="str">
        <f t="shared" si="38"/>
        <v>-</v>
      </c>
      <c r="CM26" s="141" t="str">
        <f t="shared" si="39"/>
        <v>-</v>
      </c>
      <c r="CN26" s="141" t="str">
        <f t="shared" si="40"/>
        <v>-</v>
      </c>
      <c r="CO26" s="141" t="str">
        <f t="shared" si="41"/>
        <v>-</v>
      </c>
      <c r="CP26" s="141" t="str">
        <f t="shared" si="42"/>
        <v>-</v>
      </c>
      <c r="CQ26" s="141" t="str">
        <f t="shared" si="43"/>
        <v>-</v>
      </c>
      <c r="CR26" s="142" t="str">
        <f t="shared" si="44"/>
        <v>-</v>
      </c>
      <c r="CS26" s="76">
        <f t="shared" si="45"/>
        <v>0</v>
      </c>
      <c r="CT26" s="80">
        <f t="shared" si="65"/>
        <v>0</v>
      </c>
      <c r="CU26" s="80">
        <f t="shared" si="66"/>
        <v>0</v>
      </c>
      <c r="CV26" s="80">
        <f t="shared" si="67"/>
        <v>0</v>
      </c>
      <c r="CW26" s="80">
        <f t="shared" si="68"/>
        <v>0</v>
      </c>
      <c r="CX26" s="80">
        <f t="shared" si="69"/>
        <v>0</v>
      </c>
      <c r="CY26" s="80">
        <f t="shared" si="70"/>
        <v>0</v>
      </c>
      <c r="CZ26" s="80">
        <f t="shared" si="71"/>
        <v>0</v>
      </c>
      <c r="DA26" s="80">
        <f t="shared" si="72"/>
        <v>0</v>
      </c>
      <c r="DB26" s="80">
        <f t="shared" si="73"/>
        <v>0</v>
      </c>
      <c r="DC26" s="80">
        <f t="shared" si="74"/>
        <v>0</v>
      </c>
      <c r="DD26" s="80">
        <f t="shared" si="75"/>
        <v>0</v>
      </c>
      <c r="DE26" s="80">
        <f t="shared" si="76"/>
        <v>0</v>
      </c>
      <c r="DF26" s="80" t="e">
        <f t="shared" si="77"/>
        <v>#DIV/0!</v>
      </c>
      <c r="DG26" s="80" t="e">
        <f t="shared" si="78"/>
        <v>#DIV/0!</v>
      </c>
      <c r="DH26" s="80" t="e">
        <f t="shared" si="79"/>
        <v>#DIV/0!</v>
      </c>
      <c r="DI26" s="81" t="e">
        <f t="shared" si="80"/>
        <v>#DIV/0!</v>
      </c>
      <c r="DJ26" s="76" t="e">
        <f t="shared" si="81"/>
        <v>#DIV/0!</v>
      </c>
      <c r="DK26" s="147">
        <f t="shared" si="46"/>
        <v>0</v>
      </c>
      <c r="DL26" s="67"/>
      <c r="DM26" s="68"/>
    </row>
    <row r="27" spans="1:117" ht="12.75">
      <c r="A27" s="52" t="s">
        <v>18</v>
      </c>
      <c r="B27" s="43"/>
      <c r="C27" s="4"/>
      <c r="D27" s="69"/>
      <c r="E27" s="69"/>
      <c r="F27" s="8">
        <v>2</v>
      </c>
      <c r="G27" s="13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f t="shared" si="0"/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f t="shared" si="48"/>
        <v>0</v>
      </c>
      <c r="X27" s="43">
        <v>0</v>
      </c>
      <c r="Y27" s="43">
        <f t="shared" si="49"/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f t="shared" si="50"/>
        <v>0</v>
      </c>
      <c r="AF27" s="43">
        <v>0</v>
      </c>
      <c r="AG27" s="43">
        <v>0</v>
      </c>
      <c r="AH27" s="43">
        <v>0</v>
      </c>
      <c r="AI27" s="43">
        <v>0</v>
      </c>
      <c r="AJ27" s="43">
        <v>0</v>
      </c>
      <c r="AK27" s="43">
        <v>0</v>
      </c>
      <c r="AL27" s="43">
        <v>0</v>
      </c>
      <c r="AM27" s="43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f t="shared" si="51"/>
        <v>0</v>
      </c>
      <c r="AT27" s="4">
        <v>0</v>
      </c>
      <c r="AU27" s="4">
        <f t="shared" si="52"/>
        <v>0</v>
      </c>
      <c r="AV27" s="4">
        <v>0</v>
      </c>
      <c r="AW27" s="4">
        <v>0</v>
      </c>
      <c r="AX27" s="4">
        <f t="shared" si="53"/>
        <v>0</v>
      </c>
      <c r="AY27" s="43">
        <v>0</v>
      </c>
      <c r="AZ27" s="43">
        <v>0</v>
      </c>
      <c r="BA27" s="43">
        <v>0</v>
      </c>
      <c r="BB27" s="43">
        <v>0</v>
      </c>
      <c r="BC27" s="43">
        <v>0</v>
      </c>
      <c r="BD27" s="43">
        <v>0</v>
      </c>
      <c r="BE27" s="43">
        <v>0</v>
      </c>
      <c r="BF27" s="43">
        <f t="shared" si="54"/>
        <v>0</v>
      </c>
      <c r="BG27" s="43">
        <v>0</v>
      </c>
      <c r="BH27" s="43">
        <v>0</v>
      </c>
      <c r="BI27" s="43">
        <v>0</v>
      </c>
      <c r="BJ27" s="43">
        <v>0</v>
      </c>
      <c r="BK27" s="43">
        <v>0</v>
      </c>
      <c r="BL27" s="43">
        <v>0</v>
      </c>
      <c r="BM27" s="43">
        <v>0</v>
      </c>
      <c r="BN27" s="43">
        <v>0</v>
      </c>
      <c r="BO27" s="43">
        <f t="shared" si="55"/>
        <v>0</v>
      </c>
      <c r="BP27" s="43">
        <v>0</v>
      </c>
      <c r="BQ27" s="43">
        <v>0</v>
      </c>
      <c r="BR27" s="43">
        <v>0</v>
      </c>
      <c r="BS27" s="43">
        <f t="shared" si="56"/>
        <v>0</v>
      </c>
      <c r="BT27" s="4">
        <v>0</v>
      </c>
      <c r="BU27" s="4">
        <v>0</v>
      </c>
      <c r="BV27" s="4">
        <v>0</v>
      </c>
      <c r="BW27" s="4">
        <v>0</v>
      </c>
      <c r="BX27" s="4">
        <f t="shared" si="57"/>
        <v>0</v>
      </c>
      <c r="BY27" s="4">
        <v>0</v>
      </c>
      <c r="BZ27" s="4">
        <v>0</v>
      </c>
      <c r="CA27" s="4">
        <v>0</v>
      </c>
      <c r="CB27" s="4">
        <f t="shared" si="58"/>
        <v>0</v>
      </c>
      <c r="CC27" s="4">
        <f t="shared" si="59"/>
        <v>0</v>
      </c>
      <c r="CD27" s="74">
        <f t="shared" si="60"/>
        <v>0</v>
      </c>
      <c r="CE27" s="76">
        <f t="shared" si="61"/>
        <v>0</v>
      </c>
      <c r="CF27" s="76">
        <f t="shared" si="62"/>
        <v>0</v>
      </c>
      <c r="CG27" s="76">
        <f t="shared" si="47"/>
        <v>0</v>
      </c>
      <c r="CH27" s="76">
        <f t="shared" si="63"/>
        <v>0</v>
      </c>
      <c r="CI27" s="37">
        <f t="shared" si="64"/>
        <v>0</v>
      </c>
      <c r="CJ27" s="59" t="str">
        <f t="shared" si="36"/>
        <v>-</v>
      </c>
      <c r="CK27" s="59" t="str">
        <f t="shared" si="37"/>
        <v>-</v>
      </c>
      <c r="CL27" s="141" t="str">
        <f t="shared" si="38"/>
        <v>-</v>
      </c>
      <c r="CM27" s="141" t="str">
        <f t="shared" si="39"/>
        <v>-</v>
      </c>
      <c r="CN27" s="141" t="str">
        <f t="shared" si="40"/>
        <v>-</v>
      </c>
      <c r="CO27" s="141" t="str">
        <f t="shared" si="41"/>
        <v>-</v>
      </c>
      <c r="CP27" s="141" t="str">
        <f t="shared" si="42"/>
        <v>-</v>
      </c>
      <c r="CQ27" s="141" t="str">
        <f t="shared" si="43"/>
        <v>-</v>
      </c>
      <c r="CR27" s="142" t="str">
        <f t="shared" si="44"/>
        <v>-</v>
      </c>
      <c r="CS27" s="76">
        <f t="shared" si="45"/>
        <v>0</v>
      </c>
      <c r="CT27" s="80">
        <f t="shared" si="65"/>
        <v>0</v>
      </c>
      <c r="CU27" s="80">
        <f t="shared" si="66"/>
        <v>0</v>
      </c>
      <c r="CV27" s="80">
        <f t="shared" si="67"/>
        <v>0</v>
      </c>
      <c r="CW27" s="80">
        <f t="shared" si="68"/>
        <v>0</v>
      </c>
      <c r="CX27" s="80">
        <f t="shared" si="69"/>
        <v>0</v>
      </c>
      <c r="CY27" s="80">
        <f t="shared" si="70"/>
        <v>0</v>
      </c>
      <c r="CZ27" s="80">
        <f t="shared" si="71"/>
        <v>0</v>
      </c>
      <c r="DA27" s="80">
        <f t="shared" si="72"/>
        <v>0</v>
      </c>
      <c r="DB27" s="80">
        <f t="shared" si="73"/>
        <v>0</v>
      </c>
      <c r="DC27" s="80">
        <f t="shared" si="74"/>
        <v>0</v>
      </c>
      <c r="DD27" s="80">
        <f t="shared" si="75"/>
        <v>0</v>
      </c>
      <c r="DE27" s="80">
        <f t="shared" si="76"/>
        <v>0</v>
      </c>
      <c r="DF27" s="80" t="e">
        <f t="shared" si="77"/>
        <v>#DIV/0!</v>
      </c>
      <c r="DG27" s="80" t="e">
        <f t="shared" si="78"/>
        <v>#DIV/0!</v>
      </c>
      <c r="DH27" s="80" t="e">
        <f t="shared" si="79"/>
        <v>#DIV/0!</v>
      </c>
      <c r="DI27" s="81" t="e">
        <f t="shared" si="80"/>
        <v>#DIV/0!</v>
      </c>
      <c r="DJ27" s="76" t="e">
        <f t="shared" si="81"/>
        <v>#DIV/0!</v>
      </c>
      <c r="DK27" s="147">
        <f t="shared" si="46"/>
        <v>0</v>
      </c>
      <c r="DL27" s="64"/>
      <c r="DM27" s="65"/>
    </row>
    <row r="28" spans="1:117" ht="12.75">
      <c r="A28" s="51" t="s">
        <v>19</v>
      </c>
      <c r="B28" s="42"/>
      <c r="C28" s="38"/>
      <c r="D28" s="66"/>
      <c r="E28" s="66"/>
      <c r="F28" s="128">
        <v>8</v>
      </c>
      <c r="G28" s="134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3">
        <f t="shared" si="0"/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3">
        <f t="shared" si="48"/>
        <v>0</v>
      </c>
      <c r="X28" s="42">
        <v>0</v>
      </c>
      <c r="Y28" s="43">
        <f t="shared" si="49"/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3">
        <f t="shared" si="50"/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38">
        <v>0</v>
      </c>
      <c r="AO28" s="38">
        <v>0</v>
      </c>
      <c r="AP28" s="38">
        <v>0</v>
      </c>
      <c r="AQ28" s="38">
        <v>0</v>
      </c>
      <c r="AR28" s="38">
        <v>0</v>
      </c>
      <c r="AS28" s="4">
        <f t="shared" si="51"/>
        <v>0</v>
      </c>
      <c r="AT28" s="38">
        <v>0</v>
      </c>
      <c r="AU28" s="4">
        <f t="shared" si="52"/>
        <v>0</v>
      </c>
      <c r="AV28" s="38">
        <v>0</v>
      </c>
      <c r="AW28" s="38">
        <v>0</v>
      </c>
      <c r="AX28" s="4">
        <f t="shared" si="53"/>
        <v>0</v>
      </c>
      <c r="AY28" s="42">
        <v>0</v>
      </c>
      <c r="AZ28" s="42">
        <v>0</v>
      </c>
      <c r="BA28" s="42">
        <v>0</v>
      </c>
      <c r="BB28" s="42">
        <v>0</v>
      </c>
      <c r="BC28" s="42">
        <v>0</v>
      </c>
      <c r="BD28" s="42">
        <v>0</v>
      </c>
      <c r="BE28" s="42">
        <v>0</v>
      </c>
      <c r="BF28" s="43">
        <f t="shared" si="54"/>
        <v>0</v>
      </c>
      <c r="BG28" s="42">
        <v>0</v>
      </c>
      <c r="BH28" s="42">
        <v>0</v>
      </c>
      <c r="BI28" s="42">
        <v>0</v>
      </c>
      <c r="BJ28" s="42">
        <v>0</v>
      </c>
      <c r="BK28" s="42">
        <v>0</v>
      </c>
      <c r="BL28" s="42">
        <v>0</v>
      </c>
      <c r="BM28" s="42">
        <v>0</v>
      </c>
      <c r="BN28" s="42">
        <v>0</v>
      </c>
      <c r="BO28" s="43">
        <f t="shared" si="55"/>
        <v>0</v>
      </c>
      <c r="BP28" s="42">
        <v>0</v>
      </c>
      <c r="BQ28" s="42">
        <v>0</v>
      </c>
      <c r="BR28" s="42">
        <v>0</v>
      </c>
      <c r="BS28" s="43">
        <f t="shared" si="56"/>
        <v>0</v>
      </c>
      <c r="BT28" s="38">
        <v>0</v>
      </c>
      <c r="BU28" s="38">
        <v>0</v>
      </c>
      <c r="BV28" s="38">
        <v>0</v>
      </c>
      <c r="BW28" s="38">
        <v>0</v>
      </c>
      <c r="BX28" s="4">
        <f t="shared" si="57"/>
        <v>0</v>
      </c>
      <c r="BY28" s="38">
        <v>0</v>
      </c>
      <c r="BZ28" s="38">
        <v>0</v>
      </c>
      <c r="CA28" s="38">
        <v>0</v>
      </c>
      <c r="CB28" s="4">
        <f t="shared" si="58"/>
        <v>0</v>
      </c>
      <c r="CC28" s="4">
        <f t="shared" si="59"/>
        <v>0</v>
      </c>
      <c r="CD28" s="74">
        <f t="shared" si="60"/>
        <v>0</v>
      </c>
      <c r="CE28" s="76">
        <f t="shared" si="61"/>
        <v>0</v>
      </c>
      <c r="CF28" s="76">
        <f t="shared" si="62"/>
        <v>0</v>
      </c>
      <c r="CG28" s="76">
        <f t="shared" si="47"/>
        <v>0</v>
      </c>
      <c r="CH28" s="76">
        <f t="shared" si="63"/>
        <v>0</v>
      </c>
      <c r="CI28" s="37">
        <f t="shared" si="64"/>
        <v>0</v>
      </c>
      <c r="CJ28" s="59" t="str">
        <f t="shared" si="36"/>
        <v>-</v>
      </c>
      <c r="CK28" s="59" t="str">
        <f t="shared" si="37"/>
        <v>-</v>
      </c>
      <c r="CL28" s="141" t="str">
        <f t="shared" si="38"/>
        <v>-</v>
      </c>
      <c r="CM28" s="141" t="str">
        <f t="shared" si="39"/>
        <v>-</v>
      </c>
      <c r="CN28" s="141" t="str">
        <f t="shared" si="40"/>
        <v>-</v>
      </c>
      <c r="CO28" s="141" t="str">
        <f t="shared" si="41"/>
        <v>-</v>
      </c>
      <c r="CP28" s="141" t="str">
        <f t="shared" si="42"/>
        <v>-</v>
      </c>
      <c r="CQ28" s="141" t="str">
        <f t="shared" si="43"/>
        <v>-</v>
      </c>
      <c r="CR28" s="142" t="str">
        <f t="shared" si="44"/>
        <v>-</v>
      </c>
      <c r="CS28" s="76">
        <f t="shared" si="45"/>
        <v>0</v>
      </c>
      <c r="CT28" s="80">
        <f t="shared" si="65"/>
        <v>0</v>
      </c>
      <c r="CU28" s="80">
        <f t="shared" si="66"/>
        <v>0</v>
      </c>
      <c r="CV28" s="80">
        <f t="shared" si="67"/>
        <v>0</v>
      </c>
      <c r="CW28" s="80">
        <f t="shared" si="68"/>
        <v>0</v>
      </c>
      <c r="CX28" s="80">
        <f t="shared" si="69"/>
        <v>0</v>
      </c>
      <c r="CY28" s="80">
        <f t="shared" si="70"/>
        <v>0</v>
      </c>
      <c r="CZ28" s="80">
        <f t="shared" si="71"/>
        <v>0</v>
      </c>
      <c r="DA28" s="80">
        <f t="shared" si="72"/>
        <v>0</v>
      </c>
      <c r="DB28" s="80">
        <f t="shared" si="73"/>
        <v>0</v>
      </c>
      <c r="DC28" s="80">
        <f t="shared" si="74"/>
        <v>0</v>
      </c>
      <c r="DD28" s="80">
        <f t="shared" si="75"/>
        <v>0</v>
      </c>
      <c r="DE28" s="80">
        <f t="shared" si="76"/>
        <v>0</v>
      </c>
      <c r="DF28" s="80" t="e">
        <f t="shared" si="77"/>
        <v>#DIV/0!</v>
      </c>
      <c r="DG28" s="80" t="e">
        <f t="shared" si="78"/>
        <v>#DIV/0!</v>
      </c>
      <c r="DH28" s="80" t="e">
        <f t="shared" si="79"/>
        <v>#DIV/0!</v>
      </c>
      <c r="DI28" s="81" t="e">
        <f t="shared" si="80"/>
        <v>#DIV/0!</v>
      </c>
      <c r="DJ28" s="76" t="e">
        <f t="shared" si="81"/>
        <v>#DIV/0!</v>
      </c>
      <c r="DK28" s="147">
        <f t="shared" si="46"/>
        <v>0</v>
      </c>
      <c r="DL28" s="67"/>
      <c r="DM28" s="68"/>
    </row>
    <row r="29" spans="1:117" ht="12.75">
      <c r="A29" s="52" t="s">
        <v>21</v>
      </c>
      <c r="B29" s="43"/>
      <c r="C29" s="4"/>
      <c r="D29" s="69"/>
      <c r="E29" s="69"/>
      <c r="F29" s="8">
        <v>2</v>
      </c>
      <c r="G29" s="13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f t="shared" si="0"/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f t="shared" si="48"/>
        <v>0</v>
      </c>
      <c r="X29" s="43">
        <v>0</v>
      </c>
      <c r="Y29" s="43">
        <f t="shared" si="49"/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f t="shared" si="50"/>
        <v>0</v>
      </c>
      <c r="AF29" s="43">
        <v>0</v>
      </c>
      <c r="AG29" s="43">
        <v>0</v>
      </c>
      <c r="AH29" s="43">
        <v>0</v>
      </c>
      <c r="AI29" s="43">
        <v>0</v>
      </c>
      <c r="AJ29" s="43">
        <v>0</v>
      </c>
      <c r="AK29" s="43">
        <v>0</v>
      </c>
      <c r="AL29" s="43">
        <v>0</v>
      </c>
      <c r="AM29" s="43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f t="shared" si="51"/>
        <v>0</v>
      </c>
      <c r="AT29" s="4">
        <v>0</v>
      </c>
      <c r="AU29" s="4">
        <f t="shared" si="52"/>
        <v>0</v>
      </c>
      <c r="AV29" s="4">
        <v>0</v>
      </c>
      <c r="AW29" s="4">
        <v>0</v>
      </c>
      <c r="AX29" s="4">
        <f t="shared" si="53"/>
        <v>0</v>
      </c>
      <c r="AY29" s="43">
        <v>0</v>
      </c>
      <c r="AZ29" s="43">
        <v>0</v>
      </c>
      <c r="BA29" s="43">
        <v>0</v>
      </c>
      <c r="BB29" s="43">
        <v>0</v>
      </c>
      <c r="BC29" s="43">
        <v>0</v>
      </c>
      <c r="BD29" s="43">
        <v>0</v>
      </c>
      <c r="BE29" s="43">
        <v>0</v>
      </c>
      <c r="BF29" s="43">
        <f t="shared" si="54"/>
        <v>0</v>
      </c>
      <c r="BG29" s="43">
        <v>0</v>
      </c>
      <c r="BH29" s="43">
        <v>0</v>
      </c>
      <c r="BI29" s="43">
        <v>0</v>
      </c>
      <c r="BJ29" s="43">
        <v>0</v>
      </c>
      <c r="BK29" s="43">
        <v>0</v>
      </c>
      <c r="BL29" s="43">
        <v>0</v>
      </c>
      <c r="BM29" s="43">
        <v>0</v>
      </c>
      <c r="BN29" s="43">
        <v>0</v>
      </c>
      <c r="BO29" s="43">
        <f t="shared" si="55"/>
        <v>0</v>
      </c>
      <c r="BP29" s="43">
        <v>0</v>
      </c>
      <c r="BQ29" s="43">
        <v>0</v>
      </c>
      <c r="BR29" s="43">
        <v>0</v>
      </c>
      <c r="BS29" s="43">
        <f t="shared" si="56"/>
        <v>0</v>
      </c>
      <c r="BT29" s="4">
        <v>0</v>
      </c>
      <c r="BU29" s="4">
        <v>0</v>
      </c>
      <c r="BV29" s="4">
        <v>0</v>
      </c>
      <c r="BW29" s="4">
        <v>0</v>
      </c>
      <c r="BX29" s="4">
        <f t="shared" si="57"/>
        <v>0</v>
      </c>
      <c r="BY29" s="4">
        <v>0</v>
      </c>
      <c r="BZ29" s="4">
        <v>0</v>
      </c>
      <c r="CA29" s="4">
        <v>0</v>
      </c>
      <c r="CB29" s="4">
        <f t="shared" si="58"/>
        <v>0</v>
      </c>
      <c r="CC29" s="4">
        <f t="shared" si="59"/>
        <v>0</v>
      </c>
      <c r="CD29" s="74">
        <f t="shared" si="60"/>
        <v>0</v>
      </c>
      <c r="CE29" s="76">
        <f t="shared" si="61"/>
        <v>0</v>
      </c>
      <c r="CF29" s="76">
        <f t="shared" si="62"/>
        <v>0</v>
      </c>
      <c r="CG29" s="76">
        <f t="shared" si="47"/>
        <v>0</v>
      </c>
      <c r="CH29" s="76">
        <f t="shared" si="63"/>
        <v>0</v>
      </c>
      <c r="CI29" s="37">
        <f t="shared" si="64"/>
        <v>0</v>
      </c>
      <c r="CJ29" s="59" t="str">
        <f t="shared" si="36"/>
        <v>-</v>
      </c>
      <c r="CK29" s="59" t="str">
        <f t="shared" si="37"/>
        <v>-</v>
      </c>
      <c r="CL29" s="141" t="str">
        <f t="shared" si="38"/>
        <v>-</v>
      </c>
      <c r="CM29" s="141" t="str">
        <f t="shared" si="39"/>
        <v>-</v>
      </c>
      <c r="CN29" s="141" t="str">
        <f t="shared" si="40"/>
        <v>-</v>
      </c>
      <c r="CO29" s="141" t="str">
        <f t="shared" si="41"/>
        <v>-</v>
      </c>
      <c r="CP29" s="141" t="str">
        <f t="shared" si="42"/>
        <v>-</v>
      </c>
      <c r="CQ29" s="141" t="str">
        <f t="shared" si="43"/>
        <v>-</v>
      </c>
      <c r="CR29" s="142" t="str">
        <f t="shared" si="44"/>
        <v>-</v>
      </c>
      <c r="CS29" s="76">
        <f t="shared" si="45"/>
        <v>0</v>
      </c>
      <c r="CT29" s="80">
        <f t="shared" si="65"/>
        <v>0</v>
      </c>
      <c r="CU29" s="80">
        <f t="shared" si="66"/>
        <v>0</v>
      </c>
      <c r="CV29" s="80">
        <f t="shared" si="67"/>
        <v>0</v>
      </c>
      <c r="CW29" s="80">
        <f t="shared" si="68"/>
        <v>0</v>
      </c>
      <c r="CX29" s="80">
        <f t="shared" si="69"/>
        <v>0</v>
      </c>
      <c r="CY29" s="80">
        <f t="shared" si="70"/>
        <v>0</v>
      </c>
      <c r="CZ29" s="80">
        <f t="shared" si="71"/>
        <v>0</v>
      </c>
      <c r="DA29" s="80">
        <f t="shared" si="72"/>
        <v>0</v>
      </c>
      <c r="DB29" s="80">
        <f t="shared" si="73"/>
        <v>0</v>
      </c>
      <c r="DC29" s="80">
        <f t="shared" si="74"/>
        <v>0</v>
      </c>
      <c r="DD29" s="80">
        <f t="shared" si="75"/>
        <v>0</v>
      </c>
      <c r="DE29" s="80">
        <f t="shared" si="76"/>
        <v>0</v>
      </c>
      <c r="DF29" s="80" t="e">
        <f t="shared" si="77"/>
        <v>#DIV/0!</v>
      </c>
      <c r="DG29" s="80" t="e">
        <f t="shared" si="78"/>
        <v>#DIV/0!</v>
      </c>
      <c r="DH29" s="80" t="e">
        <f t="shared" si="79"/>
        <v>#DIV/0!</v>
      </c>
      <c r="DI29" s="81" t="e">
        <f t="shared" si="80"/>
        <v>#DIV/0!</v>
      </c>
      <c r="DJ29" s="76" t="e">
        <f t="shared" si="81"/>
        <v>#DIV/0!</v>
      </c>
      <c r="DK29" s="147">
        <f t="shared" si="46"/>
        <v>0</v>
      </c>
      <c r="DL29" s="64"/>
      <c r="DM29" s="65"/>
    </row>
    <row r="30" spans="1:117" ht="12.75">
      <c r="A30" s="51" t="s">
        <v>31</v>
      </c>
      <c r="B30" s="42"/>
      <c r="C30" s="38"/>
      <c r="D30" s="66"/>
      <c r="E30" s="66"/>
      <c r="F30" s="128">
        <v>6</v>
      </c>
      <c r="G30" s="134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3">
        <f t="shared" si="0"/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3">
        <f t="shared" si="48"/>
        <v>0</v>
      </c>
      <c r="X30" s="42">
        <v>0</v>
      </c>
      <c r="Y30" s="43">
        <f t="shared" si="49"/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3">
        <f t="shared" si="50"/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38">
        <v>0</v>
      </c>
      <c r="AO30" s="38">
        <v>0</v>
      </c>
      <c r="AP30" s="38">
        <v>0</v>
      </c>
      <c r="AQ30" s="38">
        <v>0</v>
      </c>
      <c r="AR30" s="38">
        <v>0</v>
      </c>
      <c r="AS30" s="4">
        <f t="shared" si="51"/>
        <v>0</v>
      </c>
      <c r="AT30" s="38">
        <v>0</v>
      </c>
      <c r="AU30" s="4">
        <f t="shared" si="52"/>
        <v>0</v>
      </c>
      <c r="AV30" s="38">
        <v>0</v>
      </c>
      <c r="AW30" s="38">
        <v>0</v>
      </c>
      <c r="AX30" s="4">
        <f t="shared" si="53"/>
        <v>0</v>
      </c>
      <c r="AY30" s="42">
        <v>0</v>
      </c>
      <c r="AZ30" s="42">
        <v>0</v>
      </c>
      <c r="BA30" s="42">
        <v>0</v>
      </c>
      <c r="BB30" s="42">
        <v>0</v>
      </c>
      <c r="BC30" s="42">
        <v>0</v>
      </c>
      <c r="BD30" s="42">
        <v>0</v>
      </c>
      <c r="BE30" s="42">
        <v>0</v>
      </c>
      <c r="BF30" s="43">
        <f t="shared" si="54"/>
        <v>0</v>
      </c>
      <c r="BG30" s="42">
        <v>0</v>
      </c>
      <c r="BH30" s="42">
        <v>0</v>
      </c>
      <c r="BI30" s="42">
        <v>0</v>
      </c>
      <c r="BJ30" s="42">
        <v>0</v>
      </c>
      <c r="BK30" s="42">
        <v>0</v>
      </c>
      <c r="BL30" s="42">
        <v>0</v>
      </c>
      <c r="BM30" s="42">
        <v>0</v>
      </c>
      <c r="BN30" s="42">
        <v>0</v>
      </c>
      <c r="BO30" s="43">
        <f t="shared" si="55"/>
        <v>0</v>
      </c>
      <c r="BP30" s="42">
        <v>0</v>
      </c>
      <c r="BQ30" s="42">
        <v>0</v>
      </c>
      <c r="BR30" s="42">
        <v>0</v>
      </c>
      <c r="BS30" s="43">
        <f t="shared" si="56"/>
        <v>0</v>
      </c>
      <c r="BT30" s="38">
        <v>0</v>
      </c>
      <c r="BU30" s="38">
        <v>0</v>
      </c>
      <c r="BV30" s="38">
        <v>0</v>
      </c>
      <c r="BW30" s="38">
        <v>0</v>
      </c>
      <c r="BX30" s="4">
        <f t="shared" si="57"/>
        <v>0</v>
      </c>
      <c r="BY30" s="38">
        <v>0</v>
      </c>
      <c r="BZ30" s="38">
        <v>0</v>
      </c>
      <c r="CA30" s="38">
        <v>0</v>
      </c>
      <c r="CB30" s="4">
        <f t="shared" si="58"/>
        <v>0</v>
      </c>
      <c r="CC30" s="4">
        <f t="shared" si="59"/>
        <v>0</v>
      </c>
      <c r="CD30" s="74">
        <f t="shared" si="60"/>
        <v>0</v>
      </c>
      <c r="CE30" s="76">
        <f t="shared" si="61"/>
        <v>0</v>
      </c>
      <c r="CF30" s="76">
        <f t="shared" si="62"/>
        <v>0</v>
      </c>
      <c r="CG30" s="76">
        <f t="shared" si="47"/>
        <v>0</v>
      </c>
      <c r="CH30" s="76">
        <f t="shared" si="63"/>
        <v>0</v>
      </c>
      <c r="CI30" s="37">
        <f t="shared" si="64"/>
        <v>0</v>
      </c>
      <c r="CJ30" s="59" t="str">
        <f t="shared" si="36"/>
        <v>-</v>
      </c>
      <c r="CK30" s="59" t="str">
        <f t="shared" si="37"/>
        <v>-</v>
      </c>
      <c r="CL30" s="141" t="str">
        <f t="shared" si="38"/>
        <v>-</v>
      </c>
      <c r="CM30" s="141" t="str">
        <f t="shared" si="39"/>
        <v>-</v>
      </c>
      <c r="CN30" s="141" t="str">
        <f t="shared" si="40"/>
        <v>-</v>
      </c>
      <c r="CO30" s="141" t="str">
        <f t="shared" si="41"/>
        <v>-</v>
      </c>
      <c r="CP30" s="141" t="str">
        <f t="shared" si="42"/>
        <v>-</v>
      </c>
      <c r="CQ30" s="141" t="str">
        <f t="shared" si="43"/>
        <v>-</v>
      </c>
      <c r="CR30" s="142" t="str">
        <f t="shared" si="44"/>
        <v>-</v>
      </c>
      <c r="CS30" s="76">
        <f t="shared" si="45"/>
        <v>0</v>
      </c>
      <c r="CT30" s="80">
        <f t="shared" si="65"/>
        <v>0</v>
      </c>
      <c r="CU30" s="80">
        <f t="shared" si="66"/>
        <v>0</v>
      </c>
      <c r="CV30" s="80">
        <f t="shared" si="67"/>
        <v>0</v>
      </c>
      <c r="CW30" s="80">
        <f t="shared" si="68"/>
        <v>0</v>
      </c>
      <c r="CX30" s="80">
        <f t="shared" si="69"/>
        <v>0</v>
      </c>
      <c r="CY30" s="80">
        <f t="shared" si="70"/>
        <v>0</v>
      </c>
      <c r="CZ30" s="80">
        <f t="shared" si="71"/>
        <v>0</v>
      </c>
      <c r="DA30" s="80">
        <f t="shared" si="72"/>
        <v>0</v>
      </c>
      <c r="DB30" s="80">
        <f t="shared" si="73"/>
        <v>0</v>
      </c>
      <c r="DC30" s="80">
        <f t="shared" si="74"/>
        <v>0</v>
      </c>
      <c r="DD30" s="80">
        <f t="shared" si="75"/>
        <v>0</v>
      </c>
      <c r="DE30" s="80">
        <f t="shared" si="76"/>
        <v>0</v>
      </c>
      <c r="DF30" s="80" t="e">
        <f t="shared" si="77"/>
        <v>#DIV/0!</v>
      </c>
      <c r="DG30" s="80" t="e">
        <f t="shared" si="78"/>
        <v>#DIV/0!</v>
      </c>
      <c r="DH30" s="80" t="e">
        <f t="shared" si="79"/>
        <v>#DIV/0!</v>
      </c>
      <c r="DI30" s="81" t="e">
        <f t="shared" si="80"/>
        <v>#DIV/0!</v>
      </c>
      <c r="DJ30" s="76" t="e">
        <f t="shared" si="81"/>
        <v>#DIV/0!</v>
      </c>
      <c r="DK30" s="147">
        <f t="shared" si="46"/>
        <v>0</v>
      </c>
      <c r="DL30" s="67"/>
      <c r="DM30" s="68"/>
    </row>
    <row r="31" spans="1:117" ht="13.5" thickBot="1">
      <c r="A31" s="53" t="s">
        <v>20</v>
      </c>
      <c r="B31" s="44"/>
      <c r="C31" s="7"/>
      <c r="D31" s="70"/>
      <c r="E31" s="70"/>
      <c r="F31" s="129">
        <v>5</v>
      </c>
      <c r="G31" s="13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f t="shared" si="0"/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f t="shared" si="48"/>
        <v>0</v>
      </c>
      <c r="X31" s="43">
        <v>0</v>
      </c>
      <c r="Y31" s="43">
        <f t="shared" si="49"/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3">
        <f t="shared" si="50"/>
        <v>0</v>
      </c>
      <c r="AF31" s="43">
        <v>0</v>
      </c>
      <c r="AG31" s="43">
        <v>0</v>
      </c>
      <c r="AH31" s="43">
        <v>0</v>
      </c>
      <c r="AI31" s="43">
        <v>0</v>
      </c>
      <c r="AJ31" s="43">
        <v>0</v>
      </c>
      <c r="AK31" s="43">
        <v>0</v>
      </c>
      <c r="AL31" s="43">
        <v>0</v>
      </c>
      <c r="AM31" s="43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f t="shared" si="51"/>
        <v>0</v>
      </c>
      <c r="AT31" s="4">
        <v>0</v>
      </c>
      <c r="AU31" s="4">
        <f t="shared" si="52"/>
        <v>0</v>
      </c>
      <c r="AV31" s="4">
        <v>0</v>
      </c>
      <c r="AW31" s="4">
        <v>0</v>
      </c>
      <c r="AX31" s="4">
        <f t="shared" si="53"/>
        <v>0</v>
      </c>
      <c r="AY31" s="43">
        <v>0</v>
      </c>
      <c r="AZ31" s="43">
        <v>0</v>
      </c>
      <c r="BA31" s="43">
        <v>0</v>
      </c>
      <c r="BB31" s="43">
        <v>0</v>
      </c>
      <c r="BC31" s="43">
        <v>0</v>
      </c>
      <c r="BD31" s="43">
        <v>0</v>
      </c>
      <c r="BE31" s="43">
        <v>0</v>
      </c>
      <c r="BF31" s="43">
        <f t="shared" si="54"/>
        <v>0</v>
      </c>
      <c r="BG31" s="43">
        <v>0</v>
      </c>
      <c r="BH31" s="43">
        <v>0</v>
      </c>
      <c r="BI31" s="43">
        <v>0</v>
      </c>
      <c r="BJ31" s="43">
        <v>0</v>
      </c>
      <c r="BK31" s="43">
        <v>0</v>
      </c>
      <c r="BL31" s="43">
        <v>0</v>
      </c>
      <c r="BM31" s="43">
        <v>0</v>
      </c>
      <c r="BN31" s="43">
        <v>0</v>
      </c>
      <c r="BO31" s="43">
        <f t="shared" si="55"/>
        <v>0</v>
      </c>
      <c r="BP31" s="43">
        <v>0</v>
      </c>
      <c r="BQ31" s="43">
        <v>0</v>
      </c>
      <c r="BR31" s="43">
        <v>0</v>
      </c>
      <c r="BS31" s="43">
        <f t="shared" si="56"/>
        <v>0</v>
      </c>
      <c r="BT31" s="4">
        <v>0</v>
      </c>
      <c r="BU31" s="4">
        <v>0</v>
      </c>
      <c r="BV31" s="4">
        <v>0</v>
      </c>
      <c r="BW31" s="4">
        <v>0</v>
      </c>
      <c r="BX31" s="4">
        <f t="shared" si="57"/>
        <v>0</v>
      </c>
      <c r="BY31" s="4">
        <v>0</v>
      </c>
      <c r="BZ31" s="4">
        <v>0</v>
      </c>
      <c r="CA31" s="4">
        <v>0</v>
      </c>
      <c r="CB31" s="4">
        <f t="shared" si="58"/>
        <v>0</v>
      </c>
      <c r="CC31" s="4">
        <f t="shared" si="59"/>
        <v>0</v>
      </c>
      <c r="CD31" s="74">
        <f t="shared" si="60"/>
        <v>0</v>
      </c>
      <c r="CE31" s="76">
        <f t="shared" si="61"/>
        <v>0</v>
      </c>
      <c r="CF31" s="76">
        <f t="shared" si="62"/>
        <v>0</v>
      </c>
      <c r="CG31" s="76">
        <f t="shared" si="47"/>
        <v>0</v>
      </c>
      <c r="CH31" s="76">
        <f t="shared" si="63"/>
        <v>0</v>
      </c>
      <c r="CI31" s="37">
        <f t="shared" si="64"/>
        <v>0</v>
      </c>
      <c r="CJ31" s="59" t="str">
        <f t="shared" si="36"/>
        <v>-</v>
      </c>
      <c r="CK31" s="59" t="str">
        <f t="shared" si="37"/>
        <v>-</v>
      </c>
      <c r="CL31" s="141" t="str">
        <f t="shared" si="38"/>
        <v>-</v>
      </c>
      <c r="CM31" s="141" t="str">
        <f t="shared" si="39"/>
        <v>-</v>
      </c>
      <c r="CN31" s="141" t="str">
        <f t="shared" si="40"/>
        <v>-</v>
      </c>
      <c r="CO31" s="141" t="str">
        <f t="shared" si="41"/>
        <v>-</v>
      </c>
      <c r="CP31" s="141" t="str">
        <f t="shared" si="42"/>
        <v>-</v>
      </c>
      <c r="CQ31" s="141" t="str">
        <f t="shared" si="43"/>
        <v>-</v>
      </c>
      <c r="CR31" s="142" t="str">
        <f t="shared" si="44"/>
        <v>-</v>
      </c>
      <c r="CS31" s="76">
        <f t="shared" si="45"/>
        <v>0</v>
      </c>
      <c r="CT31" s="80">
        <f t="shared" si="65"/>
        <v>0</v>
      </c>
      <c r="CU31" s="80">
        <f t="shared" si="66"/>
        <v>0</v>
      </c>
      <c r="CV31" s="80">
        <f t="shared" si="67"/>
        <v>0</v>
      </c>
      <c r="CW31" s="80">
        <f t="shared" si="68"/>
        <v>0</v>
      </c>
      <c r="CX31" s="80">
        <f t="shared" si="69"/>
        <v>0</v>
      </c>
      <c r="CY31" s="80">
        <f t="shared" si="70"/>
        <v>0</v>
      </c>
      <c r="CZ31" s="80">
        <f t="shared" si="71"/>
        <v>0</v>
      </c>
      <c r="DA31" s="80">
        <f t="shared" si="72"/>
        <v>0</v>
      </c>
      <c r="DB31" s="80">
        <f t="shared" si="73"/>
        <v>0</v>
      </c>
      <c r="DC31" s="80">
        <f t="shared" si="74"/>
        <v>0</v>
      </c>
      <c r="DD31" s="80">
        <f t="shared" si="75"/>
        <v>0</v>
      </c>
      <c r="DE31" s="80">
        <f t="shared" si="76"/>
        <v>0</v>
      </c>
      <c r="DF31" s="80" t="e">
        <f t="shared" si="77"/>
        <v>#DIV/0!</v>
      </c>
      <c r="DG31" s="80" t="e">
        <f t="shared" si="78"/>
        <v>#DIV/0!</v>
      </c>
      <c r="DH31" s="80" t="e">
        <f t="shared" si="79"/>
        <v>#DIV/0!</v>
      </c>
      <c r="DI31" s="81" t="e">
        <f t="shared" si="80"/>
        <v>#DIV/0!</v>
      </c>
      <c r="DJ31" s="76" t="e">
        <f t="shared" si="81"/>
        <v>#DIV/0!</v>
      </c>
      <c r="DK31" s="147">
        <f t="shared" si="46"/>
        <v>0</v>
      </c>
      <c r="DL31" s="71"/>
      <c r="DM31" s="72"/>
    </row>
    <row r="32" spans="1:117" ht="12.75" customHeight="1">
      <c r="A32" s="31" t="s">
        <v>70</v>
      </c>
      <c r="B32" s="24">
        <f aca="true" t="shared" si="82" ref="B32:BM32">SUM(B3:B31)</f>
        <v>0</v>
      </c>
      <c r="C32" s="24">
        <f t="shared" si="82"/>
        <v>0</v>
      </c>
      <c r="D32" s="25">
        <f t="shared" si="82"/>
        <v>0</v>
      </c>
      <c r="E32" s="25">
        <f t="shared" si="82"/>
        <v>0</v>
      </c>
      <c r="F32" s="117">
        <f t="shared" si="82"/>
        <v>161</v>
      </c>
      <c r="G32" s="119">
        <f t="shared" si="82"/>
        <v>0</v>
      </c>
      <c r="H32" s="120">
        <f t="shared" si="82"/>
        <v>0</v>
      </c>
      <c r="I32" s="120">
        <f t="shared" si="82"/>
        <v>0</v>
      </c>
      <c r="J32" s="120">
        <f t="shared" si="82"/>
        <v>0</v>
      </c>
      <c r="K32" s="120">
        <f t="shared" si="82"/>
        <v>0</v>
      </c>
      <c r="L32" s="120">
        <f t="shared" si="82"/>
        <v>0</v>
      </c>
      <c r="M32" s="120">
        <f t="shared" si="82"/>
        <v>0</v>
      </c>
      <c r="N32" s="120">
        <f t="shared" si="82"/>
        <v>0</v>
      </c>
      <c r="O32" s="120">
        <f t="shared" si="82"/>
        <v>0</v>
      </c>
      <c r="P32" s="120">
        <f t="shared" si="82"/>
        <v>0</v>
      </c>
      <c r="Q32" s="120">
        <f t="shared" si="82"/>
        <v>0</v>
      </c>
      <c r="R32" s="120">
        <f t="shared" si="82"/>
        <v>0</v>
      </c>
      <c r="S32" s="120">
        <f t="shared" si="82"/>
        <v>0</v>
      </c>
      <c r="T32" s="120">
        <f t="shared" si="82"/>
        <v>0</v>
      </c>
      <c r="U32" s="120">
        <f t="shared" si="82"/>
        <v>0</v>
      </c>
      <c r="V32" s="120">
        <f t="shared" si="82"/>
        <v>0</v>
      </c>
      <c r="W32" s="120">
        <f t="shared" si="82"/>
        <v>0</v>
      </c>
      <c r="X32" s="120">
        <f t="shared" si="82"/>
        <v>0</v>
      </c>
      <c r="Y32" s="120">
        <f t="shared" si="82"/>
        <v>0</v>
      </c>
      <c r="Z32" s="120">
        <f t="shared" si="82"/>
        <v>0</v>
      </c>
      <c r="AA32" s="120">
        <f t="shared" si="82"/>
        <v>0</v>
      </c>
      <c r="AB32" s="120">
        <f t="shared" si="82"/>
        <v>0</v>
      </c>
      <c r="AC32" s="120">
        <f t="shared" si="82"/>
        <v>0</v>
      </c>
      <c r="AD32" s="120">
        <f t="shared" si="82"/>
        <v>0</v>
      </c>
      <c r="AE32" s="120">
        <f t="shared" si="82"/>
        <v>0</v>
      </c>
      <c r="AF32" s="120">
        <f t="shared" si="82"/>
        <v>0</v>
      </c>
      <c r="AG32" s="120">
        <f t="shared" si="82"/>
        <v>0</v>
      </c>
      <c r="AH32" s="120">
        <f t="shared" si="82"/>
        <v>0</v>
      </c>
      <c r="AI32" s="120">
        <f t="shared" si="82"/>
        <v>0</v>
      </c>
      <c r="AJ32" s="120">
        <f t="shared" si="82"/>
        <v>0</v>
      </c>
      <c r="AK32" s="120">
        <f t="shared" si="82"/>
        <v>0</v>
      </c>
      <c r="AL32" s="120">
        <f t="shared" si="82"/>
        <v>0</v>
      </c>
      <c r="AM32" s="120">
        <f t="shared" si="82"/>
        <v>0</v>
      </c>
      <c r="AN32" s="120">
        <f t="shared" si="82"/>
        <v>0</v>
      </c>
      <c r="AO32" s="120">
        <f t="shared" si="82"/>
        <v>0</v>
      </c>
      <c r="AP32" s="120">
        <f t="shared" si="82"/>
        <v>0</v>
      </c>
      <c r="AQ32" s="120">
        <f t="shared" si="82"/>
        <v>0</v>
      </c>
      <c r="AR32" s="120">
        <f t="shared" si="82"/>
        <v>0</v>
      </c>
      <c r="AS32" s="120">
        <f t="shared" si="82"/>
        <v>0</v>
      </c>
      <c r="AT32" s="120">
        <f t="shared" si="82"/>
        <v>0</v>
      </c>
      <c r="AU32" s="120">
        <f t="shared" si="82"/>
        <v>0</v>
      </c>
      <c r="AV32" s="120">
        <f t="shared" si="82"/>
        <v>0</v>
      </c>
      <c r="AW32" s="120">
        <f t="shared" si="82"/>
        <v>0</v>
      </c>
      <c r="AX32" s="120">
        <f t="shared" si="82"/>
        <v>0</v>
      </c>
      <c r="AY32" s="120">
        <f t="shared" si="82"/>
        <v>0</v>
      </c>
      <c r="AZ32" s="120">
        <f t="shared" si="82"/>
        <v>0</v>
      </c>
      <c r="BA32" s="120">
        <f t="shared" si="82"/>
        <v>0</v>
      </c>
      <c r="BB32" s="120">
        <f t="shared" si="82"/>
        <v>0</v>
      </c>
      <c r="BC32" s="120">
        <f t="shared" si="82"/>
        <v>0</v>
      </c>
      <c r="BD32" s="120">
        <f t="shared" si="82"/>
        <v>0</v>
      </c>
      <c r="BE32" s="120">
        <f t="shared" si="82"/>
        <v>0</v>
      </c>
      <c r="BF32" s="120">
        <f t="shared" si="82"/>
        <v>0</v>
      </c>
      <c r="BG32" s="120">
        <f t="shared" si="82"/>
        <v>0</v>
      </c>
      <c r="BH32" s="120">
        <f t="shared" si="82"/>
        <v>0</v>
      </c>
      <c r="BI32" s="120">
        <f t="shared" si="82"/>
        <v>0</v>
      </c>
      <c r="BJ32" s="120">
        <f t="shared" si="82"/>
        <v>0</v>
      </c>
      <c r="BK32" s="120">
        <f t="shared" si="82"/>
        <v>0</v>
      </c>
      <c r="BL32" s="120">
        <f t="shared" si="82"/>
        <v>0</v>
      </c>
      <c r="BM32" s="120">
        <f t="shared" si="82"/>
        <v>0</v>
      </c>
      <c r="BN32" s="120">
        <f aca="true" t="shared" si="83" ref="BN32:DK32">SUM(BN3:BN31)</f>
        <v>0</v>
      </c>
      <c r="BO32" s="120">
        <f t="shared" si="83"/>
        <v>0</v>
      </c>
      <c r="BP32" s="120">
        <f t="shared" si="83"/>
        <v>0</v>
      </c>
      <c r="BQ32" s="120">
        <f t="shared" si="83"/>
        <v>0</v>
      </c>
      <c r="BR32" s="120">
        <f t="shared" si="83"/>
        <v>0</v>
      </c>
      <c r="BS32" s="120">
        <f t="shared" si="83"/>
        <v>0</v>
      </c>
      <c r="BT32" s="120">
        <f t="shared" si="83"/>
        <v>0</v>
      </c>
      <c r="BU32" s="120">
        <f t="shared" si="83"/>
        <v>0</v>
      </c>
      <c r="BV32" s="120">
        <f t="shared" si="83"/>
        <v>0</v>
      </c>
      <c r="BW32" s="120">
        <f t="shared" si="83"/>
        <v>0</v>
      </c>
      <c r="BX32" s="120">
        <f t="shared" si="83"/>
        <v>0</v>
      </c>
      <c r="BY32" s="120">
        <f t="shared" si="83"/>
        <v>0</v>
      </c>
      <c r="BZ32" s="120">
        <f t="shared" si="83"/>
        <v>0</v>
      </c>
      <c r="CA32" s="120">
        <f t="shared" si="83"/>
        <v>0</v>
      </c>
      <c r="CB32" s="120">
        <f t="shared" si="83"/>
        <v>0</v>
      </c>
      <c r="CC32" s="120">
        <f t="shared" si="83"/>
        <v>0</v>
      </c>
      <c r="CD32" s="120">
        <f t="shared" si="83"/>
        <v>0</v>
      </c>
      <c r="CE32" s="120">
        <f t="shared" si="83"/>
        <v>0</v>
      </c>
      <c r="CF32" s="120">
        <f t="shared" si="83"/>
        <v>0</v>
      </c>
      <c r="CG32" s="120">
        <f t="shared" si="83"/>
        <v>0</v>
      </c>
      <c r="CH32" s="120">
        <f t="shared" si="83"/>
        <v>0</v>
      </c>
      <c r="CI32" s="120">
        <f t="shared" si="83"/>
        <v>0</v>
      </c>
      <c r="CJ32" s="121">
        <f t="shared" si="83"/>
        <v>0</v>
      </c>
      <c r="CK32" s="121">
        <f t="shared" si="83"/>
        <v>0</v>
      </c>
      <c r="CL32" s="121">
        <f t="shared" si="83"/>
        <v>0</v>
      </c>
      <c r="CM32" s="121">
        <f t="shared" si="83"/>
        <v>0</v>
      </c>
      <c r="CN32" s="121">
        <f t="shared" si="83"/>
        <v>0</v>
      </c>
      <c r="CO32" s="121">
        <f t="shared" si="83"/>
        <v>0</v>
      </c>
      <c r="CP32" s="121">
        <f t="shared" si="83"/>
        <v>0</v>
      </c>
      <c r="CQ32" s="121">
        <f t="shared" si="83"/>
        <v>0</v>
      </c>
      <c r="CR32" s="120">
        <f t="shared" si="83"/>
        <v>0</v>
      </c>
      <c r="CS32" s="120">
        <f t="shared" si="83"/>
        <v>0</v>
      </c>
      <c r="CT32" s="120">
        <f t="shared" si="83"/>
        <v>0</v>
      </c>
      <c r="CU32" s="120">
        <f t="shared" si="83"/>
        <v>0</v>
      </c>
      <c r="CV32" s="120">
        <f t="shared" si="83"/>
        <v>0</v>
      </c>
      <c r="CW32" s="120">
        <f t="shared" si="83"/>
        <v>0</v>
      </c>
      <c r="CX32" s="120">
        <f t="shared" si="83"/>
        <v>0</v>
      </c>
      <c r="CY32" s="120">
        <f t="shared" si="83"/>
        <v>0</v>
      </c>
      <c r="CZ32" s="120">
        <f t="shared" si="83"/>
        <v>0</v>
      </c>
      <c r="DA32" s="120">
        <f t="shared" si="83"/>
        <v>0</v>
      </c>
      <c r="DB32" s="120">
        <f t="shared" si="83"/>
        <v>0</v>
      </c>
      <c r="DC32" s="120">
        <f t="shared" si="83"/>
        <v>0</v>
      </c>
      <c r="DD32" s="120">
        <f t="shared" si="83"/>
        <v>0</v>
      </c>
      <c r="DE32" s="120">
        <f t="shared" si="83"/>
        <v>0</v>
      </c>
      <c r="DF32" s="120" t="e">
        <f t="shared" si="83"/>
        <v>#DIV/0!</v>
      </c>
      <c r="DG32" s="120" t="e">
        <f t="shared" si="83"/>
        <v>#DIV/0!</v>
      </c>
      <c r="DH32" s="120" t="e">
        <f t="shared" si="83"/>
        <v>#DIV/0!</v>
      </c>
      <c r="DI32" s="120" t="e">
        <f t="shared" si="83"/>
        <v>#DIV/0!</v>
      </c>
      <c r="DJ32" s="120" t="e">
        <f t="shared" si="83"/>
        <v>#DIV/0!</v>
      </c>
      <c r="DK32" s="120">
        <f t="shared" si="83"/>
        <v>0</v>
      </c>
      <c r="DL32" s="13">
        <f>SUM(DL3:DL31)</f>
        <v>0</v>
      </c>
      <c r="DM32" s="26">
        <f>SUM(DM3:DM31)</f>
        <v>0</v>
      </c>
    </row>
    <row r="33" spans="1:117" ht="12.75">
      <c r="A33" s="31" t="s">
        <v>47</v>
      </c>
      <c r="B33" s="24">
        <f aca="true" t="shared" si="84" ref="B33:BM33">MIN(B3:B31)</f>
        <v>0</v>
      </c>
      <c r="C33" s="24">
        <f t="shared" si="84"/>
        <v>0</v>
      </c>
      <c r="D33" s="25">
        <f t="shared" si="84"/>
        <v>0</v>
      </c>
      <c r="E33" s="25">
        <f t="shared" si="84"/>
        <v>0</v>
      </c>
      <c r="F33" s="117">
        <f t="shared" si="84"/>
        <v>1</v>
      </c>
      <c r="G33" s="124">
        <f t="shared" si="84"/>
        <v>0</v>
      </c>
      <c r="H33" s="24">
        <f t="shared" si="84"/>
        <v>0</v>
      </c>
      <c r="I33" s="24">
        <f t="shared" si="84"/>
        <v>0</v>
      </c>
      <c r="J33" s="24">
        <f t="shared" si="84"/>
        <v>0</v>
      </c>
      <c r="K33" s="24">
        <f t="shared" si="84"/>
        <v>0</v>
      </c>
      <c r="L33" s="24">
        <f t="shared" si="84"/>
        <v>0</v>
      </c>
      <c r="M33" s="24">
        <f t="shared" si="84"/>
        <v>0</v>
      </c>
      <c r="N33" s="24">
        <f t="shared" si="84"/>
        <v>0</v>
      </c>
      <c r="O33" s="24">
        <f t="shared" si="84"/>
        <v>0</v>
      </c>
      <c r="P33" s="24">
        <f t="shared" si="84"/>
        <v>0</v>
      </c>
      <c r="Q33" s="24">
        <f t="shared" si="84"/>
        <v>0</v>
      </c>
      <c r="R33" s="24">
        <f t="shared" si="84"/>
        <v>0</v>
      </c>
      <c r="S33" s="24">
        <f t="shared" si="84"/>
        <v>0</v>
      </c>
      <c r="T33" s="24">
        <f t="shared" si="84"/>
        <v>0</v>
      </c>
      <c r="U33" s="24">
        <f t="shared" si="84"/>
        <v>0</v>
      </c>
      <c r="V33" s="24">
        <f t="shared" si="84"/>
        <v>0</v>
      </c>
      <c r="W33" s="24">
        <f t="shared" si="84"/>
        <v>0</v>
      </c>
      <c r="X33" s="24">
        <f t="shared" si="84"/>
        <v>0</v>
      </c>
      <c r="Y33" s="24">
        <f t="shared" si="84"/>
        <v>0</v>
      </c>
      <c r="Z33" s="24">
        <f t="shared" si="84"/>
        <v>0</v>
      </c>
      <c r="AA33" s="24">
        <f t="shared" si="84"/>
        <v>0</v>
      </c>
      <c r="AB33" s="24">
        <f t="shared" si="84"/>
        <v>0</v>
      </c>
      <c r="AC33" s="24">
        <f>MIN(AC3:AC31)</f>
        <v>0</v>
      </c>
      <c r="AD33" s="24">
        <f t="shared" si="84"/>
        <v>0</v>
      </c>
      <c r="AE33" s="24">
        <f t="shared" si="84"/>
        <v>0</v>
      </c>
      <c r="AF33" s="24">
        <f t="shared" si="84"/>
        <v>0</v>
      </c>
      <c r="AG33" s="24">
        <f t="shared" si="84"/>
        <v>0</v>
      </c>
      <c r="AH33" s="24">
        <f t="shared" si="84"/>
        <v>0</v>
      </c>
      <c r="AI33" s="24">
        <f t="shared" si="84"/>
        <v>0</v>
      </c>
      <c r="AJ33" s="24">
        <f t="shared" si="84"/>
        <v>0</v>
      </c>
      <c r="AK33" s="24">
        <f t="shared" si="84"/>
        <v>0</v>
      </c>
      <c r="AL33" s="24">
        <f t="shared" si="84"/>
        <v>0</v>
      </c>
      <c r="AM33" s="24">
        <f t="shared" si="84"/>
        <v>0</v>
      </c>
      <c r="AN33" s="24">
        <f t="shared" si="84"/>
        <v>0</v>
      </c>
      <c r="AO33" s="24">
        <f t="shared" si="84"/>
        <v>0</v>
      </c>
      <c r="AP33" s="24">
        <f t="shared" si="84"/>
        <v>0</v>
      </c>
      <c r="AQ33" s="24">
        <f t="shared" si="84"/>
        <v>0</v>
      </c>
      <c r="AR33" s="24">
        <f t="shared" si="84"/>
        <v>0</v>
      </c>
      <c r="AS33" s="24">
        <f t="shared" si="84"/>
        <v>0</v>
      </c>
      <c r="AT33" s="24">
        <f t="shared" si="84"/>
        <v>0</v>
      </c>
      <c r="AU33" s="24">
        <f t="shared" si="84"/>
        <v>0</v>
      </c>
      <c r="AV33" s="24">
        <f t="shared" si="84"/>
        <v>0</v>
      </c>
      <c r="AW33" s="24">
        <f t="shared" si="84"/>
        <v>0</v>
      </c>
      <c r="AX33" s="24">
        <f t="shared" si="84"/>
        <v>0</v>
      </c>
      <c r="AY33" s="24">
        <f t="shared" si="84"/>
        <v>0</v>
      </c>
      <c r="AZ33" s="24">
        <f t="shared" si="84"/>
        <v>0</v>
      </c>
      <c r="BA33" s="24">
        <f t="shared" si="84"/>
        <v>0</v>
      </c>
      <c r="BB33" s="24">
        <f t="shared" si="84"/>
        <v>0</v>
      </c>
      <c r="BC33" s="24">
        <f t="shared" si="84"/>
        <v>0</v>
      </c>
      <c r="BD33" s="24">
        <f t="shared" si="84"/>
        <v>0</v>
      </c>
      <c r="BE33" s="24">
        <f t="shared" si="84"/>
        <v>0</v>
      </c>
      <c r="BF33" s="24">
        <f t="shared" si="84"/>
        <v>0</v>
      </c>
      <c r="BG33" s="24">
        <f t="shared" si="84"/>
        <v>0</v>
      </c>
      <c r="BH33" s="24">
        <f t="shared" si="84"/>
        <v>0</v>
      </c>
      <c r="BI33" s="24">
        <f t="shared" si="84"/>
        <v>0</v>
      </c>
      <c r="BJ33" s="24">
        <f t="shared" si="84"/>
        <v>0</v>
      </c>
      <c r="BK33" s="24">
        <f t="shared" si="84"/>
        <v>0</v>
      </c>
      <c r="BL33" s="24">
        <f t="shared" si="84"/>
        <v>0</v>
      </c>
      <c r="BM33" s="24">
        <f t="shared" si="84"/>
        <v>0</v>
      </c>
      <c r="BN33" s="24">
        <f aca="true" t="shared" si="85" ref="BN33:DK33">MIN(BN3:BN31)</f>
        <v>0</v>
      </c>
      <c r="BO33" s="24">
        <f t="shared" si="85"/>
        <v>0</v>
      </c>
      <c r="BP33" s="24">
        <f t="shared" si="85"/>
        <v>0</v>
      </c>
      <c r="BQ33" s="24">
        <f t="shared" si="85"/>
        <v>0</v>
      </c>
      <c r="BR33" s="24">
        <f t="shared" si="85"/>
        <v>0</v>
      </c>
      <c r="BS33" s="24">
        <f t="shared" si="85"/>
        <v>0</v>
      </c>
      <c r="BT33" s="24">
        <f t="shared" si="85"/>
        <v>0</v>
      </c>
      <c r="BU33" s="24">
        <f t="shared" si="85"/>
        <v>0</v>
      </c>
      <c r="BV33" s="24">
        <f t="shared" si="85"/>
        <v>0</v>
      </c>
      <c r="BW33" s="24">
        <f t="shared" si="85"/>
        <v>0</v>
      </c>
      <c r="BX33" s="24">
        <f t="shared" si="85"/>
        <v>0</v>
      </c>
      <c r="BY33" s="24">
        <f t="shared" si="85"/>
        <v>0</v>
      </c>
      <c r="BZ33" s="24">
        <f t="shared" si="85"/>
        <v>0</v>
      </c>
      <c r="CA33" s="24">
        <f t="shared" si="85"/>
        <v>0</v>
      </c>
      <c r="CB33" s="24">
        <f t="shared" si="85"/>
        <v>0</v>
      </c>
      <c r="CC33" s="24">
        <f t="shared" si="85"/>
        <v>0</v>
      </c>
      <c r="CD33" s="24">
        <f t="shared" si="85"/>
        <v>0</v>
      </c>
      <c r="CE33" s="24">
        <f t="shared" si="85"/>
        <v>0</v>
      </c>
      <c r="CF33" s="24">
        <f t="shared" si="85"/>
        <v>0</v>
      </c>
      <c r="CG33" s="24">
        <f t="shared" si="85"/>
        <v>0</v>
      </c>
      <c r="CH33" s="24">
        <f t="shared" si="85"/>
        <v>0</v>
      </c>
      <c r="CI33" s="24">
        <f t="shared" si="85"/>
        <v>0</v>
      </c>
      <c r="CJ33" s="93">
        <f t="shared" si="85"/>
        <v>0</v>
      </c>
      <c r="CK33" s="93">
        <f t="shared" si="85"/>
        <v>0</v>
      </c>
      <c r="CL33" s="93">
        <f t="shared" si="85"/>
        <v>0</v>
      </c>
      <c r="CM33" s="93">
        <f t="shared" si="85"/>
        <v>0</v>
      </c>
      <c r="CN33" s="93">
        <f t="shared" si="85"/>
        <v>0</v>
      </c>
      <c r="CO33" s="93">
        <f t="shared" si="85"/>
        <v>0</v>
      </c>
      <c r="CP33" s="93">
        <f t="shared" si="85"/>
        <v>0</v>
      </c>
      <c r="CQ33" s="93">
        <f t="shared" si="85"/>
        <v>0</v>
      </c>
      <c r="CR33" s="24">
        <f t="shared" si="85"/>
        <v>0</v>
      </c>
      <c r="CS33" s="24">
        <f t="shared" si="85"/>
        <v>0</v>
      </c>
      <c r="CT33" s="24">
        <f t="shared" si="85"/>
        <v>0</v>
      </c>
      <c r="CU33" s="24">
        <f t="shared" si="85"/>
        <v>0</v>
      </c>
      <c r="CV33" s="24">
        <f t="shared" si="85"/>
        <v>0</v>
      </c>
      <c r="CW33" s="24">
        <f t="shared" si="85"/>
        <v>0</v>
      </c>
      <c r="CX33" s="24">
        <f t="shared" si="85"/>
        <v>0</v>
      </c>
      <c r="CY33" s="24">
        <f t="shared" si="85"/>
        <v>0</v>
      </c>
      <c r="CZ33" s="24">
        <f t="shared" si="85"/>
        <v>0</v>
      </c>
      <c r="DA33" s="24">
        <f t="shared" si="85"/>
        <v>0</v>
      </c>
      <c r="DB33" s="24">
        <f t="shared" si="85"/>
        <v>0</v>
      </c>
      <c r="DC33" s="24">
        <f t="shared" si="85"/>
        <v>0</v>
      </c>
      <c r="DD33" s="24">
        <f t="shared" si="85"/>
        <v>0</v>
      </c>
      <c r="DE33" s="24">
        <f t="shared" si="85"/>
        <v>0</v>
      </c>
      <c r="DF33" s="24" t="e">
        <f t="shared" si="85"/>
        <v>#DIV/0!</v>
      </c>
      <c r="DG33" s="24" t="e">
        <f t="shared" si="85"/>
        <v>#DIV/0!</v>
      </c>
      <c r="DH33" s="24" t="e">
        <f t="shared" si="85"/>
        <v>#DIV/0!</v>
      </c>
      <c r="DI33" s="24" t="e">
        <f t="shared" si="85"/>
        <v>#DIV/0!</v>
      </c>
      <c r="DJ33" s="24" t="e">
        <f t="shared" si="85"/>
        <v>#DIV/0!</v>
      </c>
      <c r="DK33" s="24">
        <f t="shared" si="85"/>
        <v>0</v>
      </c>
      <c r="DL33" s="13">
        <f>MIN(DL3:DL31)</f>
        <v>0</v>
      </c>
      <c r="DM33" s="26">
        <f>MIN(DM3:DM31)</f>
        <v>0</v>
      </c>
    </row>
    <row r="34" spans="1:117" ht="12.75">
      <c r="A34" s="31" t="s">
        <v>48</v>
      </c>
      <c r="B34" s="24">
        <f aca="true" t="shared" si="86" ref="B34:BM34">MAX(B3:B31)</f>
        <v>0</v>
      </c>
      <c r="C34" s="24">
        <f t="shared" si="86"/>
        <v>0</v>
      </c>
      <c r="D34" s="25">
        <f t="shared" si="86"/>
        <v>0</v>
      </c>
      <c r="E34" s="25">
        <f t="shared" si="86"/>
        <v>0</v>
      </c>
      <c r="F34" s="117">
        <f t="shared" si="86"/>
        <v>15</v>
      </c>
      <c r="G34" s="124">
        <f t="shared" si="86"/>
        <v>0</v>
      </c>
      <c r="H34" s="24">
        <f t="shared" si="86"/>
        <v>0</v>
      </c>
      <c r="I34" s="24">
        <f t="shared" si="86"/>
        <v>0</v>
      </c>
      <c r="J34" s="24">
        <f t="shared" si="86"/>
        <v>0</v>
      </c>
      <c r="K34" s="24">
        <f t="shared" si="86"/>
        <v>0</v>
      </c>
      <c r="L34" s="24">
        <f t="shared" si="86"/>
        <v>0</v>
      </c>
      <c r="M34" s="24">
        <f t="shared" si="86"/>
        <v>0</v>
      </c>
      <c r="N34" s="24">
        <f t="shared" si="86"/>
        <v>0</v>
      </c>
      <c r="O34" s="24">
        <f t="shared" si="86"/>
        <v>0</v>
      </c>
      <c r="P34" s="24">
        <f t="shared" si="86"/>
        <v>0</v>
      </c>
      <c r="Q34" s="24">
        <f t="shared" si="86"/>
        <v>0</v>
      </c>
      <c r="R34" s="24">
        <f t="shared" si="86"/>
        <v>0</v>
      </c>
      <c r="S34" s="24">
        <f t="shared" si="86"/>
        <v>0</v>
      </c>
      <c r="T34" s="24">
        <f t="shared" si="86"/>
        <v>0</v>
      </c>
      <c r="U34" s="24">
        <f t="shared" si="86"/>
        <v>0</v>
      </c>
      <c r="V34" s="24">
        <f t="shared" si="86"/>
        <v>0</v>
      </c>
      <c r="W34" s="24">
        <f t="shared" si="86"/>
        <v>0</v>
      </c>
      <c r="X34" s="24">
        <f t="shared" si="86"/>
        <v>0</v>
      </c>
      <c r="Y34" s="24">
        <f t="shared" si="86"/>
        <v>0</v>
      </c>
      <c r="Z34" s="24">
        <f t="shared" si="86"/>
        <v>0</v>
      </c>
      <c r="AA34" s="24">
        <f t="shared" si="86"/>
        <v>0</v>
      </c>
      <c r="AB34" s="24">
        <f t="shared" si="86"/>
        <v>0</v>
      </c>
      <c r="AC34" s="24">
        <f>MAX(AC3:AC31)</f>
        <v>0</v>
      </c>
      <c r="AD34" s="24">
        <f t="shared" si="86"/>
        <v>0</v>
      </c>
      <c r="AE34" s="24">
        <f t="shared" si="86"/>
        <v>0</v>
      </c>
      <c r="AF34" s="24">
        <f t="shared" si="86"/>
        <v>0</v>
      </c>
      <c r="AG34" s="24">
        <f t="shared" si="86"/>
        <v>0</v>
      </c>
      <c r="AH34" s="24">
        <f t="shared" si="86"/>
        <v>0</v>
      </c>
      <c r="AI34" s="24">
        <f t="shared" si="86"/>
        <v>0</v>
      </c>
      <c r="AJ34" s="24">
        <f t="shared" si="86"/>
        <v>0</v>
      </c>
      <c r="AK34" s="24">
        <f t="shared" si="86"/>
        <v>0</v>
      </c>
      <c r="AL34" s="24">
        <f t="shared" si="86"/>
        <v>0</v>
      </c>
      <c r="AM34" s="24">
        <f t="shared" si="86"/>
        <v>0</v>
      </c>
      <c r="AN34" s="24">
        <f t="shared" si="86"/>
        <v>0</v>
      </c>
      <c r="AO34" s="24">
        <f t="shared" si="86"/>
        <v>0</v>
      </c>
      <c r="AP34" s="24">
        <f t="shared" si="86"/>
        <v>0</v>
      </c>
      <c r="AQ34" s="24">
        <f t="shared" si="86"/>
        <v>0</v>
      </c>
      <c r="AR34" s="24">
        <f t="shared" si="86"/>
        <v>0</v>
      </c>
      <c r="AS34" s="24">
        <f t="shared" si="86"/>
        <v>0</v>
      </c>
      <c r="AT34" s="24">
        <f t="shared" si="86"/>
        <v>0</v>
      </c>
      <c r="AU34" s="24">
        <f t="shared" si="86"/>
        <v>0</v>
      </c>
      <c r="AV34" s="24">
        <f t="shared" si="86"/>
        <v>0</v>
      </c>
      <c r="AW34" s="24">
        <f t="shared" si="86"/>
        <v>0</v>
      </c>
      <c r="AX34" s="24">
        <f t="shared" si="86"/>
        <v>0</v>
      </c>
      <c r="AY34" s="24">
        <f t="shared" si="86"/>
        <v>0</v>
      </c>
      <c r="AZ34" s="24">
        <f t="shared" si="86"/>
        <v>0</v>
      </c>
      <c r="BA34" s="24">
        <f t="shared" si="86"/>
        <v>0</v>
      </c>
      <c r="BB34" s="24">
        <f t="shared" si="86"/>
        <v>0</v>
      </c>
      <c r="BC34" s="24">
        <f t="shared" si="86"/>
        <v>0</v>
      </c>
      <c r="BD34" s="24">
        <f t="shared" si="86"/>
        <v>0</v>
      </c>
      <c r="BE34" s="24">
        <f t="shared" si="86"/>
        <v>0</v>
      </c>
      <c r="BF34" s="24">
        <f t="shared" si="86"/>
        <v>0</v>
      </c>
      <c r="BG34" s="24">
        <f t="shared" si="86"/>
        <v>0</v>
      </c>
      <c r="BH34" s="24">
        <f t="shared" si="86"/>
        <v>0</v>
      </c>
      <c r="BI34" s="24">
        <f t="shared" si="86"/>
        <v>0</v>
      </c>
      <c r="BJ34" s="24">
        <f t="shared" si="86"/>
        <v>0</v>
      </c>
      <c r="BK34" s="24">
        <f t="shared" si="86"/>
        <v>0</v>
      </c>
      <c r="BL34" s="24">
        <f t="shared" si="86"/>
        <v>0</v>
      </c>
      <c r="BM34" s="24">
        <f t="shared" si="86"/>
        <v>0</v>
      </c>
      <c r="BN34" s="24">
        <f aca="true" t="shared" si="87" ref="BN34:DK34">MAX(BN3:BN31)</f>
        <v>0</v>
      </c>
      <c r="BO34" s="24">
        <f t="shared" si="87"/>
        <v>0</v>
      </c>
      <c r="BP34" s="24">
        <f t="shared" si="87"/>
        <v>0</v>
      </c>
      <c r="BQ34" s="24">
        <f t="shared" si="87"/>
        <v>0</v>
      </c>
      <c r="BR34" s="24">
        <f t="shared" si="87"/>
        <v>0</v>
      </c>
      <c r="BS34" s="24">
        <f t="shared" si="87"/>
        <v>0</v>
      </c>
      <c r="BT34" s="24">
        <f t="shared" si="87"/>
        <v>0</v>
      </c>
      <c r="BU34" s="24">
        <f t="shared" si="87"/>
        <v>0</v>
      </c>
      <c r="BV34" s="24">
        <f t="shared" si="87"/>
        <v>0</v>
      </c>
      <c r="BW34" s="24">
        <f t="shared" si="87"/>
        <v>0</v>
      </c>
      <c r="BX34" s="24">
        <f t="shared" si="87"/>
        <v>0</v>
      </c>
      <c r="BY34" s="24">
        <f t="shared" si="87"/>
        <v>0</v>
      </c>
      <c r="BZ34" s="24">
        <f t="shared" si="87"/>
        <v>0</v>
      </c>
      <c r="CA34" s="24">
        <f t="shared" si="87"/>
        <v>0</v>
      </c>
      <c r="CB34" s="24">
        <f t="shared" si="87"/>
        <v>0</v>
      </c>
      <c r="CC34" s="24">
        <f t="shared" si="87"/>
        <v>0</v>
      </c>
      <c r="CD34" s="24">
        <f t="shared" si="87"/>
        <v>0</v>
      </c>
      <c r="CE34" s="24">
        <f t="shared" si="87"/>
        <v>0</v>
      </c>
      <c r="CF34" s="24">
        <f t="shared" si="87"/>
        <v>0</v>
      </c>
      <c r="CG34" s="24">
        <f t="shared" si="87"/>
        <v>0</v>
      </c>
      <c r="CH34" s="24">
        <f t="shared" si="87"/>
        <v>0</v>
      </c>
      <c r="CI34" s="24">
        <f t="shared" si="87"/>
        <v>0</v>
      </c>
      <c r="CJ34" s="93">
        <f t="shared" si="87"/>
        <v>0</v>
      </c>
      <c r="CK34" s="93">
        <f t="shared" si="87"/>
        <v>0</v>
      </c>
      <c r="CL34" s="93">
        <f t="shared" si="87"/>
        <v>0</v>
      </c>
      <c r="CM34" s="93">
        <f t="shared" si="87"/>
        <v>0</v>
      </c>
      <c r="CN34" s="93">
        <f t="shared" si="87"/>
        <v>0</v>
      </c>
      <c r="CO34" s="93">
        <f t="shared" si="87"/>
        <v>0</v>
      </c>
      <c r="CP34" s="93">
        <f t="shared" si="87"/>
        <v>0</v>
      </c>
      <c r="CQ34" s="93">
        <f t="shared" si="87"/>
        <v>0</v>
      </c>
      <c r="CR34" s="24">
        <f t="shared" si="87"/>
        <v>0</v>
      </c>
      <c r="CS34" s="24">
        <f t="shared" si="87"/>
        <v>0</v>
      </c>
      <c r="CT34" s="24">
        <f t="shared" si="87"/>
        <v>0</v>
      </c>
      <c r="CU34" s="24">
        <f t="shared" si="87"/>
        <v>0</v>
      </c>
      <c r="CV34" s="24">
        <f t="shared" si="87"/>
        <v>0</v>
      </c>
      <c r="CW34" s="24">
        <f t="shared" si="87"/>
        <v>0</v>
      </c>
      <c r="CX34" s="24">
        <f t="shared" si="87"/>
        <v>0</v>
      </c>
      <c r="CY34" s="24">
        <f t="shared" si="87"/>
        <v>0</v>
      </c>
      <c r="CZ34" s="24">
        <f t="shared" si="87"/>
        <v>0</v>
      </c>
      <c r="DA34" s="24">
        <f t="shared" si="87"/>
        <v>0</v>
      </c>
      <c r="DB34" s="24">
        <f t="shared" si="87"/>
        <v>0</v>
      </c>
      <c r="DC34" s="24">
        <f t="shared" si="87"/>
        <v>0</v>
      </c>
      <c r="DD34" s="24">
        <f t="shared" si="87"/>
        <v>0</v>
      </c>
      <c r="DE34" s="24">
        <f t="shared" si="87"/>
        <v>0</v>
      </c>
      <c r="DF34" s="24" t="e">
        <f t="shared" si="87"/>
        <v>#DIV/0!</v>
      </c>
      <c r="DG34" s="24" t="e">
        <f t="shared" si="87"/>
        <v>#DIV/0!</v>
      </c>
      <c r="DH34" s="24" t="e">
        <f t="shared" si="87"/>
        <v>#DIV/0!</v>
      </c>
      <c r="DI34" s="24" t="e">
        <f t="shared" si="87"/>
        <v>#DIV/0!</v>
      </c>
      <c r="DJ34" s="24" t="e">
        <f t="shared" si="87"/>
        <v>#DIV/0!</v>
      </c>
      <c r="DK34" s="24">
        <f t="shared" si="87"/>
        <v>0</v>
      </c>
      <c r="DL34" s="13">
        <f>MAX(DL3:DL31)</f>
        <v>0</v>
      </c>
      <c r="DM34" s="26">
        <f>MAX(DM3:DM31)</f>
        <v>0</v>
      </c>
    </row>
    <row r="35" spans="1:117" ht="13.5" thickBot="1">
      <c r="A35" s="32" t="s">
        <v>49</v>
      </c>
      <c r="B35" s="27" t="e">
        <f aca="true" t="shared" si="88" ref="B35:BM35">MEDIAN(B3:B31)</f>
        <v>#NUM!</v>
      </c>
      <c r="C35" s="27" t="e">
        <f t="shared" si="88"/>
        <v>#NUM!</v>
      </c>
      <c r="D35" s="28" t="e">
        <f t="shared" si="88"/>
        <v>#NUM!</v>
      </c>
      <c r="E35" s="28" t="e">
        <f t="shared" si="88"/>
        <v>#NUM!</v>
      </c>
      <c r="F35" s="118">
        <f t="shared" si="88"/>
        <v>6</v>
      </c>
      <c r="G35" s="125">
        <f t="shared" si="88"/>
        <v>0</v>
      </c>
      <c r="H35" s="27">
        <f t="shared" si="88"/>
        <v>0</v>
      </c>
      <c r="I35" s="27">
        <f t="shared" si="88"/>
        <v>0</v>
      </c>
      <c r="J35" s="27">
        <f t="shared" si="88"/>
        <v>0</v>
      </c>
      <c r="K35" s="27">
        <f t="shared" si="88"/>
        <v>0</v>
      </c>
      <c r="L35" s="27">
        <f t="shared" si="88"/>
        <v>0</v>
      </c>
      <c r="M35" s="27">
        <f t="shared" si="88"/>
        <v>0</v>
      </c>
      <c r="N35" s="27">
        <f t="shared" si="88"/>
        <v>0</v>
      </c>
      <c r="O35" s="27">
        <f t="shared" si="88"/>
        <v>0</v>
      </c>
      <c r="P35" s="27">
        <f t="shared" si="88"/>
        <v>0</v>
      </c>
      <c r="Q35" s="27">
        <f t="shared" si="88"/>
        <v>0</v>
      </c>
      <c r="R35" s="27">
        <f t="shared" si="88"/>
        <v>0</v>
      </c>
      <c r="S35" s="27">
        <f t="shared" si="88"/>
        <v>0</v>
      </c>
      <c r="T35" s="27">
        <f t="shared" si="88"/>
        <v>0</v>
      </c>
      <c r="U35" s="27">
        <f t="shared" si="88"/>
        <v>0</v>
      </c>
      <c r="V35" s="27">
        <f t="shared" si="88"/>
        <v>0</v>
      </c>
      <c r="W35" s="27">
        <f t="shared" si="88"/>
        <v>0</v>
      </c>
      <c r="X35" s="27">
        <f t="shared" si="88"/>
        <v>0</v>
      </c>
      <c r="Y35" s="27">
        <f t="shared" si="88"/>
        <v>0</v>
      </c>
      <c r="Z35" s="27">
        <f t="shared" si="88"/>
        <v>0</v>
      </c>
      <c r="AA35" s="27">
        <f t="shared" si="88"/>
        <v>0</v>
      </c>
      <c r="AB35" s="27">
        <f t="shared" si="88"/>
        <v>0</v>
      </c>
      <c r="AC35" s="27">
        <f>MEDIAN(AC3:AC31)</f>
        <v>0</v>
      </c>
      <c r="AD35" s="27">
        <f t="shared" si="88"/>
        <v>0</v>
      </c>
      <c r="AE35" s="27">
        <f t="shared" si="88"/>
        <v>0</v>
      </c>
      <c r="AF35" s="27">
        <f t="shared" si="88"/>
        <v>0</v>
      </c>
      <c r="AG35" s="27">
        <f t="shared" si="88"/>
        <v>0</v>
      </c>
      <c r="AH35" s="27">
        <f t="shared" si="88"/>
        <v>0</v>
      </c>
      <c r="AI35" s="27">
        <f t="shared" si="88"/>
        <v>0</v>
      </c>
      <c r="AJ35" s="27">
        <f t="shared" si="88"/>
        <v>0</v>
      </c>
      <c r="AK35" s="27">
        <f t="shared" si="88"/>
        <v>0</v>
      </c>
      <c r="AL35" s="27">
        <f t="shared" si="88"/>
        <v>0</v>
      </c>
      <c r="AM35" s="27">
        <f t="shared" si="88"/>
        <v>0</v>
      </c>
      <c r="AN35" s="27">
        <f t="shared" si="88"/>
        <v>0</v>
      </c>
      <c r="AO35" s="27">
        <f t="shared" si="88"/>
        <v>0</v>
      </c>
      <c r="AP35" s="27">
        <f t="shared" si="88"/>
        <v>0</v>
      </c>
      <c r="AQ35" s="27">
        <f t="shared" si="88"/>
        <v>0</v>
      </c>
      <c r="AR35" s="27">
        <f t="shared" si="88"/>
        <v>0</v>
      </c>
      <c r="AS35" s="27">
        <f t="shared" si="88"/>
        <v>0</v>
      </c>
      <c r="AT35" s="27">
        <f t="shared" si="88"/>
        <v>0</v>
      </c>
      <c r="AU35" s="27">
        <f t="shared" si="88"/>
        <v>0</v>
      </c>
      <c r="AV35" s="27">
        <f t="shared" si="88"/>
        <v>0</v>
      </c>
      <c r="AW35" s="27">
        <f t="shared" si="88"/>
        <v>0</v>
      </c>
      <c r="AX35" s="27">
        <f t="shared" si="88"/>
        <v>0</v>
      </c>
      <c r="AY35" s="27">
        <f t="shared" si="88"/>
        <v>0</v>
      </c>
      <c r="AZ35" s="27">
        <f t="shared" si="88"/>
        <v>0</v>
      </c>
      <c r="BA35" s="27">
        <f t="shared" si="88"/>
        <v>0</v>
      </c>
      <c r="BB35" s="27">
        <f t="shared" si="88"/>
        <v>0</v>
      </c>
      <c r="BC35" s="27">
        <f t="shared" si="88"/>
        <v>0</v>
      </c>
      <c r="BD35" s="27">
        <f t="shared" si="88"/>
        <v>0</v>
      </c>
      <c r="BE35" s="27">
        <f t="shared" si="88"/>
        <v>0</v>
      </c>
      <c r="BF35" s="27">
        <f t="shared" si="88"/>
        <v>0</v>
      </c>
      <c r="BG35" s="27">
        <f t="shared" si="88"/>
        <v>0</v>
      </c>
      <c r="BH35" s="27">
        <f t="shared" si="88"/>
        <v>0</v>
      </c>
      <c r="BI35" s="27">
        <f t="shared" si="88"/>
        <v>0</v>
      </c>
      <c r="BJ35" s="27">
        <f t="shared" si="88"/>
        <v>0</v>
      </c>
      <c r="BK35" s="27">
        <f t="shared" si="88"/>
        <v>0</v>
      </c>
      <c r="BL35" s="27">
        <f t="shared" si="88"/>
        <v>0</v>
      </c>
      <c r="BM35" s="27">
        <f t="shared" si="88"/>
        <v>0</v>
      </c>
      <c r="BN35" s="27">
        <f aca="true" t="shared" si="89" ref="BN35:DK35">MEDIAN(BN3:BN31)</f>
        <v>0</v>
      </c>
      <c r="BO35" s="27">
        <f t="shared" si="89"/>
        <v>0</v>
      </c>
      <c r="BP35" s="27">
        <f t="shared" si="89"/>
        <v>0</v>
      </c>
      <c r="BQ35" s="27">
        <f t="shared" si="89"/>
        <v>0</v>
      </c>
      <c r="BR35" s="27">
        <f t="shared" si="89"/>
        <v>0</v>
      </c>
      <c r="BS35" s="27">
        <f t="shared" si="89"/>
        <v>0</v>
      </c>
      <c r="BT35" s="27">
        <f t="shared" si="89"/>
        <v>0</v>
      </c>
      <c r="BU35" s="27">
        <f t="shared" si="89"/>
        <v>0</v>
      </c>
      <c r="BV35" s="27">
        <f t="shared" si="89"/>
        <v>0</v>
      </c>
      <c r="BW35" s="27">
        <f t="shared" si="89"/>
        <v>0</v>
      </c>
      <c r="BX35" s="27">
        <f t="shared" si="89"/>
        <v>0</v>
      </c>
      <c r="BY35" s="27">
        <f t="shared" si="89"/>
        <v>0</v>
      </c>
      <c r="BZ35" s="27">
        <f t="shared" si="89"/>
        <v>0</v>
      </c>
      <c r="CA35" s="27">
        <f t="shared" si="89"/>
        <v>0</v>
      </c>
      <c r="CB35" s="27">
        <f t="shared" si="89"/>
        <v>0</v>
      </c>
      <c r="CC35" s="27">
        <f t="shared" si="89"/>
        <v>0</v>
      </c>
      <c r="CD35" s="27">
        <f t="shared" si="89"/>
        <v>0</v>
      </c>
      <c r="CE35" s="27">
        <f t="shared" si="89"/>
        <v>0</v>
      </c>
      <c r="CF35" s="27">
        <f t="shared" si="89"/>
        <v>0</v>
      </c>
      <c r="CG35" s="27">
        <f t="shared" si="89"/>
        <v>0</v>
      </c>
      <c r="CH35" s="27">
        <f t="shared" si="89"/>
        <v>0</v>
      </c>
      <c r="CI35" s="27">
        <f t="shared" si="89"/>
        <v>0</v>
      </c>
      <c r="CJ35" s="94" t="e">
        <f t="shared" si="89"/>
        <v>#NUM!</v>
      </c>
      <c r="CK35" s="94" t="e">
        <f t="shared" si="89"/>
        <v>#NUM!</v>
      </c>
      <c r="CL35" s="94" t="e">
        <f t="shared" si="89"/>
        <v>#NUM!</v>
      </c>
      <c r="CM35" s="94" t="e">
        <f t="shared" si="89"/>
        <v>#NUM!</v>
      </c>
      <c r="CN35" s="94" t="e">
        <f t="shared" si="89"/>
        <v>#NUM!</v>
      </c>
      <c r="CO35" s="94" t="e">
        <f t="shared" si="89"/>
        <v>#NUM!</v>
      </c>
      <c r="CP35" s="94" t="e">
        <f t="shared" si="89"/>
        <v>#NUM!</v>
      </c>
      <c r="CQ35" s="94" t="e">
        <f t="shared" si="89"/>
        <v>#NUM!</v>
      </c>
      <c r="CR35" s="27" t="e">
        <f t="shared" si="89"/>
        <v>#NUM!</v>
      </c>
      <c r="CS35" s="27">
        <f t="shared" si="89"/>
        <v>0</v>
      </c>
      <c r="CT35" s="27">
        <f t="shared" si="89"/>
        <v>0</v>
      </c>
      <c r="CU35" s="27">
        <f t="shared" si="89"/>
        <v>0</v>
      </c>
      <c r="CV35" s="27">
        <f t="shared" si="89"/>
        <v>0</v>
      </c>
      <c r="CW35" s="27">
        <f t="shared" si="89"/>
        <v>0</v>
      </c>
      <c r="CX35" s="27">
        <f t="shared" si="89"/>
        <v>0</v>
      </c>
      <c r="CY35" s="27">
        <f t="shared" si="89"/>
        <v>0</v>
      </c>
      <c r="CZ35" s="27">
        <f t="shared" si="89"/>
        <v>0</v>
      </c>
      <c r="DA35" s="27">
        <f t="shared" si="89"/>
        <v>0</v>
      </c>
      <c r="DB35" s="27">
        <f t="shared" si="89"/>
        <v>0</v>
      </c>
      <c r="DC35" s="27">
        <f t="shared" si="89"/>
        <v>0</v>
      </c>
      <c r="DD35" s="27">
        <f t="shared" si="89"/>
        <v>0</v>
      </c>
      <c r="DE35" s="27">
        <f t="shared" si="89"/>
        <v>0</v>
      </c>
      <c r="DF35" s="27" t="e">
        <f t="shared" si="89"/>
        <v>#DIV/0!</v>
      </c>
      <c r="DG35" s="27" t="e">
        <f t="shared" si="89"/>
        <v>#DIV/0!</v>
      </c>
      <c r="DH35" s="27" t="e">
        <f t="shared" si="89"/>
        <v>#DIV/0!</v>
      </c>
      <c r="DI35" s="27" t="e">
        <f t="shared" si="89"/>
        <v>#DIV/0!</v>
      </c>
      <c r="DJ35" s="27" t="e">
        <f t="shared" si="89"/>
        <v>#DIV/0!</v>
      </c>
      <c r="DK35" s="27">
        <f t="shared" si="89"/>
        <v>0</v>
      </c>
      <c r="DL35" s="29" t="e">
        <f>MEDIAN(DL3:DL31)</f>
        <v>#NUM!</v>
      </c>
      <c r="DM35" s="30" t="e">
        <f>MEDIAN(DM3:DM31)</f>
        <v>#NUM!</v>
      </c>
    </row>
    <row r="37" spans="1:118" ht="12.75">
      <c r="A37" s="3" t="s">
        <v>247</v>
      </c>
      <c r="B37" s="17">
        <f>SUM(B3:B31)</f>
        <v>0</v>
      </c>
      <c r="C37" s="17">
        <f>SUM(C3:C31)</f>
        <v>0</v>
      </c>
      <c r="D37" s="17" t="e">
        <f>D35</f>
        <v>#NUM!</v>
      </c>
      <c r="E37" s="146" t="e">
        <f>E35</f>
        <v>#NUM!</v>
      </c>
      <c r="F37" s="17">
        <f>SUM(F3:F31)</f>
        <v>161</v>
      </c>
      <c r="G37" s="17">
        <f aca="true" t="shared" si="90" ref="G37:BN37">SUM(G3:G31)</f>
        <v>0</v>
      </c>
      <c r="H37" s="17">
        <f t="shared" si="90"/>
        <v>0</v>
      </c>
      <c r="I37" s="17">
        <f t="shared" si="90"/>
        <v>0</v>
      </c>
      <c r="J37" s="17">
        <f t="shared" si="90"/>
        <v>0</v>
      </c>
      <c r="K37" s="17">
        <f t="shared" si="90"/>
        <v>0</v>
      </c>
      <c r="L37" s="17">
        <f t="shared" si="90"/>
        <v>0</v>
      </c>
      <c r="M37" s="17">
        <f t="shared" si="90"/>
        <v>0</v>
      </c>
      <c r="N37" s="17">
        <f t="shared" si="90"/>
        <v>0</v>
      </c>
      <c r="O37" s="17">
        <f t="shared" si="90"/>
        <v>0</v>
      </c>
      <c r="P37" s="17">
        <f t="shared" si="90"/>
        <v>0</v>
      </c>
      <c r="Q37" s="17">
        <f t="shared" si="90"/>
        <v>0</v>
      </c>
      <c r="R37" s="17">
        <f t="shared" si="90"/>
        <v>0</v>
      </c>
      <c r="S37" s="17">
        <f t="shared" si="90"/>
        <v>0</v>
      </c>
      <c r="T37" s="17">
        <f t="shared" si="90"/>
        <v>0</v>
      </c>
      <c r="U37" s="17">
        <f t="shared" si="90"/>
        <v>0</v>
      </c>
      <c r="V37" s="17">
        <f t="shared" si="90"/>
        <v>0</v>
      </c>
      <c r="W37" s="17">
        <f t="shared" si="90"/>
        <v>0</v>
      </c>
      <c r="X37" s="17">
        <f t="shared" si="90"/>
        <v>0</v>
      </c>
      <c r="Y37" s="17">
        <f t="shared" si="90"/>
        <v>0</v>
      </c>
      <c r="Z37" s="17">
        <f t="shared" si="90"/>
        <v>0</v>
      </c>
      <c r="AA37" s="17">
        <f t="shared" si="90"/>
        <v>0</v>
      </c>
      <c r="AB37" s="17">
        <f t="shared" si="90"/>
        <v>0</v>
      </c>
      <c r="AC37" s="17">
        <f t="shared" si="90"/>
        <v>0</v>
      </c>
      <c r="AD37" s="17">
        <f t="shared" si="90"/>
        <v>0</v>
      </c>
      <c r="AE37" s="17">
        <f t="shared" si="90"/>
        <v>0</v>
      </c>
      <c r="AF37" s="17">
        <f t="shared" si="90"/>
        <v>0</v>
      </c>
      <c r="AG37" s="17">
        <f t="shared" si="90"/>
        <v>0</v>
      </c>
      <c r="AH37" s="17">
        <f t="shared" si="90"/>
        <v>0</v>
      </c>
      <c r="AI37" s="17">
        <f t="shared" si="90"/>
        <v>0</v>
      </c>
      <c r="AJ37" s="17">
        <f t="shared" si="90"/>
        <v>0</v>
      </c>
      <c r="AK37" s="17">
        <f t="shared" si="90"/>
        <v>0</v>
      </c>
      <c r="AL37" s="17">
        <f t="shared" si="90"/>
        <v>0</v>
      </c>
      <c r="AM37" s="17">
        <f t="shared" si="90"/>
        <v>0</v>
      </c>
      <c r="AN37" s="17">
        <f t="shared" si="90"/>
        <v>0</v>
      </c>
      <c r="AO37" s="17">
        <f t="shared" si="90"/>
        <v>0</v>
      </c>
      <c r="AP37" s="17">
        <f t="shared" si="90"/>
        <v>0</v>
      </c>
      <c r="AQ37" s="17">
        <f t="shared" si="90"/>
        <v>0</v>
      </c>
      <c r="AR37" s="17">
        <f t="shared" si="90"/>
        <v>0</v>
      </c>
      <c r="AS37" s="17">
        <f t="shared" si="90"/>
        <v>0</v>
      </c>
      <c r="AT37" s="17">
        <f t="shared" si="90"/>
        <v>0</v>
      </c>
      <c r="AU37" s="17">
        <f t="shared" si="90"/>
        <v>0</v>
      </c>
      <c r="AV37" s="17">
        <f t="shared" si="90"/>
        <v>0</v>
      </c>
      <c r="AW37" s="17">
        <f t="shared" si="90"/>
        <v>0</v>
      </c>
      <c r="AX37" s="4">
        <f>Y37-AU37+AV37-AW37</f>
        <v>0</v>
      </c>
      <c r="AY37" s="17">
        <f t="shared" si="90"/>
        <v>0</v>
      </c>
      <c r="AZ37" s="17">
        <f t="shared" si="90"/>
        <v>0</v>
      </c>
      <c r="BA37" s="17">
        <f t="shared" si="90"/>
        <v>0</v>
      </c>
      <c r="BB37" s="17">
        <f t="shared" si="90"/>
        <v>0</v>
      </c>
      <c r="BC37" s="17">
        <f t="shared" si="90"/>
        <v>0</v>
      </c>
      <c r="BD37" s="17">
        <f t="shared" si="90"/>
        <v>0</v>
      </c>
      <c r="BE37" s="17">
        <f t="shared" si="90"/>
        <v>0</v>
      </c>
      <c r="BF37" s="17">
        <f t="shared" si="90"/>
        <v>0</v>
      </c>
      <c r="BG37" s="17">
        <f t="shared" si="90"/>
        <v>0</v>
      </c>
      <c r="BH37" s="17">
        <f t="shared" si="90"/>
        <v>0</v>
      </c>
      <c r="BI37" s="17">
        <f t="shared" si="90"/>
        <v>0</v>
      </c>
      <c r="BJ37" s="17">
        <f t="shared" si="90"/>
        <v>0</v>
      </c>
      <c r="BK37" s="17">
        <f t="shared" si="90"/>
        <v>0</v>
      </c>
      <c r="BL37" s="17">
        <f t="shared" si="90"/>
        <v>0</v>
      </c>
      <c r="BM37" s="17">
        <f t="shared" si="90"/>
        <v>0</v>
      </c>
      <c r="BN37" s="17">
        <f t="shared" si="90"/>
        <v>0</v>
      </c>
      <c r="BO37" s="17">
        <f>SUM(BO3:BO31)</f>
        <v>0</v>
      </c>
      <c r="BP37" s="17">
        <f>SUM(BP3:BP31)</f>
        <v>0</v>
      </c>
      <c r="BQ37" s="17">
        <f>SUM(BQ3:BQ31)</f>
        <v>0</v>
      </c>
      <c r="BR37" s="17">
        <f>SUM(BR3:BR31)</f>
        <v>0</v>
      </c>
      <c r="BS37" s="43">
        <f>+BF37-BO37+BP37+BQ37-BR37</f>
        <v>0</v>
      </c>
      <c r="BT37" s="17">
        <f aca="true" t="shared" si="91" ref="BT37:CB37">SUM(BT3:BT31)</f>
        <v>0</v>
      </c>
      <c r="BU37" s="17">
        <f t="shared" si="91"/>
        <v>0</v>
      </c>
      <c r="BV37" s="17">
        <f t="shared" si="91"/>
        <v>0</v>
      </c>
      <c r="BW37" s="17">
        <f t="shared" si="91"/>
        <v>0</v>
      </c>
      <c r="BX37" s="17">
        <f t="shared" si="91"/>
        <v>0</v>
      </c>
      <c r="BY37" s="17">
        <f t="shared" si="91"/>
        <v>0</v>
      </c>
      <c r="BZ37" s="17">
        <f t="shared" si="91"/>
        <v>0</v>
      </c>
      <c r="CA37" s="17">
        <f t="shared" si="91"/>
        <v>0</v>
      </c>
      <c r="CB37" s="17">
        <f t="shared" si="91"/>
        <v>0</v>
      </c>
      <c r="CC37" s="4">
        <f>BX37-CB37</f>
        <v>0</v>
      </c>
      <c r="CD37" s="74">
        <f>K37+L37+AV37-AW37</f>
        <v>0</v>
      </c>
      <c r="CE37" s="76">
        <f>CD37+W37-AS37</f>
        <v>0</v>
      </c>
      <c r="CF37" s="76">
        <f>BR37-BP37</f>
        <v>0</v>
      </c>
      <c r="CG37" s="76">
        <f>AU37-AM37-AT37-AS37</f>
        <v>0</v>
      </c>
      <c r="CH37" s="76">
        <f>I37-AG37+AY37+AH37+BQ37</f>
        <v>0</v>
      </c>
      <c r="CI37" s="37">
        <f>CH37+K37</f>
        <v>0</v>
      </c>
      <c r="CJ37" s="59" t="e">
        <f>CD37/CF37</f>
        <v>#DIV/0!</v>
      </c>
      <c r="CK37" s="140" t="e">
        <f>CE37/CF37</f>
        <v>#DIV/0!</v>
      </c>
      <c r="CL37" s="64" t="e">
        <f>CD37/CG37*1</f>
        <v>#DIV/0!</v>
      </c>
      <c r="CM37" s="64" t="e">
        <f>CE37/CG37</f>
        <v>#DIV/0!</v>
      </c>
      <c r="CN37" s="64" t="e">
        <f>CH37/CG37</f>
        <v>#DIV/0!</v>
      </c>
      <c r="CO37" s="64" t="e">
        <f>CI37/CG37</f>
        <v>#DIV/0!</v>
      </c>
      <c r="CP37" s="64" t="e">
        <f>(K37+L37)/(BU37+K37+L37)</f>
        <v>#DIV/0!</v>
      </c>
      <c r="CQ37" s="64" t="e">
        <f>(K37)/(BU37+K37+L37)</f>
        <v>#DIV/0!</v>
      </c>
      <c r="CR37" s="75" t="e">
        <f>CS37/CE37</f>
        <v>#DIV/0!</v>
      </c>
      <c r="CS37" s="76">
        <f>BT37-BY37</f>
        <v>0</v>
      </c>
      <c r="CT37" s="80">
        <f>Y37-K37-L37-V37</f>
        <v>0</v>
      </c>
      <c r="CU37" s="80">
        <f>AU37-AR37</f>
        <v>0</v>
      </c>
      <c r="CV37" s="80">
        <f>CU37-CT37</f>
        <v>0</v>
      </c>
      <c r="CW37" s="80">
        <f>-V37+AR37</f>
        <v>0</v>
      </c>
      <c r="CX37" s="80">
        <f>CV37+CW37</f>
        <v>0</v>
      </c>
      <c r="CY37" s="80">
        <f>CX37-K37-L37</f>
        <v>0</v>
      </c>
      <c r="CZ37" s="80">
        <f>BR37-BP37</f>
        <v>0</v>
      </c>
      <c r="DA37" s="80">
        <f>K37+L37</f>
        <v>0</v>
      </c>
      <c r="DB37" s="80">
        <f>-CZ37+DA37+CY37</f>
        <v>0</v>
      </c>
      <c r="DC37" s="80">
        <f>-BP37-DA37</f>
        <v>0</v>
      </c>
      <c r="DD37" s="80">
        <f>DB37+DC37+BR37</f>
        <v>0</v>
      </c>
      <c r="DE37" s="80">
        <f>Z37+AA37+AB37</f>
        <v>0</v>
      </c>
      <c r="DF37" s="80" t="e">
        <f>CS37/B37</f>
        <v>#DIV/0!</v>
      </c>
      <c r="DG37" s="80" t="e">
        <f>CH37/B37</f>
        <v>#DIV/0!</v>
      </c>
      <c r="DH37" s="80" t="e">
        <f>DE37/B37</f>
        <v>#DIV/0!</v>
      </c>
      <c r="DI37" s="81" t="e">
        <f>CZ37/B37</f>
        <v>#DIV/0!</v>
      </c>
      <c r="DJ37" s="76" t="e">
        <f>DB37/B37</f>
        <v>#DIV/0!</v>
      </c>
      <c r="DK37" s="147">
        <f>CA37-BW37-BU37</f>
        <v>0</v>
      </c>
      <c r="DL37" s="67"/>
      <c r="DM37" s="67"/>
      <c r="DN37" s="68"/>
    </row>
    <row r="38" spans="2:6" ht="12.75">
      <c r="B38" s="8"/>
      <c r="C38" s="8"/>
      <c r="D38" s="8"/>
      <c r="E38" s="8"/>
      <c r="F38" s="148"/>
    </row>
    <row r="60" spans="1:115" ht="12.75">
      <c r="A60" s="3" t="s">
        <v>252</v>
      </c>
      <c r="B60" s="62">
        <f>B10+B20+B26</f>
        <v>0</v>
      </c>
      <c r="C60" s="62">
        <f aca="true" t="shared" si="92" ref="C60:BN60">C10+C20+C26</f>
        <v>0</v>
      </c>
      <c r="D60" s="62">
        <f>(D10+D20+D26)/3</f>
        <v>0</v>
      </c>
      <c r="E60" s="62">
        <f>(E10+E20+E26)/3</f>
        <v>0</v>
      </c>
      <c r="F60" s="62">
        <f>(F10+F20+F26)/3</f>
        <v>8</v>
      </c>
      <c r="G60" s="19">
        <f t="shared" si="92"/>
        <v>0</v>
      </c>
      <c r="H60" s="19">
        <f t="shared" si="92"/>
        <v>0</v>
      </c>
      <c r="I60" s="19">
        <f t="shared" si="92"/>
        <v>0</v>
      </c>
      <c r="J60" s="19">
        <f t="shared" si="92"/>
        <v>0</v>
      </c>
      <c r="K60" s="19">
        <f t="shared" si="92"/>
        <v>0</v>
      </c>
      <c r="L60" s="19">
        <f t="shared" si="92"/>
        <v>0</v>
      </c>
      <c r="M60" s="19">
        <f t="shared" si="92"/>
        <v>0</v>
      </c>
      <c r="N60" s="19">
        <f t="shared" si="92"/>
        <v>0</v>
      </c>
      <c r="O60" s="19">
        <f t="shared" si="92"/>
        <v>0</v>
      </c>
      <c r="P60" s="19">
        <f t="shared" si="92"/>
        <v>0</v>
      </c>
      <c r="Q60" s="19">
        <f t="shared" si="92"/>
        <v>0</v>
      </c>
      <c r="R60" s="19">
        <f t="shared" si="92"/>
        <v>0</v>
      </c>
      <c r="S60" s="19">
        <f t="shared" si="92"/>
        <v>0</v>
      </c>
      <c r="T60" s="19">
        <f t="shared" si="92"/>
        <v>0</v>
      </c>
      <c r="U60" s="19">
        <f t="shared" si="92"/>
        <v>0</v>
      </c>
      <c r="V60" s="19">
        <f t="shared" si="92"/>
        <v>0</v>
      </c>
      <c r="W60" s="19">
        <f t="shared" si="92"/>
        <v>0</v>
      </c>
      <c r="X60" s="19">
        <f t="shared" si="92"/>
        <v>0</v>
      </c>
      <c r="Y60" s="19">
        <f t="shared" si="92"/>
        <v>0</v>
      </c>
      <c r="Z60" s="19">
        <f t="shared" si="92"/>
        <v>0</v>
      </c>
      <c r="AA60" s="19">
        <f t="shared" si="92"/>
        <v>0</v>
      </c>
      <c r="AB60" s="19">
        <f t="shared" si="92"/>
        <v>0</v>
      </c>
      <c r="AC60" s="19">
        <f t="shared" si="92"/>
        <v>0</v>
      </c>
      <c r="AD60" s="19">
        <f t="shared" si="92"/>
        <v>0</v>
      </c>
      <c r="AE60" s="19">
        <f t="shared" si="92"/>
        <v>0</v>
      </c>
      <c r="AF60" s="19">
        <f t="shared" si="92"/>
        <v>0</v>
      </c>
      <c r="AG60" s="19">
        <f t="shared" si="92"/>
        <v>0</v>
      </c>
      <c r="AH60" s="19">
        <f t="shared" si="92"/>
        <v>0</v>
      </c>
      <c r="AI60" s="19">
        <f t="shared" si="92"/>
        <v>0</v>
      </c>
      <c r="AJ60" s="19">
        <f t="shared" si="92"/>
        <v>0</v>
      </c>
      <c r="AK60" s="19">
        <f t="shared" si="92"/>
        <v>0</v>
      </c>
      <c r="AL60" s="19">
        <f t="shared" si="92"/>
        <v>0</v>
      </c>
      <c r="AM60" s="19">
        <f t="shared" si="92"/>
        <v>0</v>
      </c>
      <c r="AN60" s="19">
        <f t="shared" si="92"/>
        <v>0</v>
      </c>
      <c r="AO60" s="19">
        <f t="shared" si="92"/>
        <v>0</v>
      </c>
      <c r="AP60" s="19">
        <f t="shared" si="92"/>
        <v>0</v>
      </c>
      <c r="AQ60" s="19">
        <f t="shared" si="92"/>
        <v>0</v>
      </c>
      <c r="AR60" s="19">
        <f t="shared" si="92"/>
        <v>0</v>
      </c>
      <c r="AS60" s="19">
        <f t="shared" si="92"/>
        <v>0</v>
      </c>
      <c r="AT60" s="19">
        <f t="shared" si="92"/>
        <v>0</v>
      </c>
      <c r="AU60" s="19">
        <f t="shared" si="92"/>
        <v>0</v>
      </c>
      <c r="AV60" s="19">
        <f t="shared" si="92"/>
        <v>0</v>
      </c>
      <c r="AW60" s="19">
        <f t="shared" si="92"/>
        <v>0</v>
      </c>
      <c r="AX60" s="19">
        <f t="shared" si="92"/>
        <v>0</v>
      </c>
      <c r="AY60" s="19">
        <f t="shared" si="92"/>
        <v>0</v>
      </c>
      <c r="AZ60" s="19">
        <f t="shared" si="92"/>
        <v>0</v>
      </c>
      <c r="BA60" s="19">
        <f t="shared" si="92"/>
        <v>0</v>
      </c>
      <c r="BB60" s="19">
        <f t="shared" si="92"/>
        <v>0</v>
      </c>
      <c r="BC60" s="19">
        <f t="shared" si="92"/>
        <v>0</v>
      </c>
      <c r="BD60" s="19">
        <f t="shared" si="92"/>
        <v>0</v>
      </c>
      <c r="BE60" s="19">
        <f t="shared" si="92"/>
        <v>0</v>
      </c>
      <c r="BF60" s="19">
        <f t="shared" si="92"/>
        <v>0</v>
      </c>
      <c r="BG60" s="19">
        <f t="shared" si="92"/>
        <v>0</v>
      </c>
      <c r="BH60" s="19">
        <f t="shared" si="92"/>
        <v>0</v>
      </c>
      <c r="BI60" s="19">
        <f t="shared" si="92"/>
        <v>0</v>
      </c>
      <c r="BJ60" s="19">
        <f t="shared" si="92"/>
        <v>0</v>
      </c>
      <c r="BK60" s="19">
        <f t="shared" si="92"/>
        <v>0</v>
      </c>
      <c r="BL60" s="19">
        <f t="shared" si="92"/>
        <v>0</v>
      </c>
      <c r="BM60" s="19">
        <f t="shared" si="92"/>
        <v>0</v>
      </c>
      <c r="BN60" s="19">
        <f t="shared" si="92"/>
        <v>0</v>
      </c>
      <c r="BO60" s="19">
        <f aca="true" t="shared" si="93" ref="BO60:CI60">BO10+BO20+BO26</f>
        <v>0</v>
      </c>
      <c r="BP60" s="19">
        <f t="shared" si="93"/>
        <v>0</v>
      </c>
      <c r="BQ60" s="19">
        <f t="shared" si="93"/>
        <v>0</v>
      </c>
      <c r="BR60" s="19">
        <f t="shared" si="93"/>
        <v>0</v>
      </c>
      <c r="BS60" s="19">
        <f t="shared" si="93"/>
        <v>0</v>
      </c>
      <c r="BT60" s="19">
        <f t="shared" si="93"/>
        <v>0</v>
      </c>
      <c r="BU60" s="19">
        <f t="shared" si="93"/>
        <v>0</v>
      </c>
      <c r="BV60" s="19">
        <f t="shared" si="93"/>
        <v>0</v>
      </c>
      <c r="BW60" s="19">
        <f t="shared" si="93"/>
        <v>0</v>
      </c>
      <c r="BX60" s="19">
        <f t="shared" si="93"/>
        <v>0</v>
      </c>
      <c r="BY60" s="19">
        <f t="shared" si="93"/>
        <v>0</v>
      </c>
      <c r="BZ60" s="19">
        <f t="shared" si="93"/>
        <v>0</v>
      </c>
      <c r="CA60" s="19">
        <f t="shared" si="93"/>
        <v>0</v>
      </c>
      <c r="CB60" s="19">
        <f t="shared" si="93"/>
        <v>0</v>
      </c>
      <c r="CC60" s="19">
        <f t="shared" si="93"/>
        <v>0</v>
      </c>
      <c r="CD60" s="19">
        <f t="shared" si="93"/>
        <v>0</v>
      </c>
      <c r="CE60" s="19">
        <f t="shared" si="93"/>
        <v>0</v>
      </c>
      <c r="CF60" s="19">
        <f t="shared" si="93"/>
        <v>0</v>
      </c>
      <c r="CG60" s="19">
        <f t="shared" si="93"/>
        <v>0</v>
      </c>
      <c r="CH60" s="19">
        <f t="shared" si="93"/>
        <v>0</v>
      </c>
      <c r="CI60" s="19">
        <f t="shared" si="93"/>
        <v>0</v>
      </c>
      <c r="CJ60" s="154" t="e">
        <f aca="true" t="shared" si="94" ref="CJ60:CJ65">CD60/CF60</f>
        <v>#DIV/0!</v>
      </c>
      <c r="CK60" s="154" t="e">
        <f aca="true" t="shared" si="95" ref="CK60:CK65">CE60/CF60</f>
        <v>#DIV/0!</v>
      </c>
      <c r="CL60" s="154" t="e">
        <f aca="true" t="shared" si="96" ref="CL60:CL65">CD60/CG60*1</f>
        <v>#DIV/0!</v>
      </c>
      <c r="CM60" s="154" t="e">
        <f aca="true" t="shared" si="97" ref="CM60:CM65">CE60/CG60</f>
        <v>#DIV/0!</v>
      </c>
      <c r="CN60" s="154" t="e">
        <f aca="true" t="shared" si="98" ref="CN60:CN65">CH60/CG60</f>
        <v>#DIV/0!</v>
      </c>
      <c r="CO60" s="154" t="e">
        <f aca="true" t="shared" si="99" ref="CO60:CO65">CI60/CG60</f>
        <v>#DIV/0!</v>
      </c>
      <c r="CP60" s="154" t="e">
        <f aca="true" t="shared" si="100" ref="CP60:CP65">(K60+L60)/(BU60+K60+L60)</f>
        <v>#DIV/0!</v>
      </c>
      <c r="CQ60" s="154" t="e">
        <f aca="true" t="shared" si="101" ref="CQ60:CQ65">(K60)/(BU60+K60+L60)</f>
        <v>#DIV/0!</v>
      </c>
      <c r="CR60" s="19" t="e">
        <f aca="true" t="shared" si="102" ref="CR60:CR65">CS60/CE60</f>
        <v>#DIV/0!</v>
      </c>
      <c r="CS60" s="19">
        <f aca="true" t="shared" si="103" ref="CS60:CS65">BT60-BY60</f>
        <v>0</v>
      </c>
      <c r="CT60" s="19">
        <f aca="true" t="shared" si="104" ref="CT60:CT65">Y60-K60-L60-V60</f>
        <v>0</v>
      </c>
      <c r="CU60" s="19">
        <f aca="true" t="shared" si="105" ref="CU60:CU65">AU60-AR60</f>
        <v>0</v>
      </c>
      <c r="CV60" s="19">
        <f aca="true" t="shared" si="106" ref="CV60:CV65">CU60-CT60</f>
        <v>0</v>
      </c>
      <c r="CW60" s="19">
        <f aca="true" t="shared" si="107" ref="CW60:CW65">-V60+AR60</f>
        <v>0</v>
      </c>
      <c r="CX60" s="19">
        <f aca="true" t="shared" si="108" ref="CX60:CX65">CV60+CW60</f>
        <v>0</v>
      </c>
      <c r="CY60" s="19">
        <f aca="true" t="shared" si="109" ref="CY60:CY65">CX60-K60-L60</f>
        <v>0</v>
      </c>
      <c r="CZ60" s="19">
        <f aca="true" t="shared" si="110" ref="CZ60:CZ65">BR60-BP60</f>
        <v>0</v>
      </c>
      <c r="DA60" s="19">
        <f aca="true" t="shared" si="111" ref="DA60:DA65">K60+L60</f>
        <v>0</v>
      </c>
      <c r="DB60" s="19">
        <f aca="true" t="shared" si="112" ref="DB60:DB65">-CZ60+DA60+CY60</f>
        <v>0</v>
      </c>
      <c r="DC60" s="19">
        <f aca="true" t="shared" si="113" ref="DC60:DC65">-BP60-DA60</f>
        <v>0</v>
      </c>
      <c r="DD60" s="19">
        <f aca="true" t="shared" si="114" ref="DD60:DD65">DB60+DC60+BR60</f>
        <v>0</v>
      </c>
      <c r="DE60" s="19">
        <f aca="true" t="shared" si="115" ref="DE60:DE65">Z60+AA60+AB60</f>
        <v>0</v>
      </c>
      <c r="DF60" s="19" t="e">
        <f aca="true" t="shared" si="116" ref="DF60:DF65">CS60/B60</f>
        <v>#DIV/0!</v>
      </c>
      <c r="DG60" s="19" t="e">
        <f aca="true" t="shared" si="117" ref="DG60:DG65">CH60/B60</f>
        <v>#DIV/0!</v>
      </c>
      <c r="DH60" s="19" t="e">
        <f aca="true" t="shared" si="118" ref="DH60:DH65">DE60/B60</f>
        <v>#DIV/0!</v>
      </c>
      <c r="DI60" s="19" t="e">
        <f aca="true" t="shared" si="119" ref="DI60:DI65">CZ60/B60</f>
        <v>#DIV/0!</v>
      </c>
      <c r="DJ60" s="19" t="e">
        <f aca="true" t="shared" si="120" ref="DJ60:DJ65">DB60/B60</f>
        <v>#DIV/0!</v>
      </c>
      <c r="DK60" s="19">
        <f aca="true" t="shared" si="121" ref="DK60:DK65">CA60-BW60-BU60</f>
        <v>0</v>
      </c>
    </row>
    <row r="61" spans="1:115" ht="12.75">
      <c r="A61" s="3" t="s">
        <v>253</v>
      </c>
      <c r="B61" s="62">
        <f>B4+B19+B21+B24+B25</f>
        <v>0</v>
      </c>
      <c r="C61" s="62">
        <f aca="true" t="shared" si="122" ref="C61:BN61">C4+C19+C21+C24+C25</f>
        <v>0</v>
      </c>
      <c r="D61" s="62">
        <f>(D4+D19+D21+D24+D25)/5</f>
        <v>0</v>
      </c>
      <c r="E61" s="62">
        <f>(E4+E19+E21+E24+E25)/5</f>
        <v>0</v>
      </c>
      <c r="F61" s="62">
        <f>(F4+F19+F21+F24+F25)/5</f>
        <v>5.8</v>
      </c>
      <c r="G61" s="19">
        <f t="shared" si="122"/>
        <v>0</v>
      </c>
      <c r="H61" s="19">
        <f t="shared" si="122"/>
        <v>0</v>
      </c>
      <c r="I61" s="19">
        <f t="shared" si="122"/>
        <v>0</v>
      </c>
      <c r="J61" s="19">
        <f t="shared" si="122"/>
        <v>0</v>
      </c>
      <c r="K61" s="19">
        <f t="shared" si="122"/>
        <v>0</v>
      </c>
      <c r="L61" s="19">
        <f t="shared" si="122"/>
        <v>0</v>
      </c>
      <c r="M61" s="19">
        <f t="shared" si="122"/>
        <v>0</v>
      </c>
      <c r="N61" s="19">
        <f t="shared" si="122"/>
        <v>0</v>
      </c>
      <c r="O61" s="19">
        <f t="shared" si="122"/>
        <v>0</v>
      </c>
      <c r="P61" s="19">
        <f t="shared" si="122"/>
        <v>0</v>
      </c>
      <c r="Q61" s="19">
        <f t="shared" si="122"/>
        <v>0</v>
      </c>
      <c r="R61" s="19">
        <f t="shared" si="122"/>
        <v>0</v>
      </c>
      <c r="S61" s="19">
        <f t="shared" si="122"/>
        <v>0</v>
      </c>
      <c r="T61" s="19">
        <f t="shared" si="122"/>
        <v>0</v>
      </c>
      <c r="U61" s="19">
        <f t="shared" si="122"/>
        <v>0</v>
      </c>
      <c r="V61" s="19">
        <f t="shared" si="122"/>
        <v>0</v>
      </c>
      <c r="W61" s="19">
        <f t="shared" si="122"/>
        <v>0</v>
      </c>
      <c r="X61" s="19">
        <f t="shared" si="122"/>
        <v>0</v>
      </c>
      <c r="Y61" s="19">
        <f t="shared" si="122"/>
        <v>0</v>
      </c>
      <c r="Z61" s="19">
        <f t="shared" si="122"/>
        <v>0</v>
      </c>
      <c r="AA61" s="19">
        <f t="shared" si="122"/>
        <v>0</v>
      </c>
      <c r="AB61" s="19">
        <f t="shared" si="122"/>
        <v>0</v>
      </c>
      <c r="AC61" s="19">
        <f t="shared" si="122"/>
        <v>0</v>
      </c>
      <c r="AD61" s="19">
        <f t="shared" si="122"/>
        <v>0</v>
      </c>
      <c r="AE61" s="19">
        <f t="shared" si="122"/>
        <v>0</v>
      </c>
      <c r="AF61" s="19">
        <f t="shared" si="122"/>
        <v>0</v>
      </c>
      <c r="AG61" s="19">
        <f t="shared" si="122"/>
        <v>0</v>
      </c>
      <c r="AH61" s="19">
        <f t="shared" si="122"/>
        <v>0</v>
      </c>
      <c r="AI61" s="19">
        <f t="shared" si="122"/>
        <v>0</v>
      </c>
      <c r="AJ61" s="19">
        <f t="shared" si="122"/>
        <v>0</v>
      </c>
      <c r="AK61" s="19">
        <f t="shared" si="122"/>
        <v>0</v>
      </c>
      <c r="AL61" s="19">
        <f t="shared" si="122"/>
        <v>0</v>
      </c>
      <c r="AM61" s="19">
        <f t="shared" si="122"/>
        <v>0</v>
      </c>
      <c r="AN61" s="19">
        <f t="shared" si="122"/>
        <v>0</v>
      </c>
      <c r="AO61" s="19">
        <f t="shared" si="122"/>
        <v>0</v>
      </c>
      <c r="AP61" s="19">
        <f t="shared" si="122"/>
        <v>0</v>
      </c>
      <c r="AQ61" s="19">
        <f t="shared" si="122"/>
        <v>0</v>
      </c>
      <c r="AR61" s="19">
        <f t="shared" si="122"/>
        <v>0</v>
      </c>
      <c r="AS61" s="19">
        <f t="shared" si="122"/>
        <v>0</v>
      </c>
      <c r="AT61" s="19">
        <f t="shared" si="122"/>
        <v>0</v>
      </c>
      <c r="AU61" s="19">
        <f t="shared" si="122"/>
        <v>0</v>
      </c>
      <c r="AV61" s="19">
        <f t="shared" si="122"/>
        <v>0</v>
      </c>
      <c r="AW61" s="19">
        <f t="shared" si="122"/>
        <v>0</v>
      </c>
      <c r="AX61" s="19">
        <f t="shared" si="122"/>
        <v>0</v>
      </c>
      <c r="AY61" s="19">
        <f t="shared" si="122"/>
        <v>0</v>
      </c>
      <c r="AZ61" s="19">
        <f t="shared" si="122"/>
        <v>0</v>
      </c>
      <c r="BA61" s="19">
        <f t="shared" si="122"/>
        <v>0</v>
      </c>
      <c r="BB61" s="19">
        <f t="shared" si="122"/>
        <v>0</v>
      </c>
      <c r="BC61" s="19">
        <f t="shared" si="122"/>
        <v>0</v>
      </c>
      <c r="BD61" s="19">
        <f t="shared" si="122"/>
        <v>0</v>
      </c>
      <c r="BE61" s="19">
        <f t="shared" si="122"/>
        <v>0</v>
      </c>
      <c r="BF61" s="19">
        <f t="shared" si="122"/>
        <v>0</v>
      </c>
      <c r="BG61" s="19">
        <f t="shared" si="122"/>
        <v>0</v>
      </c>
      <c r="BH61" s="19">
        <f t="shared" si="122"/>
        <v>0</v>
      </c>
      <c r="BI61" s="19">
        <f t="shared" si="122"/>
        <v>0</v>
      </c>
      <c r="BJ61" s="19">
        <f t="shared" si="122"/>
        <v>0</v>
      </c>
      <c r="BK61" s="19">
        <f t="shared" si="122"/>
        <v>0</v>
      </c>
      <c r="BL61" s="19">
        <f t="shared" si="122"/>
        <v>0</v>
      </c>
      <c r="BM61" s="19">
        <f t="shared" si="122"/>
        <v>0</v>
      </c>
      <c r="BN61" s="19">
        <f t="shared" si="122"/>
        <v>0</v>
      </c>
      <c r="BO61" s="19">
        <f aca="true" t="shared" si="123" ref="BO61:CI61">BO4+BO19+BO21+BO24+BO25</f>
        <v>0</v>
      </c>
      <c r="BP61" s="19">
        <f t="shared" si="123"/>
        <v>0</v>
      </c>
      <c r="BQ61" s="19">
        <f t="shared" si="123"/>
        <v>0</v>
      </c>
      <c r="BR61" s="19">
        <f t="shared" si="123"/>
        <v>0</v>
      </c>
      <c r="BS61" s="19">
        <f t="shared" si="123"/>
        <v>0</v>
      </c>
      <c r="BT61" s="19">
        <f t="shared" si="123"/>
        <v>0</v>
      </c>
      <c r="BU61" s="19">
        <f t="shared" si="123"/>
        <v>0</v>
      </c>
      <c r="BV61" s="19">
        <f t="shared" si="123"/>
        <v>0</v>
      </c>
      <c r="BW61" s="19">
        <f t="shared" si="123"/>
        <v>0</v>
      </c>
      <c r="BX61" s="19">
        <f t="shared" si="123"/>
        <v>0</v>
      </c>
      <c r="BY61" s="19">
        <f t="shared" si="123"/>
        <v>0</v>
      </c>
      <c r="BZ61" s="19">
        <f t="shared" si="123"/>
        <v>0</v>
      </c>
      <c r="CA61" s="19">
        <f t="shared" si="123"/>
        <v>0</v>
      </c>
      <c r="CB61" s="19">
        <f t="shared" si="123"/>
        <v>0</v>
      </c>
      <c r="CC61" s="19">
        <f t="shared" si="123"/>
        <v>0</v>
      </c>
      <c r="CD61" s="19">
        <f t="shared" si="123"/>
        <v>0</v>
      </c>
      <c r="CE61" s="19">
        <f t="shared" si="123"/>
        <v>0</v>
      </c>
      <c r="CF61" s="19">
        <f t="shared" si="123"/>
        <v>0</v>
      </c>
      <c r="CG61" s="19">
        <f t="shared" si="123"/>
        <v>0</v>
      </c>
      <c r="CH61" s="19">
        <f t="shared" si="123"/>
        <v>0</v>
      </c>
      <c r="CI61" s="19">
        <f t="shared" si="123"/>
        <v>0</v>
      </c>
      <c r="CJ61" s="154" t="e">
        <f t="shared" si="94"/>
        <v>#DIV/0!</v>
      </c>
      <c r="CK61" s="154" t="e">
        <f t="shared" si="95"/>
        <v>#DIV/0!</v>
      </c>
      <c r="CL61" s="154" t="e">
        <f t="shared" si="96"/>
        <v>#DIV/0!</v>
      </c>
      <c r="CM61" s="154" t="e">
        <f t="shared" si="97"/>
        <v>#DIV/0!</v>
      </c>
      <c r="CN61" s="154" t="e">
        <f t="shared" si="98"/>
        <v>#DIV/0!</v>
      </c>
      <c r="CO61" s="154" t="e">
        <f t="shared" si="99"/>
        <v>#DIV/0!</v>
      </c>
      <c r="CP61" s="154" t="e">
        <f t="shared" si="100"/>
        <v>#DIV/0!</v>
      </c>
      <c r="CQ61" s="154" t="e">
        <f t="shared" si="101"/>
        <v>#DIV/0!</v>
      </c>
      <c r="CR61" s="19" t="e">
        <f t="shared" si="102"/>
        <v>#DIV/0!</v>
      </c>
      <c r="CS61" s="19">
        <f t="shared" si="103"/>
        <v>0</v>
      </c>
      <c r="CT61" s="19">
        <f t="shared" si="104"/>
        <v>0</v>
      </c>
      <c r="CU61" s="19">
        <f t="shared" si="105"/>
        <v>0</v>
      </c>
      <c r="CV61" s="19">
        <f t="shared" si="106"/>
        <v>0</v>
      </c>
      <c r="CW61" s="19">
        <f t="shared" si="107"/>
        <v>0</v>
      </c>
      <c r="CX61" s="19">
        <f t="shared" si="108"/>
        <v>0</v>
      </c>
      <c r="CY61" s="19">
        <f t="shared" si="109"/>
        <v>0</v>
      </c>
      <c r="CZ61" s="19">
        <f t="shared" si="110"/>
        <v>0</v>
      </c>
      <c r="DA61" s="19">
        <f t="shared" si="111"/>
        <v>0</v>
      </c>
      <c r="DB61" s="19">
        <f t="shared" si="112"/>
        <v>0</v>
      </c>
      <c r="DC61" s="19">
        <f t="shared" si="113"/>
        <v>0</v>
      </c>
      <c r="DD61" s="19">
        <f t="shared" si="114"/>
        <v>0</v>
      </c>
      <c r="DE61" s="19">
        <f t="shared" si="115"/>
        <v>0</v>
      </c>
      <c r="DF61" s="19" t="e">
        <f t="shared" si="116"/>
        <v>#DIV/0!</v>
      </c>
      <c r="DG61" s="19" t="e">
        <f t="shared" si="117"/>
        <v>#DIV/0!</v>
      </c>
      <c r="DH61" s="19" t="e">
        <f t="shared" si="118"/>
        <v>#DIV/0!</v>
      </c>
      <c r="DI61" s="19" t="e">
        <f t="shared" si="119"/>
        <v>#DIV/0!</v>
      </c>
      <c r="DJ61" s="19" t="e">
        <f t="shared" si="120"/>
        <v>#DIV/0!</v>
      </c>
      <c r="DK61" s="19">
        <f t="shared" si="121"/>
        <v>0</v>
      </c>
    </row>
    <row r="62" spans="1:115" ht="12.75">
      <c r="A62" s="3" t="s">
        <v>254</v>
      </c>
      <c r="B62" s="62">
        <f>B9+B11+B22+B27</f>
        <v>0</v>
      </c>
      <c r="C62" s="62">
        <f aca="true" t="shared" si="124" ref="C62:BN62">C9+C11+C22+C27</f>
        <v>0</v>
      </c>
      <c r="D62" s="62">
        <f>(D9+D11+D22+D27)/4</f>
        <v>0</v>
      </c>
      <c r="E62" s="62">
        <f>(E9+E11+E22+E27)/4</f>
        <v>0</v>
      </c>
      <c r="F62" s="62">
        <f>(F9+F11+F22+F27)/4</f>
        <v>3</v>
      </c>
      <c r="G62" s="19">
        <f t="shared" si="124"/>
        <v>0</v>
      </c>
      <c r="H62" s="19">
        <f t="shared" si="124"/>
        <v>0</v>
      </c>
      <c r="I62" s="19">
        <f t="shared" si="124"/>
        <v>0</v>
      </c>
      <c r="J62" s="19">
        <f t="shared" si="124"/>
        <v>0</v>
      </c>
      <c r="K62" s="19">
        <f t="shared" si="124"/>
        <v>0</v>
      </c>
      <c r="L62" s="19">
        <f t="shared" si="124"/>
        <v>0</v>
      </c>
      <c r="M62" s="19">
        <f t="shared" si="124"/>
        <v>0</v>
      </c>
      <c r="N62" s="19">
        <f t="shared" si="124"/>
        <v>0</v>
      </c>
      <c r="O62" s="19">
        <f t="shared" si="124"/>
        <v>0</v>
      </c>
      <c r="P62" s="19">
        <f t="shared" si="124"/>
        <v>0</v>
      </c>
      <c r="Q62" s="19">
        <f t="shared" si="124"/>
        <v>0</v>
      </c>
      <c r="R62" s="19">
        <f t="shared" si="124"/>
        <v>0</v>
      </c>
      <c r="S62" s="19">
        <f t="shared" si="124"/>
        <v>0</v>
      </c>
      <c r="T62" s="19">
        <f t="shared" si="124"/>
        <v>0</v>
      </c>
      <c r="U62" s="19">
        <f t="shared" si="124"/>
        <v>0</v>
      </c>
      <c r="V62" s="19">
        <f t="shared" si="124"/>
        <v>0</v>
      </c>
      <c r="W62" s="19">
        <f t="shared" si="124"/>
        <v>0</v>
      </c>
      <c r="X62" s="19">
        <f t="shared" si="124"/>
        <v>0</v>
      </c>
      <c r="Y62" s="19">
        <f t="shared" si="124"/>
        <v>0</v>
      </c>
      <c r="Z62" s="19">
        <f t="shared" si="124"/>
        <v>0</v>
      </c>
      <c r="AA62" s="19">
        <f t="shared" si="124"/>
        <v>0</v>
      </c>
      <c r="AB62" s="19">
        <f t="shared" si="124"/>
        <v>0</v>
      </c>
      <c r="AC62" s="19">
        <f t="shared" si="124"/>
        <v>0</v>
      </c>
      <c r="AD62" s="19">
        <f t="shared" si="124"/>
        <v>0</v>
      </c>
      <c r="AE62" s="19">
        <f t="shared" si="124"/>
        <v>0</v>
      </c>
      <c r="AF62" s="19">
        <f t="shared" si="124"/>
        <v>0</v>
      </c>
      <c r="AG62" s="19">
        <f t="shared" si="124"/>
        <v>0</v>
      </c>
      <c r="AH62" s="19">
        <f t="shared" si="124"/>
        <v>0</v>
      </c>
      <c r="AI62" s="19">
        <f t="shared" si="124"/>
        <v>0</v>
      </c>
      <c r="AJ62" s="19">
        <f t="shared" si="124"/>
        <v>0</v>
      </c>
      <c r="AK62" s="19">
        <f t="shared" si="124"/>
        <v>0</v>
      </c>
      <c r="AL62" s="19">
        <f t="shared" si="124"/>
        <v>0</v>
      </c>
      <c r="AM62" s="19">
        <f t="shared" si="124"/>
        <v>0</v>
      </c>
      <c r="AN62" s="19">
        <f t="shared" si="124"/>
        <v>0</v>
      </c>
      <c r="AO62" s="19">
        <f t="shared" si="124"/>
        <v>0</v>
      </c>
      <c r="AP62" s="19">
        <f t="shared" si="124"/>
        <v>0</v>
      </c>
      <c r="AQ62" s="19">
        <f t="shared" si="124"/>
        <v>0</v>
      </c>
      <c r="AR62" s="19">
        <f t="shared" si="124"/>
        <v>0</v>
      </c>
      <c r="AS62" s="19">
        <f t="shared" si="124"/>
        <v>0</v>
      </c>
      <c r="AT62" s="19">
        <f t="shared" si="124"/>
        <v>0</v>
      </c>
      <c r="AU62" s="19">
        <f t="shared" si="124"/>
        <v>0</v>
      </c>
      <c r="AV62" s="19">
        <f t="shared" si="124"/>
        <v>0</v>
      </c>
      <c r="AW62" s="19">
        <f t="shared" si="124"/>
        <v>0</v>
      </c>
      <c r="AX62" s="19">
        <f t="shared" si="124"/>
        <v>0</v>
      </c>
      <c r="AY62" s="19">
        <f t="shared" si="124"/>
        <v>0</v>
      </c>
      <c r="AZ62" s="19">
        <f t="shared" si="124"/>
        <v>0</v>
      </c>
      <c r="BA62" s="19">
        <f t="shared" si="124"/>
        <v>0</v>
      </c>
      <c r="BB62" s="19">
        <f t="shared" si="124"/>
        <v>0</v>
      </c>
      <c r="BC62" s="19">
        <f t="shared" si="124"/>
        <v>0</v>
      </c>
      <c r="BD62" s="19">
        <f t="shared" si="124"/>
        <v>0</v>
      </c>
      <c r="BE62" s="19">
        <f t="shared" si="124"/>
        <v>0</v>
      </c>
      <c r="BF62" s="19">
        <f t="shared" si="124"/>
        <v>0</v>
      </c>
      <c r="BG62" s="19">
        <f t="shared" si="124"/>
        <v>0</v>
      </c>
      <c r="BH62" s="19">
        <f t="shared" si="124"/>
        <v>0</v>
      </c>
      <c r="BI62" s="19">
        <f t="shared" si="124"/>
        <v>0</v>
      </c>
      <c r="BJ62" s="19">
        <f t="shared" si="124"/>
        <v>0</v>
      </c>
      <c r="BK62" s="19">
        <f t="shared" si="124"/>
        <v>0</v>
      </c>
      <c r="BL62" s="19">
        <f t="shared" si="124"/>
        <v>0</v>
      </c>
      <c r="BM62" s="19">
        <f t="shared" si="124"/>
        <v>0</v>
      </c>
      <c r="BN62" s="19">
        <f t="shared" si="124"/>
        <v>0</v>
      </c>
      <c r="BO62" s="19">
        <f aca="true" t="shared" si="125" ref="BO62:CI62">BO9+BO11+BO22+BO27</f>
        <v>0</v>
      </c>
      <c r="BP62" s="19">
        <f t="shared" si="125"/>
        <v>0</v>
      </c>
      <c r="BQ62" s="19">
        <f t="shared" si="125"/>
        <v>0</v>
      </c>
      <c r="BR62" s="19">
        <f t="shared" si="125"/>
        <v>0</v>
      </c>
      <c r="BS62" s="19">
        <f t="shared" si="125"/>
        <v>0</v>
      </c>
      <c r="BT62" s="19">
        <f t="shared" si="125"/>
        <v>0</v>
      </c>
      <c r="BU62" s="19">
        <f t="shared" si="125"/>
        <v>0</v>
      </c>
      <c r="BV62" s="19">
        <f t="shared" si="125"/>
        <v>0</v>
      </c>
      <c r="BW62" s="19">
        <f t="shared" si="125"/>
        <v>0</v>
      </c>
      <c r="BX62" s="19">
        <f t="shared" si="125"/>
        <v>0</v>
      </c>
      <c r="BY62" s="19">
        <f t="shared" si="125"/>
        <v>0</v>
      </c>
      <c r="BZ62" s="19">
        <f t="shared" si="125"/>
        <v>0</v>
      </c>
      <c r="CA62" s="19">
        <f t="shared" si="125"/>
        <v>0</v>
      </c>
      <c r="CB62" s="19">
        <f t="shared" si="125"/>
        <v>0</v>
      </c>
      <c r="CC62" s="19">
        <f t="shared" si="125"/>
        <v>0</v>
      </c>
      <c r="CD62" s="19">
        <f t="shared" si="125"/>
        <v>0</v>
      </c>
      <c r="CE62" s="19">
        <f t="shared" si="125"/>
        <v>0</v>
      </c>
      <c r="CF62" s="19">
        <f t="shared" si="125"/>
        <v>0</v>
      </c>
      <c r="CG62" s="19">
        <f t="shared" si="125"/>
        <v>0</v>
      </c>
      <c r="CH62" s="19">
        <f t="shared" si="125"/>
        <v>0</v>
      </c>
      <c r="CI62" s="19">
        <f t="shared" si="125"/>
        <v>0</v>
      </c>
      <c r="CJ62" s="154" t="e">
        <f t="shared" si="94"/>
        <v>#DIV/0!</v>
      </c>
      <c r="CK62" s="154" t="e">
        <f t="shared" si="95"/>
        <v>#DIV/0!</v>
      </c>
      <c r="CL62" s="154" t="e">
        <f t="shared" si="96"/>
        <v>#DIV/0!</v>
      </c>
      <c r="CM62" s="154" t="e">
        <f t="shared" si="97"/>
        <v>#DIV/0!</v>
      </c>
      <c r="CN62" s="154" t="e">
        <f t="shared" si="98"/>
        <v>#DIV/0!</v>
      </c>
      <c r="CO62" s="154" t="e">
        <f t="shared" si="99"/>
        <v>#DIV/0!</v>
      </c>
      <c r="CP62" s="154" t="e">
        <f t="shared" si="100"/>
        <v>#DIV/0!</v>
      </c>
      <c r="CQ62" s="154" t="e">
        <f t="shared" si="101"/>
        <v>#DIV/0!</v>
      </c>
      <c r="CR62" s="19" t="e">
        <f t="shared" si="102"/>
        <v>#DIV/0!</v>
      </c>
      <c r="CS62" s="19">
        <f t="shared" si="103"/>
        <v>0</v>
      </c>
      <c r="CT62" s="19">
        <f t="shared" si="104"/>
        <v>0</v>
      </c>
      <c r="CU62" s="19">
        <f t="shared" si="105"/>
        <v>0</v>
      </c>
      <c r="CV62" s="19">
        <f t="shared" si="106"/>
        <v>0</v>
      </c>
      <c r="CW62" s="19">
        <f t="shared" si="107"/>
        <v>0</v>
      </c>
      <c r="CX62" s="19">
        <f t="shared" si="108"/>
        <v>0</v>
      </c>
      <c r="CY62" s="19">
        <f t="shared" si="109"/>
        <v>0</v>
      </c>
      <c r="CZ62" s="19">
        <f t="shared" si="110"/>
        <v>0</v>
      </c>
      <c r="DA62" s="19">
        <f t="shared" si="111"/>
        <v>0</v>
      </c>
      <c r="DB62" s="19">
        <f t="shared" si="112"/>
        <v>0</v>
      </c>
      <c r="DC62" s="19">
        <f t="shared" si="113"/>
        <v>0</v>
      </c>
      <c r="DD62" s="19">
        <f t="shared" si="114"/>
        <v>0</v>
      </c>
      <c r="DE62" s="19">
        <f t="shared" si="115"/>
        <v>0</v>
      </c>
      <c r="DF62" s="19" t="e">
        <f t="shared" si="116"/>
        <v>#DIV/0!</v>
      </c>
      <c r="DG62" s="19" t="e">
        <f t="shared" si="117"/>
        <v>#DIV/0!</v>
      </c>
      <c r="DH62" s="19" t="e">
        <f t="shared" si="118"/>
        <v>#DIV/0!</v>
      </c>
      <c r="DI62" s="19" t="e">
        <f t="shared" si="119"/>
        <v>#DIV/0!</v>
      </c>
      <c r="DJ62" s="19" t="e">
        <f t="shared" si="120"/>
        <v>#DIV/0!</v>
      </c>
      <c r="DK62" s="19">
        <f t="shared" si="121"/>
        <v>0</v>
      </c>
    </row>
    <row r="63" spans="1:115" ht="12.75">
      <c r="A63" s="3" t="s">
        <v>255</v>
      </c>
      <c r="B63" s="62">
        <f>B7+B8+B17</f>
        <v>0</v>
      </c>
      <c r="C63" s="62">
        <f aca="true" t="shared" si="126" ref="C63:BN63">C7+C8+C17</f>
        <v>0</v>
      </c>
      <c r="D63" s="62">
        <f>(D7+D8+D17)/3</f>
        <v>0</v>
      </c>
      <c r="E63" s="62">
        <f>(E7+E8+E17)/3</f>
        <v>0</v>
      </c>
      <c r="F63" s="62">
        <f>(F7+F8+F17)/3</f>
        <v>8</v>
      </c>
      <c r="G63" s="19">
        <f t="shared" si="126"/>
        <v>0</v>
      </c>
      <c r="H63" s="19">
        <f t="shared" si="126"/>
        <v>0</v>
      </c>
      <c r="I63" s="19">
        <f t="shared" si="126"/>
        <v>0</v>
      </c>
      <c r="J63" s="19">
        <f t="shared" si="126"/>
        <v>0</v>
      </c>
      <c r="K63" s="19">
        <f t="shared" si="126"/>
        <v>0</v>
      </c>
      <c r="L63" s="19">
        <f t="shared" si="126"/>
        <v>0</v>
      </c>
      <c r="M63" s="19">
        <f t="shared" si="126"/>
        <v>0</v>
      </c>
      <c r="N63" s="19">
        <f t="shared" si="126"/>
        <v>0</v>
      </c>
      <c r="O63" s="19">
        <f t="shared" si="126"/>
        <v>0</v>
      </c>
      <c r="P63" s="19">
        <f t="shared" si="126"/>
        <v>0</v>
      </c>
      <c r="Q63" s="19">
        <f t="shared" si="126"/>
        <v>0</v>
      </c>
      <c r="R63" s="19">
        <f t="shared" si="126"/>
        <v>0</v>
      </c>
      <c r="S63" s="19">
        <f t="shared" si="126"/>
        <v>0</v>
      </c>
      <c r="T63" s="19">
        <f t="shared" si="126"/>
        <v>0</v>
      </c>
      <c r="U63" s="19">
        <f t="shared" si="126"/>
        <v>0</v>
      </c>
      <c r="V63" s="19">
        <f t="shared" si="126"/>
        <v>0</v>
      </c>
      <c r="W63" s="19">
        <f t="shared" si="126"/>
        <v>0</v>
      </c>
      <c r="X63" s="19">
        <f t="shared" si="126"/>
        <v>0</v>
      </c>
      <c r="Y63" s="19">
        <f t="shared" si="126"/>
        <v>0</v>
      </c>
      <c r="Z63" s="19">
        <f t="shared" si="126"/>
        <v>0</v>
      </c>
      <c r="AA63" s="19">
        <f t="shared" si="126"/>
        <v>0</v>
      </c>
      <c r="AB63" s="19">
        <f t="shared" si="126"/>
        <v>0</v>
      </c>
      <c r="AC63" s="19">
        <f t="shared" si="126"/>
        <v>0</v>
      </c>
      <c r="AD63" s="19">
        <f t="shared" si="126"/>
        <v>0</v>
      </c>
      <c r="AE63" s="19">
        <f t="shared" si="126"/>
        <v>0</v>
      </c>
      <c r="AF63" s="19">
        <f t="shared" si="126"/>
        <v>0</v>
      </c>
      <c r="AG63" s="19">
        <f t="shared" si="126"/>
        <v>0</v>
      </c>
      <c r="AH63" s="19">
        <f t="shared" si="126"/>
        <v>0</v>
      </c>
      <c r="AI63" s="19">
        <f t="shared" si="126"/>
        <v>0</v>
      </c>
      <c r="AJ63" s="19">
        <f t="shared" si="126"/>
        <v>0</v>
      </c>
      <c r="AK63" s="19">
        <f t="shared" si="126"/>
        <v>0</v>
      </c>
      <c r="AL63" s="19">
        <f t="shared" si="126"/>
        <v>0</v>
      </c>
      <c r="AM63" s="19">
        <f t="shared" si="126"/>
        <v>0</v>
      </c>
      <c r="AN63" s="19">
        <f t="shared" si="126"/>
        <v>0</v>
      </c>
      <c r="AO63" s="19">
        <f t="shared" si="126"/>
        <v>0</v>
      </c>
      <c r="AP63" s="19">
        <f t="shared" si="126"/>
        <v>0</v>
      </c>
      <c r="AQ63" s="19">
        <f t="shared" si="126"/>
        <v>0</v>
      </c>
      <c r="AR63" s="19">
        <f t="shared" si="126"/>
        <v>0</v>
      </c>
      <c r="AS63" s="19">
        <f t="shared" si="126"/>
        <v>0</v>
      </c>
      <c r="AT63" s="19">
        <f t="shared" si="126"/>
        <v>0</v>
      </c>
      <c r="AU63" s="19">
        <f t="shared" si="126"/>
        <v>0</v>
      </c>
      <c r="AV63" s="19">
        <f t="shared" si="126"/>
        <v>0</v>
      </c>
      <c r="AW63" s="19">
        <f t="shared" si="126"/>
        <v>0</v>
      </c>
      <c r="AX63" s="19">
        <f t="shared" si="126"/>
        <v>0</v>
      </c>
      <c r="AY63" s="19">
        <f t="shared" si="126"/>
        <v>0</v>
      </c>
      <c r="AZ63" s="19">
        <f t="shared" si="126"/>
        <v>0</v>
      </c>
      <c r="BA63" s="19">
        <f t="shared" si="126"/>
        <v>0</v>
      </c>
      <c r="BB63" s="19">
        <f t="shared" si="126"/>
        <v>0</v>
      </c>
      <c r="BC63" s="19">
        <f t="shared" si="126"/>
        <v>0</v>
      </c>
      <c r="BD63" s="19">
        <f t="shared" si="126"/>
        <v>0</v>
      </c>
      <c r="BE63" s="19">
        <f t="shared" si="126"/>
        <v>0</v>
      </c>
      <c r="BF63" s="19">
        <f t="shared" si="126"/>
        <v>0</v>
      </c>
      <c r="BG63" s="19">
        <f t="shared" si="126"/>
        <v>0</v>
      </c>
      <c r="BH63" s="19">
        <f t="shared" si="126"/>
        <v>0</v>
      </c>
      <c r="BI63" s="19">
        <f t="shared" si="126"/>
        <v>0</v>
      </c>
      <c r="BJ63" s="19">
        <f t="shared" si="126"/>
        <v>0</v>
      </c>
      <c r="BK63" s="19">
        <f t="shared" si="126"/>
        <v>0</v>
      </c>
      <c r="BL63" s="19">
        <f t="shared" si="126"/>
        <v>0</v>
      </c>
      <c r="BM63" s="19">
        <f t="shared" si="126"/>
        <v>0</v>
      </c>
      <c r="BN63" s="19">
        <f t="shared" si="126"/>
        <v>0</v>
      </c>
      <c r="BO63" s="19">
        <f aca="true" t="shared" si="127" ref="BO63:CI63">BO7+BO8+BO17</f>
        <v>0</v>
      </c>
      <c r="BP63" s="19">
        <f t="shared" si="127"/>
        <v>0</v>
      </c>
      <c r="BQ63" s="19">
        <f t="shared" si="127"/>
        <v>0</v>
      </c>
      <c r="BR63" s="19">
        <f t="shared" si="127"/>
        <v>0</v>
      </c>
      <c r="BS63" s="19">
        <f t="shared" si="127"/>
        <v>0</v>
      </c>
      <c r="BT63" s="19">
        <f t="shared" si="127"/>
        <v>0</v>
      </c>
      <c r="BU63" s="19">
        <f t="shared" si="127"/>
        <v>0</v>
      </c>
      <c r="BV63" s="19">
        <f t="shared" si="127"/>
        <v>0</v>
      </c>
      <c r="BW63" s="19">
        <f t="shared" si="127"/>
        <v>0</v>
      </c>
      <c r="BX63" s="19">
        <f t="shared" si="127"/>
        <v>0</v>
      </c>
      <c r="BY63" s="19">
        <f t="shared" si="127"/>
        <v>0</v>
      </c>
      <c r="BZ63" s="19">
        <f t="shared" si="127"/>
        <v>0</v>
      </c>
      <c r="CA63" s="19">
        <f t="shared" si="127"/>
        <v>0</v>
      </c>
      <c r="CB63" s="19">
        <f t="shared" si="127"/>
        <v>0</v>
      </c>
      <c r="CC63" s="19">
        <f t="shared" si="127"/>
        <v>0</v>
      </c>
      <c r="CD63" s="19">
        <f t="shared" si="127"/>
        <v>0</v>
      </c>
      <c r="CE63" s="19">
        <f t="shared" si="127"/>
        <v>0</v>
      </c>
      <c r="CF63" s="19">
        <f t="shared" si="127"/>
        <v>0</v>
      </c>
      <c r="CG63" s="19">
        <f t="shared" si="127"/>
        <v>0</v>
      </c>
      <c r="CH63" s="19">
        <f t="shared" si="127"/>
        <v>0</v>
      </c>
      <c r="CI63" s="19">
        <f t="shared" si="127"/>
        <v>0</v>
      </c>
      <c r="CJ63" s="154" t="e">
        <f t="shared" si="94"/>
        <v>#DIV/0!</v>
      </c>
      <c r="CK63" s="154" t="e">
        <f t="shared" si="95"/>
        <v>#DIV/0!</v>
      </c>
      <c r="CL63" s="154" t="e">
        <f t="shared" si="96"/>
        <v>#DIV/0!</v>
      </c>
      <c r="CM63" s="154" t="e">
        <f t="shared" si="97"/>
        <v>#DIV/0!</v>
      </c>
      <c r="CN63" s="154" t="e">
        <f t="shared" si="98"/>
        <v>#DIV/0!</v>
      </c>
      <c r="CO63" s="154" t="e">
        <f t="shared" si="99"/>
        <v>#DIV/0!</v>
      </c>
      <c r="CP63" s="154" t="e">
        <f t="shared" si="100"/>
        <v>#DIV/0!</v>
      </c>
      <c r="CQ63" s="154" t="e">
        <f t="shared" si="101"/>
        <v>#DIV/0!</v>
      </c>
      <c r="CR63" s="19" t="e">
        <f t="shared" si="102"/>
        <v>#DIV/0!</v>
      </c>
      <c r="CS63" s="19">
        <f t="shared" si="103"/>
        <v>0</v>
      </c>
      <c r="CT63" s="19">
        <f t="shared" si="104"/>
        <v>0</v>
      </c>
      <c r="CU63" s="19">
        <f t="shared" si="105"/>
        <v>0</v>
      </c>
      <c r="CV63" s="19">
        <f t="shared" si="106"/>
        <v>0</v>
      </c>
      <c r="CW63" s="19">
        <f t="shared" si="107"/>
        <v>0</v>
      </c>
      <c r="CX63" s="19">
        <f t="shared" si="108"/>
        <v>0</v>
      </c>
      <c r="CY63" s="19">
        <f t="shared" si="109"/>
        <v>0</v>
      </c>
      <c r="CZ63" s="19">
        <f t="shared" si="110"/>
        <v>0</v>
      </c>
      <c r="DA63" s="19">
        <f t="shared" si="111"/>
        <v>0</v>
      </c>
      <c r="DB63" s="19">
        <f t="shared" si="112"/>
        <v>0</v>
      </c>
      <c r="DC63" s="19">
        <f t="shared" si="113"/>
        <v>0</v>
      </c>
      <c r="DD63" s="19">
        <f t="shared" si="114"/>
        <v>0</v>
      </c>
      <c r="DE63" s="19">
        <f t="shared" si="115"/>
        <v>0</v>
      </c>
      <c r="DF63" s="19" t="e">
        <f t="shared" si="116"/>
        <v>#DIV/0!</v>
      </c>
      <c r="DG63" s="19" t="e">
        <f t="shared" si="117"/>
        <v>#DIV/0!</v>
      </c>
      <c r="DH63" s="19" t="e">
        <f t="shared" si="118"/>
        <v>#DIV/0!</v>
      </c>
      <c r="DI63" s="19" t="e">
        <f t="shared" si="119"/>
        <v>#DIV/0!</v>
      </c>
      <c r="DJ63" s="19" t="e">
        <f t="shared" si="120"/>
        <v>#DIV/0!</v>
      </c>
      <c r="DK63" s="19">
        <f t="shared" si="121"/>
        <v>0</v>
      </c>
    </row>
    <row r="64" spans="1:115" ht="12.75">
      <c r="A64" s="3" t="s">
        <v>256</v>
      </c>
      <c r="B64" s="62">
        <f>B3+B5+B6+B12+B13+B14+B15+B16+B18+B23+B28+B29+B30+B31</f>
        <v>0</v>
      </c>
      <c r="C64" s="62">
        <f>C3+C5+C6+C12+C13+C14+C15+C16+C18+C23+C28+C29+C30+C31</f>
        <v>0</v>
      </c>
      <c r="D64" s="62">
        <f>(D3+D5+D6+D12+D13+D14+D15+D16+D18+D23+D28+D29+D30+D31)/14</f>
        <v>0</v>
      </c>
      <c r="E64" s="62">
        <f>(E3+E5+E6+E12+E13+E14+E15+E16+E18+E23+E28+E29+E30+E31)/14</f>
        <v>0</v>
      </c>
      <c r="F64" s="62">
        <f>(F3+F5+F6+F12+F13+F14+F15+F16+F18+F23+F28+F29+F30+F31)/14</f>
        <v>5.142857142857143</v>
      </c>
      <c r="G64" s="19">
        <f>G3+G5+G6+G12+G13+G14+G15+G16+G18+G23+G28+G29+G30+G31</f>
        <v>0</v>
      </c>
      <c r="H64" s="19">
        <f aca="true" t="shared" si="128" ref="H64:BS64">H3+H5+H6+H12+H13+H14+H15+H16+H18+H23+H28+H29+H30+H31</f>
        <v>0</v>
      </c>
      <c r="I64" s="19">
        <f t="shared" si="128"/>
        <v>0</v>
      </c>
      <c r="J64" s="19">
        <f t="shared" si="128"/>
        <v>0</v>
      </c>
      <c r="K64" s="19">
        <f t="shared" si="128"/>
        <v>0</v>
      </c>
      <c r="L64" s="19">
        <f t="shared" si="128"/>
        <v>0</v>
      </c>
      <c r="M64" s="19">
        <f t="shared" si="128"/>
        <v>0</v>
      </c>
      <c r="N64" s="19">
        <f t="shared" si="128"/>
        <v>0</v>
      </c>
      <c r="O64" s="19">
        <f t="shared" si="128"/>
        <v>0</v>
      </c>
      <c r="P64" s="19">
        <f t="shared" si="128"/>
        <v>0</v>
      </c>
      <c r="Q64" s="19">
        <f t="shared" si="128"/>
        <v>0</v>
      </c>
      <c r="R64" s="19">
        <f t="shared" si="128"/>
        <v>0</v>
      </c>
      <c r="S64" s="19">
        <f t="shared" si="128"/>
        <v>0</v>
      </c>
      <c r="T64" s="19">
        <f t="shared" si="128"/>
        <v>0</v>
      </c>
      <c r="U64" s="19">
        <f t="shared" si="128"/>
        <v>0</v>
      </c>
      <c r="V64" s="19">
        <f t="shared" si="128"/>
        <v>0</v>
      </c>
      <c r="W64" s="19">
        <f t="shared" si="128"/>
        <v>0</v>
      </c>
      <c r="X64" s="19">
        <f t="shared" si="128"/>
        <v>0</v>
      </c>
      <c r="Y64" s="19">
        <f t="shared" si="128"/>
        <v>0</v>
      </c>
      <c r="Z64" s="19">
        <f t="shared" si="128"/>
        <v>0</v>
      </c>
      <c r="AA64" s="19">
        <f t="shared" si="128"/>
        <v>0</v>
      </c>
      <c r="AB64" s="19">
        <f t="shared" si="128"/>
        <v>0</v>
      </c>
      <c r="AC64" s="19">
        <f t="shared" si="128"/>
        <v>0</v>
      </c>
      <c r="AD64" s="19">
        <f t="shared" si="128"/>
        <v>0</v>
      </c>
      <c r="AE64" s="19">
        <f t="shared" si="128"/>
        <v>0</v>
      </c>
      <c r="AF64" s="19">
        <f t="shared" si="128"/>
        <v>0</v>
      </c>
      <c r="AG64" s="19">
        <f t="shared" si="128"/>
        <v>0</v>
      </c>
      <c r="AH64" s="19">
        <f t="shared" si="128"/>
        <v>0</v>
      </c>
      <c r="AI64" s="19">
        <f t="shared" si="128"/>
        <v>0</v>
      </c>
      <c r="AJ64" s="19">
        <f t="shared" si="128"/>
        <v>0</v>
      </c>
      <c r="AK64" s="19">
        <f t="shared" si="128"/>
        <v>0</v>
      </c>
      <c r="AL64" s="19">
        <f t="shared" si="128"/>
        <v>0</v>
      </c>
      <c r="AM64" s="19">
        <f t="shared" si="128"/>
        <v>0</v>
      </c>
      <c r="AN64" s="19">
        <f t="shared" si="128"/>
        <v>0</v>
      </c>
      <c r="AO64" s="19">
        <f t="shared" si="128"/>
        <v>0</v>
      </c>
      <c r="AP64" s="19">
        <f t="shared" si="128"/>
        <v>0</v>
      </c>
      <c r="AQ64" s="19">
        <f t="shared" si="128"/>
        <v>0</v>
      </c>
      <c r="AR64" s="19">
        <f t="shared" si="128"/>
        <v>0</v>
      </c>
      <c r="AS64" s="19">
        <f t="shared" si="128"/>
        <v>0</v>
      </c>
      <c r="AT64" s="19">
        <f t="shared" si="128"/>
        <v>0</v>
      </c>
      <c r="AU64" s="19">
        <f t="shared" si="128"/>
        <v>0</v>
      </c>
      <c r="AV64" s="19">
        <f t="shared" si="128"/>
        <v>0</v>
      </c>
      <c r="AW64" s="19">
        <f t="shared" si="128"/>
        <v>0</v>
      </c>
      <c r="AX64" s="19">
        <f t="shared" si="128"/>
        <v>0</v>
      </c>
      <c r="AY64" s="19">
        <f t="shared" si="128"/>
        <v>0</v>
      </c>
      <c r="AZ64" s="19">
        <f t="shared" si="128"/>
        <v>0</v>
      </c>
      <c r="BA64" s="19">
        <f t="shared" si="128"/>
        <v>0</v>
      </c>
      <c r="BB64" s="19">
        <f t="shared" si="128"/>
        <v>0</v>
      </c>
      <c r="BC64" s="19">
        <f t="shared" si="128"/>
        <v>0</v>
      </c>
      <c r="BD64" s="19">
        <f t="shared" si="128"/>
        <v>0</v>
      </c>
      <c r="BE64" s="19">
        <f t="shared" si="128"/>
        <v>0</v>
      </c>
      <c r="BF64" s="19">
        <f t="shared" si="128"/>
        <v>0</v>
      </c>
      <c r="BG64" s="19">
        <f t="shared" si="128"/>
        <v>0</v>
      </c>
      <c r="BH64" s="19">
        <f t="shared" si="128"/>
        <v>0</v>
      </c>
      <c r="BI64" s="19">
        <f t="shared" si="128"/>
        <v>0</v>
      </c>
      <c r="BJ64" s="19">
        <f t="shared" si="128"/>
        <v>0</v>
      </c>
      <c r="BK64" s="19">
        <f t="shared" si="128"/>
        <v>0</v>
      </c>
      <c r="BL64" s="19">
        <f t="shared" si="128"/>
        <v>0</v>
      </c>
      <c r="BM64" s="19">
        <f t="shared" si="128"/>
        <v>0</v>
      </c>
      <c r="BN64" s="19">
        <f t="shared" si="128"/>
        <v>0</v>
      </c>
      <c r="BO64" s="19">
        <f t="shared" si="128"/>
        <v>0</v>
      </c>
      <c r="BP64" s="19">
        <f t="shared" si="128"/>
        <v>0</v>
      </c>
      <c r="BQ64" s="19">
        <f t="shared" si="128"/>
        <v>0</v>
      </c>
      <c r="BR64" s="19">
        <f t="shared" si="128"/>
        <v>0</v>
      </c>
      <c r="BS64" s="19">
        <f t="shared" si="128"/>
        <v>0</v>
      </c>
      <c r="BT64" s="19">
        <f aca="true" t="shared" si="129" ref="BT64:CI64">BT3+BT5+BT6+BT12+BT13+BT14+BT15+BT16+BT18+BT23+BT28+BT29+BT30+BT31</f>
        <v>0</v>
      </c>
      <c r="BU64" s="19">
        <f t="shared" si="129"/>
        <v>0</v>
      </c>
      <c r="BV64" s="19">
        <f t="shared" si="129"/>
        <v>0</v>
      </c>
      <c r="BW64" s="19">
        <f t="shared" si="129"/>
        <v>0</v>
      </c>
      <c r="BX64" s="19">
        <f t="shared" si="129"/>
        <v>0</v>
      </c>
      <c r="BY64" s="19">
        <f t="shared" si="129"/>
        <v>0</v>
      </c>
      <c r="BZ64" s="19">
        <f t="shared" si="129"/>
        <v>0</v>
      </c>
      <c r="CA64" s="19">
        <f t="shared" si="129"/>
        <v>0</v>
      </c>
      <c r="CB64" s="19">
        <f t="shared" si="129"/>
        <v>0</v>
      </c>
      <c r="CC64" s="19">
        <f t="shared" si="129"/>
        <v>0</v>
      </c>
      <c r="CD64" s="19">
        <f t="shared" si="129"/>
        <v>0</v>
      </c>
      <c r="CE64" s="19">
        <f t="shared" si="129"/>
        <v>0</v>
      </c>
      <c r="CF64" s="19">
        <f t="shared" si="129"/>
        <v>0</v>
      </c>
      <c r="CG64" s="19">
        <f t="shared" si="129"/>
        <v>0</v>
      </c>
      <c r="CH64" s="19">
        <f t="shared" si="129"/>
        <v>0</v>
      </c>
      <c r="CI64" s="19">
        <f t="shared" si="129"/>
        <v>0</v>
      </c>
      <c r="CJ64" s="154" t="e">
        <f t="shared" si="94"/>
        <v>#DIV/0!</v>
      </c>
      <c r="CK64" s="154" t="e">
        <f t="shared" si="95"/>
        <v>#DIV/0!</v>
      </c>
      <c r="CL64" s="154" t="e">
        <f t="shared" si="96"/>
        <v>#DIV/0!</v>
      </c>
      <c r="CM64" s="154" t="e">
        <f t="shared" si="97"/>
        <v>#DIV/0!</v>
      </c>
      <c r="CN64" s="154" t="e">
        <f t="shared" si="98"/>
        <v>#DIV/0!</v>
      </c>
      <c r="CO64" s="154" t="e">
        <f t="shared" si="99"/>
        <v>#DIV/0!</v>
      </c>
      <c r="CP64" s="154" t="e">
        <f t="shared" si="100"/>
        <v>#DIV/0!</v>
      </c>
      <c r="CQ64" s="154" t="e">
        <f t="shared" si="101"/>
        <v>#DIV/0!</v>
      </c>
      <c r="CR64" s="19" t="e">
        <f t="shared" si="102"/>
        <v>#DIV/0!</v>
      </c>
      <c r="CS64" s="19">
        <f t="shared" si="103"/>
        <v>0</v>
      </c>
      <c r="CT64" s="19">
        <f t="shared" si="104"/>
        <v>0</v>
      </c>
      <c r="CU64" s="19">
        <f t="shared" si="105"/>
        <v>0</v>
      </c>
      <c r="CV64" s="19">
        <f t="shared" si="106"/>
        <v>0</v>
      </c>
      <c r="CW64" s="19">
        <f t="shared" si="107"/>
        <v>0</v>
      </c>
      <c r="CX64" s="19">
        <f t="shared" si="108"/>
        <v>0</v>
      </c>
      <c r="CY64" s="19">
        <f t="shared" si="109"/>
        <v>0</v>
      </c>
      <c r="CZ64" s="19">
        <f t="shared" si="110"/>
        <v>0</v>
      </c>
      <c r="DA64" s="19">
        <f t="shared" si="111"/>
        <v>0</v>
      </c>
      <c r="DB64" s="19">
        <f t="shared" si="112"/>
        <v>0</v>
      </c>
      <c r="DC64" s="19">
        <f t="shared" si="113"/>
        <v>0</v>
      </c>
      <c r="DD64" s="19">
        <f t="shared" si="114"/>
        <v>0</v>
      </c>
      <c r="DE64" s="19">
        <f t="shared" si="115"/>
        <v>0</v>
      </c>
      <c r="DF64" s="19" t="e">
        <f t="shared" si="116"/>
        <v>#DIV/0!</v>
      </c>
      <c r="DG64" s="19" t="e">
        <f t="shared" si="117"/>
        <v>#DIV/0!</v>
      </c>
      <c r="DH64" s="19" t="e">
        <f t="shared" si="118"/>
        <v>#DIV/0!</v>
      </c>
      <c r="DI64" s="19" t="e">
        <f t="shared" si="119"/>
        <v>#DIV/0!</v>
      </c>
      <c r="DJ64" s="19" t="e">
        <f t="shared" si="120"/>
        <v>#DIV/0!</v>
      </c>
      <c r="DK64" s="19">
        <f t="shared" si="121"/>
        <v>0</v>
      </c>
    </row>
    <row r="65" spans="1:115" ht="12.75">
      <c r="A65" s="3" t="s">
        <v>248</v>
      </c>
      <c r="B65" s="62">
        <f>SUM(B60:B64)</f>
        <v>0</v>
      </c>
      <c r="C65" s="62">
        <f aca="true" t="shared" si="130" ref="C65:BN65">SUM(C60:C64)</f>
        <v>0</v>
      </c>
      <c r="D65" s="62">
        <f>MEDIAN(D60:D64)</f>
        <v>0</v>
      </c>
      <c r="E65" s="62">
        <f>MEDIAN(E60:E64)</f>
        <v>0</v>
      </c>
      <c r="F65" s="62">
        <f>MEDIAN(F60:F64)</f>
        <v>5.8</v>
      </c>
      <c r="G65" s="19">
        <f t="shared" si="130"/>
        <v>0</v>
      </c>
      <c r="H65" s="19">
        <f t="shared" si="130"/>
        <v>0</v>
      </c>
      <c r="I65" s="19">
        <f t="shared" si="130"/>
        <v>0</v>
      </c>
      <c r="J65" s="19">
        <f t="shared" si="130"/>
        <v>0</v>
      </c>
      <c r="K65" s="19">
        <f t="shared" si="130"/>
        <v>0</v>
      </c>
      <c r="L65" s="19">
        <f t="shared" si="130"/>
        <v>0</v>
      </c>
      <c r="M65" s="19">
        <f t="shared" si="130"/>
        <v>0</v>
      </c>
      <c r="N65" s="19">
        <f t="shared" si="130"/>
        <v>0</v>
      </c>
      <c r="O65" s="19">
        <f t="shared" si="130"/>
        <v>0</v>
      </c>
      <c r="P65" s="19">
        <f t="shared" si="130"/>
        <v>0</v>
      </c>
      <c r="Q65" s="19">
        <f t="shared" si="130"/>
        <v>0</v>
      </c>
      <c r="R65" s="19">
        <f t="shared" si="130"/>
        <v>0</v>
      </c>
      <c r="S65" s="19">
        <f t="shared" si="130"/>
        <v>0</v>
      </c>
      <c r="T65" s="19">
        <f t="shared" si="130"/>
        <v>0</v>
      </c>
      <c r="U65" s="19">
        <f t="shared" si="130"/>
        <v>0</v>
      </c>
      <c r="V65" s="19">
        <f t="shared" si="130"/>
        <v>0</v>
      </c>
      <c r="W65" s="19">
        <f t="shared" si="130"/>
        <v>0</v>
      </c>
      <c r="X65" s="19">
        <f t="shared" si="130"/>
        <v>0</v>
      </c>
      <c r="Y65" s="19">
        <f t="shared" si="130"/>
        <v>0</v>
      </c>
      <c r="Z65" s="19">
        <f t="shared" si="130"/>
        <v>0</v>
      </c>
      <c r="AA65" s="19">
        <f t="shared" si="130"/>
        <v>0</v>
      </c>
      <c r="AB65" s="19">
        <f t="shared" si="130"/>
        <v>0</v>
      </c>
      <c r="AC65" s="19">
        <f t="shared" si="130"/>
        <v>0</v>
      </c>
      <c r="AD65" s="19">
        <f t="shared" si="130"/>
        <v>0</v>
      </c>
      <c r="AE65" s="19">
        <f t="shared" si="130"/>
        <v>0</v>
      </c>
      <c r="AF65" s="19">
        <f t="shared" si="130"/>
        <v>0</v>
      </c>
      <c r="AG65" s="19">
        <f t="shared" si="130"/>
        <v>0</v>
      </c>
      <c r="AH65" s="19">
        <f t="shared" si="130"/>
        <v>0</v>
      </c>
      <c r="AI65" s="19">
        <f t="shared" si="130"/>
        <v>0</v>
      </c>
      <c r="AJ65" s="19">
        <f t="shared" si="130"/>
        <v>0</v>
      </c>
      <c r="AK65" s="19">
        <f t="shared" si="130"/>
        <v>0</v>
      </c>
      <c r="AL65" s="19">
        <f t="shared" si="130"/>
        <v>0</v>
      </c>
      <c r="AM65" s="19">
        <f t="shared" si="130"/>
        <v>0</v>
      </c>
      <c r="AN65" s="19">
        <f t="shared" si="130"/>
        <v>0</v>
      </c>
      <c r="AO65" s="19">
        <f t="shared" si="130"/>
        <v>0</v>
      </c>
      <c r="AP65" s="19">
        <f t="shared" si="130"/>
        <v>0</v>
      </c>
      <c r="AQ65" s="19">
        <f t="shared" si="130"/>
        <v>0</v>
      </c>
      <c r="AR65" s="19">
        <f t="shared" si="130"/>
        <v>0</v>
      </c>
      <c r="AS65" s="19">
        <f t="shared" si="130"/>
        <v>0</v>
      </c>
      <c r="AT65" s="19">
        <f t="shared" si="130"/>
        <v>0</v>
      </c>
      <c r="AU65" s="19">
        <f t="shared" si="130"/>
        <v>0</v>
      </c>
      <c r="AV65" s="19">
        <f t="shared" si="130"/>
        <v>0</v>
      </c>
      <c r="AW65" s="19">
        <f t="shared" si="130"/>
        <v>0</v>
      </c>
      <c r="AX65" s="19">
        <f t="shared" si="130"/>
        <v>0</v>
      </c>
      <c r="AY65" s="19">
        <f t="shared" si="130"/>
        <v>0</v>
      </c>
      <c r="AZ65" s="19">
        <f t="shared" si="130"/>
        <v>0</v>
      </c>
      <c r="BA65" s="19">
        <f t="shared" si="130"/>
        <v>0</v>
      </c>
      <c r="BB65" s="19">
        <f t="shared" si="130"/>
        <v>0</v>
      </c>
      <c r="BC65" s="19">
        <f t="shared" si="130"/>
        <v>0</v>
      </c>
      <c r="BD65" s="19">
        <f t="shared" si="130"/>
        <v>0</v>
      </c>
      <c r="BE65" s="19">
        <f t="shared" si="130"/>
        <v>0</v>
      </c>
      <c r="BF65" s="19">
        <f t="shared" si="130"/>
        <v>0</v>
      </c>
      <c r="BG65" s="19">
        <f t="shared" si="130"/>
        <v>0</v>
      </c>
      <c r="BH65" s="19">
        <f t="shared" si="130"/>
        <v>0</v>
      </c>
      <c r="BI65" s="19">
        <f t="shared" si="130"/>
        <v>0</v>
      </c>
      <c r="BJ65" s="19">
        <f t="shared" si="130"/>
        <v>0</v>
      </c>
      <c r="BK65" s="19">
        <f t="shared" si="130"/>
        <v>0</v>
      </c>
      <c r="BL65" s="19">
        <f t="shared" si="130"/>
        <v>0</v>
      </c>
      <c r="BM65" s="19">
        <f t="shared" si="130"/>
        <v>0</v>
      </c>
      <c r="BN65" s="19">
        <f t="shared" si="130"/>
        <v>0</v>
      </c>
      <c r="BO65" s="19">
        <f aca="true" t="shared" si="131" ref="BO65:CI65">SUM(BO60:BO64)</f>
        <v>0</v>
      </c>
      <c r="BP65" s="19">
        <f t="shared" si="131"/>
        <v>0</v>
      </c>
      <c r="BQ65" s="19">
        <f t="shared" si="131"/>
        <v>0</v>
      </c>
      <c r="BR65" s="19">
        <f t="shared" si="131"/>
        <v>0</v>
      </c>
      <c r="BS65" s="19">
        <f t="shared" si="131"/>
        <v>0</v>
      </c>
      <c r="BT65" s="19">
        <f t="shared" si="131"/>
        <v>0</v>
      </c>
      <c r="BU65" s="19">
        <f t="shared" si="131"/>
        <v>0</v>
      </c>
      <c r="BV65" s="19">
        <f t="shared" si="131"/>
        <v>0</v>
      </c>
      <c r="BW65" s="19">
        <f t="shared" si="131"/>
        <v>0</v>
      </c>
      <c r="BX65" s="19">
        <f t="shared" si="131"/>
        <v>0</v>
      </c>
      <c r="BY65" s="19">
        <f t="shared" si="131"/>
        <v>0</v>
      </c>
      <c r="BZ65" s="19">
        <f t="shared" si="131"/>
        <v>0</v>
      </c>
      <c r="CA65" s="19">
        <f t="shared" si="131"/>
        <v>0</v>
      </c>
      <c r="CB65" s="19">
        <f t="shared" si="131"/>
        <v>0</v>
      </c>
      <c r="CC65" s="19">
        <f t="shared" si="131"/>
        <v>0</v>
      </c>
      <c r="CD65" s="19">
        <f t="shared" si="131"/>
        <v>0</v>
      </c>
      <c r="CE65" s="19">
        <f t="shared" si="131"/>
        <v>0</v>
      </c>
      <c r="CF65" s="19">
        <f t="shared" si="131"/>
        <v>0</v>
      </c>
      <c r="CG65" s="19">
        <f t="shared" si="131"/>
        <v>0</v>
      </c>
      <c r="CH65" s="19">
        <f t="shared" si="131"/>
        <v>0</v>
      </c>
      <c r="CI65" s="19">
        <f t="shared" si="131"/>
        <v>0</v>
      </c>
      <c r="CJ65" s="154" t="e">
        <f t="shared" si="94"/>
        <v>#DIV/0!</v>
      </c>
      <c r="CK65" s="154" t="e">
        <f t="shared" si="95"/>
        <v>#DIV/0!</v>
      </c>
      <c r="CL65" s="154" t="e">
        <f t="shared" si="96"/>
        <v>#DIV/0!</v>
      </c>
      <c r="CM65" s="154" t="e">
        <f t="shared" si="97"/>
        <v>#DIV/0!</v>
      </c>
      <c r="CN65" s="154" t="e">
        <f t="shared" si="98"/>
        <v>#DIV/0!</v>
      </c>
      <c r="CO65" s="154" t="e">
        <f t="shared" si="99"/>
        <v>#DIV/0!</v>
      </c>
      <c r="CP65" s="154" t="e">
        <f t="shared" si="100"/>
        <v>#DIV/0!</v>
      </c>
      <c r="CQ65" s="154" t="e">
        <f t="shared" si="101"/>
        <v>#DIV/0!</v>
      </c>
      <c r="CR65" s="19" t="e">
        <f t="shared" si="102"/>
        <v>#DIV/0!</v>
      </c>
      <c r="CS65" s="19">
        <f t="shared" si="103"/>
        <v>0</v>
      </c>
      <c r="CT65" s="19">
        <f t="shared" si="104"/>
        <v>0</v>
      </c>
      <c r="CU65" s="19">
        <f t="shared" si="105"/>
        <v>0</v>
      </c>
      <c r="CV65" s="19">
        <f t="shared" si="106"/>
        <v>0</v>
      </c>
      <c r="CW65" s="19">
        <f t="shared" si="107"/>
        <v>0</v>
      </c>
      <c r="CX65" s="19">
        <f t="shared" si="108"/>
        <v>0</v>
      </c>
      <c r="CY65" s="19">
        <f t="shared" si="109"/>
        <v>0</v>
      </c>
      <c r="CZ65" s="19">
        <f t="shared" si="110"/>
        <v>0</v>
      </c>
      <c r="DA65" s="19">
        <f t="shared" si="111"/>
        <v>0</v>
      </c>
      <c r="DB65" s="19">
        <f t="shared" si="112"/>
        <v>0</v>
      </c>
      <c r="DC65" s="19">
        <f t="shared" si="113"/>
        <v>0</v>
      </c>
      <c r="DD65" s="19">
        <f t="shared" si="114"/>
        <v>0</v>
      </c>
      <c r="DE65" s="19">
        <f t="shared" si="115"/>
        <v>0</v>
      </c>
      <c r="DF65" s="19" t="e">
        <f t="shared" si="116"/>
        <v>#DIV/0!</v>
      </c>
      <c r="DG65" s="19" t="e">
        <f t="shared" si="117"/>
        <v>#DIV/0!</v>
      </c>
      <c r="DH65" s="19" t="e">
        <f t="shared" si="118"/>
        <v>#DIV/0!</v>
      </c>
      <c r="DI65" s="19" t="e">
        <f t="shared" si="119"/>
        <v>#DIV/0!</v>
      </c>
      <c r="DJ65" s="19" t="e">
        <f t="shared" si="120"/>
        <v>#DIV/0!</v>
      </c>
      <c r="DK65" s="19">
        <f t="shared" si="121"/>
        <v>0</v>
      </c>
    </row>
  </sheetData>
  <printOptions/>
  <pageMargins left="0.7480314960629921" right="0.3937007874015748" top="0.7874015748031497" bottom="0.3937007874015748" header="0.3937007874015748" footer="0.2755905511811024"/>
  <pageSetup horizontalDpi="300" verticalDpi="300" orientation="landscape" paperSize="9" scale="95" r:id="rId1"/>
  <headerFooter alignWithMargins="0">
    <oddHeader>&amp;L&amp;"Arial,Fett"&amp;14Ortsgemeinden Kanton Glarus: Erhebung Finanzkennzahlen vom April 2002&amp;RKennzahlen Jahr 1999</oddHeader>
    <oddFooter>&amp;L&amp;8BHP Bern&amp;R&amp;8&amp;F/&amp;A/&amp;Pvon &amp;N</oddFooter>
  </headerFooter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BHP Bern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Lüthi</dc:creator>
  <cp:keywords/>
  <dc:description/>
  <cp:lastModifiedBy>ukundert</cp:lastModifiedBy>
  <cp:lastPrinted>2004-12-23T15:03:16Z</cp:lastPrinted>
  <dcterms:created xsi:type="dcterms:W3CDTF">1999-10-26T08:58:37Z</dcterms:created>
  <dcterms:modified xsi:type="dcterms:W3CDTF">2004-12-23T15:03:31Z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-699895789</vt:i4>
  </property>
  <property fmtid="{D5CDD505-2E9C-101B-9397-08002B2CF9AE}" pid="3" name="_EmailSubject">
    <vt:lpwstr>GEMEINDEFINANZRATING 2003</vt:lpwstr>
  </property>
  <property fmtid="{D5CDD505-2E9C-101B-9397-08002B2CF9AE}" pid="4" name="_AuthorEmail">
    <vt:lpwstr>Urs.Kundert@gl.ch</vt:lpwstr>
  </property>
  <property fmtid="{D5CDD505-2E9C-101B-9397-08002B2CF9AE}" pid="5" name="_AuthorEmailDisplayName">
    <vt:lpwstr>Kundert Urs DdI</vt:lpwstr>
  </property>
  <property fmtid="{D5CDD505-2E9C-101B-9397-08002B2CF9AE}" pid="6" name="_PreviousAdHocReviewCycleID">
    <vt:i4>-1851812092</vt:i4>
  </property>
</Properties>
</file>